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S:\1-SGI_IE   Informes - Estadistica\INFORMES\03 Informe Mensual\2018\"/>
    </mc:Choice>
  </mc:AlternateContent>
  <xr:revisionPtr revIDLastSave="0" documentId="13_ncr:1_{17BB671B-8B68-4642-B4F7-F634F237B9F7}" xr6:coauthVersionLast="32" xr6:coauthVersionMax="32" xr10:uidLastSave="{00000000-0000-0000-0000-000000000000}"/>
  <bookViews>
    <workbookView xWindow="0" yWindow="0" windowWidth="25185" windowHeight="10740" tabRatio="690"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state="hidden" r:id="rId32"/>
    <sheet name="31.ANEXOIII - 7" sheetId="53" state="hidden" r:id="rId33"/>
    <sheet name="32.ANEXOIII - 8" sheetId="60" state="hidden"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generación'!$A$1:$J$55</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Empresa'!$A$1:$J$69</definedName>
    <definedName name="_xlnm.Print_Area" localSheetId="1">Índice!$A$1:$L$45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22" l="1"/>
  <c r="I12" i="6"/>
  <c r="F9" i="8" l="1"/>
  <c r="H12" i="6" l="1"/>
  <c r="C29" i="14" l="1"/>
  <c r="G9" i="21" l="1"/>
  <c r="G10" i="21"/>
  <c r="G11" i="21"/>
  <c r="G12" i="21"/>
  <c r="G13" i="21"/>
  <c r="G16" i="21"/>
  <c r="G17" i="21"/>
  <c r="H17" i="21"/>
  <c r="H18" i="21"/>
  <c r="E19" i="21"/>
  <c r="G19" i="21" s="1"/>
  <c r="F19" i="21"/>
  <c r="D19" i="21"/>
  <c r="C63" i="13" l="1"/>
  <c r="B63" i="13"/>
  <c r="N29" i="18" l="1"/>
  <c r="N28" i="18"/>
  <c r="N27" i="18"/>
  <c r="N26" i="18"/>
  <c r="N25" i="18"/>
  <c r="N24" i="18"/>
  <c r="N23" i="18"/>
  <c r="N20" i="18"/>
  <c r="N19" i="18"/>
  <c r="N18" i="18"/>
  <c r="N17" i="18"/>
  <c r="N16" i="18"/>
  <c r="N15" i="18"/>
  <c r="N14" i="18"/>
  <c r="N12" i="18"/>
  <c r="N11" i="18"/>
  <c r="N10" i="18"/>
  <c r="N9" i="18"/>
  <c r="N8" i="18"/>
  <c r="C54" i="46" l="1"/>
  <c r="D54" i="46"/>
  <c r="D53" i="46"/>
  <c r="C53"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7" i="45"/>
  <c r="F48" i="45"/>
  <c r="F49" i="45"/>
  <c r="F50" i="45"/>
  <c r="F51" i="45"/>
  <c r="F52" i="45"/>
  <c r="F53" i="45"/>
  <c r="F54" i="45"/>
  <c r="F55" i="45"/>
  <c r="F56" i="45"/>
  <c r="F57" i="45"/>
  <c r="F58" i="45"/>
  <c r="F59" i="45"/>
  <c r="F60" i="45"/>
  <c r="F61" i="45"/>
  <c r="F62" i="45"/>
  <c r="F63" i="45"/>
  <c r="F64" i="45"/>
  <c r="F65" i="45"/>
  <c r="F66" i="45"/>
  <c r="F67" i="45"/>
  <c r="B12" i="22" l="1"/>
  <c r="I11" i="22"/>
  <c r="H47" i="4" l="1"/>
  <c r="B47" i="4"/>
  <c r="D58" i="11" l="1"/>
  <c r="D59" i="11"/>
  <c r="D60" i="11"/>
  <c r="D61" i="11"/>
  <c r="B30" i="6" l="1"/>
  <c r="M16" i="6"/>
  <c r="M17" i="6"/>
  <c r="A53" i="22" l="1"/>
  <c r="A58" i="21"/>
  <c r="B58" i="18"/>
  <c r="B40" i="18"/>
  <c r="B21" i="18"/>
  <c r="A58" i="12"/>
  <c r="F64" i="13"/>
  <c r="M15" i="6" l="1"/>
  <c r="B18" i="12" l="1"/>
  <c r="C18" i="12"/>
  <c r="D18" i="12"/>
  <c r="E18" i="12"/>
  <c r="G18" i="12"/>
  <c r="H18" i="12"/>
  <c r="J18" i="12"/>
  <c r="H7" i="21" l="1"/>
  <c r="G7" i="21"/>
  <c r="F37" i="6" l="1"/>
  <c r="F39" i="6"/>
  <c r="F11" i="14" l="1"/>
  <c r="F52" i="46" l="1"/>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38" i="6" l="1"/>
  <c r="F36" i="6"/>
  <c r="C62" i="11" l="1"/>
  <c r="B62" i="11"/>
  <c r="A63" i="8"/>
  <c r="J12" i="7"/>
  <c r="A58" i="7"/>
  <c r="E35" i="6"/>
  <c r="D62" i="11" l="1"/>
  <c r="E63" i="11"/>
  <c r="A63" i="11"/>
  <c r="C45" i="10"/>
  <c r="A34" i="9"/>
  <c r="D3" i="36" l="1"/>
  <c r="D2" i="45" s="1"/>
  <c r="D2" i="46" s="1"/>
  <c r="C3" i="36"/>
  <c r="C2" i="45" s="1"/>
  <c r="C2" i="46" s="1"/>
  <c r="F2" i="38"/>
  <c r="F2" i="37"/>
  <c r="F3" i="23"/>
  <c r="C2" i="23"/>
  <c r="C1" i="37" s="1"/>
  <c r="C1" i="38" s="1"/>
  <c r="A38" i="22"/>
  <c r="E17" i="22"/>
  <c r="A17" i="22"/>
  <c r="A13" i="22"/>
  <c r="A20" i="21"/>
  <c r="F6" i="21"/>
  <c r="E6" i="21"/>
  <c r="D6" i="21"/>
  <c r="B47" i="18"/>
  <c r="B28" i="18"/>
  <c r="B10" i="18"/>
  <c r="C31" i="16"/>
  <c r="E6" i="16"/>
  <c r="D6" i="16"/>
  <c r="A64" i="13"/>
  <c r="B3" i="13"/>
  <c r="B5" i="11"/>
  <c r="C5" i="11" s="1"/>
  <c r="B4" i="11"/>
  <c r="A64" i="10"/>
  <c r="A43" i="10"/>
  <c r="A61" i="9"/>
  <c r="G6" i="7"/>
  <c r="G4" i="8" s="1"/>
  <c r="G4" i="9" s="1"/>
  <c r="D7" i="7"/>
  <c r="E7" i="7" s="1"/>
  <c r="A54" i="6"/>
  <c r="B41" i="6"/>
  <c r="A13" i="6"/>
  <c r="D5" i="8" l="1"/>
  <c r="C7" i="7"/>
  <c r="B7" i="7" s="1"/>
  <c r="B5" i="8" s="1"/>
  <c r="E4" i="46"/>
  <c r="D4" i="46"/>
  <c r="C4" i="46"/>
  <c r="E3" i="46"/>
  <c r="D3" i="46"/>
  <c r="C3" i="46"/>
  <c r="E4" i="45"/>
  <c r="D4" i="45"/>
  <c r="C4" i="45"/>
  <c r="E3" i="45"/>
  <c r="D3" i="45"/>
  <c r="C3" i="45"/>
  <c r="E5" i="36"/>
  <c r="E4" i="36"/>
  <c r="D4" i="36"/>
  <c r="D5" i="36"/>
  <c r="C5" i="36"/>
  <c r="C4" i="36"/>
  <c r="G8" i="21" l="1"/>
  <c r="H8" i="21"/>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C6" i="13"/>
  <c r="B6" i="13"/>
  <c r="C5" i="13"/>
  <c r="B5" i="13"/>
  <c r="C5" i="8" l="1"/>
  <c r="C5" i="9" s="1"/>
  <c r="C7" i="12" s="1"/>
  <c r="D5" i="9"/>
  <c r="D7" i="12" s="1"/>
  <c r="B5" i="9"/>
  <c r="B7" i="12" s="1"/>
  <c r="B11" i="9"/>
  <c r="E19" i="8"/>
  <c r="D19" i="8"/>
  <c r="C19" i="8"/>
  <c r="B19" i="8"/>
  <c r="J23" i="8"/>
  <c r="E23" i="8"/>
  <c r="D23" i="8"/>
  <c r="C23" i="8"/>
  <c r="B23" i="8"/>
  <c r="K22" i="8"/>
  <c r="F22" i="8"/>
  <c r="K21" i="8"/>
  <c r="I21" i="8"/>
  <c r="F21" i="8"/>
  <c r="F8" i="8"/>
  <c r="A2" i="8"/>
  <c r="A4" i="7"/>
  <c r="J16" i="7"/>
  <c r="H16" i="7"/>
  <c r="G16" i="7"/>
  <c r="C16" i="7"/>
  <c r="D16" i="7"/>
  <c r="E16" i="7"/>
  <c r="B16" i="7"/>
  <c r="B49" i="4"/>
  <c r="D35" i="6"/>
  <c r="E40" i="6"/>
  <c r="D40" i="6"/>
  <c r="F39" i="9" l="1"/>
  <c r="F40" i="6"/>
  <c r="B12" i="9"/>
  <c r="G23" i="8"/>
  <c r="H23" i="8"/>
  <c r="I22" i="8"/>
  <c r="A9" i="4" l="1"/>
  <c r="I20" i="4" l="1"/>
  <c r="C20" i="4"/>
  <c r="C3" i="4"/>
  <c r="H12" i="22"/>
  <c r="G12" i="22"/>
  <c r="F12" i="22"/>
  <c r="E12" i="22"/>
  <c r="D12" i="22"/>
  <c r="C12" i="22"/>
  <c r="I10" i="22"/>
  <c r="I9" i="22"/>
  <c r="I8" i="22"/>
  <c r="I7" i="22"/>
  <c r="H19"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D20" i="12" s="1"/>
  <c r="C14" i="12"/>
  <c r="C20" i="12" s="1"/>
  <c r="B14" i="12"/>
  <c r="B20" i="12" s="1"/>
  <c r="D57" i="11"/>
  <c r="D56" i="11"/>
  <c r="D55" i="11"/>
  <c r="D54" i="11"/>
  <c r="D53" i="11"/>
  <c r="D52" i="11"/>
  <c r="D51" i="11"/>
  <c r="D50" i="11"/>
  <c r="D49" i="11"/>
  <c r="D48" i="11"/>
  <c r="D47" i="11"/>
  <c r="D46" i="11"/>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2" i="22" l="1"/>
  <c r="F17" i="12"/>
  <c r="I17" i="12"/>
  <c r="K18" i="12"/>
  <c r="E14" i="12"/>
  <c r="G14" i="12"/>
  <c r="G20" i="12" s="1"/>
  <c r="H14" i="12"/>
  <c r="H20" i="12" s="1"/>
  <c r="F16" i="12"/>
  <c r="J14" i="12"/>
  <c r="J20" i="12" s="1"/>
  <c r="F10" i="12"/>
  <c r="K17" i="12"/>
  <c r="H11" i="9"/>
  <c r="D11" i="9"/>
  <c r="E11" i="9"/>
  <c r="E12" i="9" s="1"/>
  <c r="G11" i="9"/>
  <c r="C11" i="9"/>
  <c r="C12" i="9" s="1"/>
  <c r="J11" i="9"/>
  <c r="K7" i="9"/>
  <c r="I6" i="9"/>
  <c r="F19" i="8"/>
  <c r="G19" i="8"/>
  <c r="F7" i="8"/>
  <c r="H19" i="8"/>
  <c r="J19" i="8"/>
  <c r="G12" i="7"/>
  <c r="C12" i="7"/>
  <c r="B12" i="7"/>
  <c r="D12" i="7"/>
  <c r="I14" i="7"/>
  <c r="H12" i="7"/>
  <c r="I12" i="7" s="1"/>
  <c r="E5" i="8"/>
  <c r="E5" i="9" s="1"/>
  <c r="E7" i="12" s="1"/>
  <c r="F14" i="7"/>
  <c r="E12" i="7"/>
  <c r="K14" i="7"/>
  <c r="F40" i="9" l="1"/>
  <c r="M39" i="9" s="1"/>
  <c r="D12" i="9"/>
  <c r="F14" i="12"/>
  <c r="E20" i="12"/>
  <c r="F20" i="12" s="1"/>
  <c r="F12" i="7"/>
  <c r="K19" i="8"/>
  <c r="J12" i="9"/>
  <c r="G12" i="9"/>
  <c r="K12" i="7"/>
  <c r="I11" i="9"/>
  <c r="H12" i="9"/>
  <c r="I18" i="12"/>
  <c r="I19" i="8"/>
  <c r="K14" i="12"/>
  <c r="I14" i="12"/>
  <c r="F11" i="9"/>
  <c r="K11" i="9"/>
  <c r="I20" i="12" l="1"/>
  <c r="K20" i="12"/>
</calcChain>
</file>

<file path=xl/sharedStrings.xml><?xml version="1.0" encoding="utf-8"?>
<sst xmlns="http://schemas.openxmlformats.org/spreadsheetml/2006/main" count="1614" uniqueCount="775">
  <si>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</si>
  <si>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</si>
  <si>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</si>
  <si>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</si>
  <si>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</si>
  <si>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</si>
  <si>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</si>
  <si>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</si>
  <si>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</si>
  <si>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</si>
  <si>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</si>
  <si>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</si>
  <si>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</si>
  <si>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</si>
  <si>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</si>
  <si>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</si>
  <si>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</si>
  <si>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</si>
  <si>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</si>
  <si>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</si>
  <si>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</si>
  <si>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</si>
  <si>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</si>
  <si>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</si>
  <si>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</si>
  <si>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</si>
  <si>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</si>
  <si>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</si>
  <si>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</si>
  <si>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</si>
  <si>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</si>
  <si>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</si>
  <si>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</si>
  <si>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</si>
  <si>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</si>
  <si>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</si>
  <si>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</si>
  <si>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</si>
  <si>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</si>
  <si>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</si>
  <si>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</si>
  <si>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</si>
  <si>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</si>
  <si>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</si>
  <si>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</si>
  <si>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</si>
  <si>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</si>
  <si>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</si>
  <si>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</si>
  <si>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</si>
  <si>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</si>
  <si>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</si>
  <si>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</si>
  <si>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</si>
  <si>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</si>
  <si>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</si>
  <si>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</si>
  <si>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</si>
  <si>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Potencia efectiva al 31/12/2017 (MW)</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</si>
  <si>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</si>
  <si>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</si>
  <si>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</si>
  <si>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</si>
  <si>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</si>
  <si>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</si>
  <si>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</si>
  <si>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</si>
  <si>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</si>
  <si>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</si>
  <si>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</si>
  <si>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</si>
  <si>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</si>
  <si>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</si>
  <si>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</si>
  <si>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</si>
  <si>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</si>
  <si>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</si>
  <si>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</si>
  <si>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</si>
  <si>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</si>
  <si>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</si>
  <si>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</si>
  <si>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</si>
  <si>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</si>
  <si>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</si>
  <si>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</si>
  <si>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</si>
  <si>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</si>
  <si>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</si>
  <si>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</si>
  <si>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</si>
  <si>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</si>
  <si>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</si>
  <si>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</si>
  <si>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</si>
  <si>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</si>
  <si>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</si>
  <si>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</si>
  <si>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</si>
  <si>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</si>
  <si>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</si>
  <si>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</si>
  <si>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</si>
  <si>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</si>
  <si>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</si>
  <si>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</si>
  <si>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</si>
  <si>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</si>
  <si>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</si>
  <si>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</si>
  <si>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</si>
  <si>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</si>
  <si>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</si>
  <si>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</si>
  <si>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</si>
  <si>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</si>
  <si>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</si>
  <si>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</si>
  <si>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</si>
  <si>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</si>
  <si>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</si>
  <si>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</si>
  <si>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</si>
  <si>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</si>
  <si>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ECELIM</t>
  </si>
  <si>
    <t>IYEPSA</t>
  </si>
  <si>
    <t>ELECTRICA SANTA ROSA</t>
  </si>
  <si>
    <t>SHOUGESA</t>
  </si>
  <si>
    <t>AGUA AZUL</t>
  </si>
  <si>
    <t>AGROAURORA</t>
  </si>
  <si>
    <t>RIO BAÑOS</t>
  </si>
  <si>
    <t>AYEPSA</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</si>
  <si>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</si>
  <si>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</si>
  <si>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</si>
  <si>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</si>
  <si>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</si>
  <si>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</si>
  <si>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</si>
  <si>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</si>
  <si>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</si>
  <si>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</si>
  <si>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</si>
  <si>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</si>
  <si>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</si>
  <si>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</si>
  <si>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</si>
  <si>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</si>
  <si>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</si>
  <si>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</si>
  <si>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</si>
  <si>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</si>
  <si>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</si>
  <si>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</si>
  <si>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</si>
  <si>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</si>
  <si>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</si>
  <si>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</si>
  <si>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</si>
  <si>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</si>
  <si>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</si>
  <si>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</si>
  <si>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</si>
  <si>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</si>
  <si>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</si>
  <si>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</si>
  <si>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</si>
  <si>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</si>
  <si>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</si>
  <si>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</si>
  <si>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</si>
  <si>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</si>
  <si>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</si>
  <si>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</si>
  <si>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</si>
  <si>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</si>
  <si>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</si>
  <si>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</si>
  <si>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</si>
  <si>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</si>
  <si>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</si>
  <si>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</si>
  <si>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</si>
  <si>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</si>
  <si>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</si>
  <si>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</si>
  <si>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</si>
  <si>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</si>
  <si>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</si>
  <si>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</si>
  <si>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</si>
  <si>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</si>
  <si>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</si>
  <si>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</si>
  <si>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</si>
  <si>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</si>
  <si>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</si>
  <si>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</si>
  <si>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</si>
  <si>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</si>
  <si>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</si>
  <si>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</si>
  <si>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</si>
  <si>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</si>
  <si>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</si>
  <si>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</si>
  <si>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</si>
  <si>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</si>
  <si>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</si>
  <si>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</si>
  <si>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</si>
  <si>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</si>
  <si>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</si>
  <si>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</si>
  <si>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</si>
  <si>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</si>
  <si>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</si>
  <si>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</si>
  <si>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</si>
  <si>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</si>
  <si>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</si>
  <si>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</si>
  <si>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</si>
  <si>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</si>
  <si>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</si>
  <si>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</si>
  <si>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</si>
  <si>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</si>
  <si>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</si>
  <si>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</si>
  <si>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</si>
  <si>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</si>
  <si>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</si>
  <si>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</si>
  <si>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</si>
  <si>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</si>
  <si>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</si>
  <si>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</si>
  <si>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</si>
  <si>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</si>
  <si>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</si>
  <si>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</si>
  <si>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</si>
  <si>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</si>
  <si>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</si>
  <si>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</si>
  <si>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</si>
  <si>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</si>
  <si>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</si>
  <si>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</si>
  <si>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</si>
  <si>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</si>
  <si>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</si>
  <si>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</si>
  <si>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</si>
  <si>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</si>
  <si>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</si>
  <si>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</si>
  <si>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</si>
  <si>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</si>
  <si>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</si>
  <si>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</si>
  <si>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</si>
  <si>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</si>
  <si>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</si>
  <si>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</si>
  <si>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</si>
  <si>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</si>
  <si>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</si>
  <si>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</si>
  <si>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</si>
  <si>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</si>
  <si>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</si>
  <si>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</si>
  <si>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</si>
  <si>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</si>
  <si>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</si>
  <si>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</si>
  <si>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KALLPA</t>
  </si>
  <si>
    <t>ORAZUL ENERGY PERÚ</t>
  </si>
  <si>
    <t>P.E. MARCONA</t>
  </si>
  <si>
    <t>PETRAMAS</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</si>
  <si>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</si>
  <si>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</si>
  <si>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</si>
  <si>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</si>
  <si>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</si>
  <si>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</si>
  <si>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</si>
  <si>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</si>
  <si>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</si>
  <si>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</si>
  <si>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</si>
  <si>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</si>
  <si>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</si>
  <si>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</si>
  <si>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</si>
  <si>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</si>
  <si>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</si>
  <si>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</si>
  <si>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</si>
  <si>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</si>
  <si>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</si>
  <si>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</si>
  <si>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</si>
  <si>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</si>
  <si>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</si>
  <si>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</si>
  <si>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</si>
  <si>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</si>
  <si>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</si>
  <si>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</si>
  <si>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</si>
  <si>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</si>
  <si>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</si>
  <si>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</si>
  <si>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</si>
  <si>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</si>
  <si>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</si>
  <si>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</si>
  <si>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</si>
  <si>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</si>
  <si>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</si>
  <si>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</si>
  <si>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</si>
  <si>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</si>
  <si>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</si>
  <si>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</si>
  <si>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</si>
  <si>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</si>
  <si>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</si>
  <si>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</si>
  <si>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</si>
  <si>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</si>
  <si>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</si>
  <si>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</si>
  <si>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</si>
  <si>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</si>
  <si>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</si>
  <si>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</si>
  <si>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</si>
  <si>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</si>
  <si>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</si>
  <si>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</si>
  <si>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</si>
  <si>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</si>
  <si>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</si>
  <si>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</si>
  <si>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</si>
  <si>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</si>
  <si>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</si>
  <si>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</si>
  <si>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</si>
  <si>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</si>
  <si>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</si>
  <si>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</si>
  <si>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</si>
  <si>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</si>
  <si>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</si>
  <si>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</si>
  <si>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</si>
  <si>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</si>
  <si>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</si>
  <si>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</si>
  <si>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</si>
  <si>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</si>
  <si>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</si>
  <si>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</si>
  <si>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</si>
  <si>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</si>
  <si>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</si>
  <si>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</si>
  <si>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</si>
  <si>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</si>
  <si>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</si>
  <si>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</si>
  <si>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</si>
  <si>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</si>
  <si>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</si>
  <si>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</si>
  <si>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</si>
  <si>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</si>
  <si>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</si>
  <si>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</si>
  <si>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</si>
  <si>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</si>
  <si>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</si>
  <si>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</si>
  <si>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</si>
  <si>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</si>
  <si>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</si>
  <si>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</si>
  <si>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</si>
  <si>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</si>
  <si>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</si>
  <si>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</si>
  <si>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</si>
  <si>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</si>
  <si>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</si>
  <si>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</si>
  <si>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</si>
  <si>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</si>
  <si>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</si>
  <si>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</si>
  <si>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</si>
  <si>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</si>
  <si>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</si>
  <si>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</si>
  <si>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</si>
  <si>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</si>
  <si>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</si>
  <si>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</si>
  <si>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</si>
  <si>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</si>
  <si>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</si>
  <si>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</si>
  <si>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</si>
  <si>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</si>
  <si>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</si>
  <si>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</si>
  <si>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</si>
  <si>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</si>
  <si>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</si>
  <si>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</si>
  <si>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</si>
  <si>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</si>
  <si>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</si>
  <si>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</si>
  <si>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</si>
  <si>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</si>
  <si>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</si>
  <si>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</si>
  <si>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</si>
  <si>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</si>
  <si>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</si>
  <si>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</si>
  <si>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</si>
  <si>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</si>
  <si>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</si>
  <si>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</si>
  <si>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</si>
  <si>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</si>
  <si>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</si>
  <si>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</si>
  <si>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</si>
  <si>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</si>
  <si>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</si>
  <si>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</si>
  <si>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</si>
  <si>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</si>
  <si>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</si>
  <si>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C.H.  PÍAS 1</t>
  </si>
  <si>
    <t>AYEPSA Total</t>
  </si>
  <si>
    <t>CERRO DEL AGUILA Total</t>
  </si>
  <si>
    <t>ECELIM Total</t>
  </si>
  <si>
    <t>C.H. CALLAHUANCA</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</si>
  <si>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</si>
  <si>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</si>
  <si>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</si>
  <si>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</si>
  <si>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</si>
  <si>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</si>
  <si>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</si>
  <si>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</si>
  <si>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</si>
  <si>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</si>
  <si>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</si>
  <si>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</si>
  <si>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</si>
  <si>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</si>
  <si>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</si>
  <si>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</si>
  <si>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</si>
  <si>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</si>
  <si>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</si>
  <si>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</si>
  <si>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</si>
  <si>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</si>
  <si>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</si>
  <si>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</si>
  <si>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</si>
  <si>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</si>
  <si>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ELECTRO SUR ESTE</t>
  </si>
  <si>
    <t>TRANSMANTARO</t>
  </si>
  <si>
    <t>MINERA ARUNTANI</t>
  </si>
  <si>
    <t>L. PUNO - TUCARI - LINEA L-6007</t>
  </si>
  <si>
    <t>HIDRANDINA</t>
  </si>
  <si>
    <t>ISA PERU</t>
  </si>
  <si>
    <t>CONCESIONARIA LINEA DE TRANSMISION CCNCM S.A.C.</t>
  </si>
  <si>
    <t>ELECTRO NOR OESTE</t>
  </si>
  <si>
    <t>RED DE ENERGIA DEL PERU</t>
  </si>
  <si>
    <t>L. CAJAMARCA NORTE - CACLIC - LINEA L-2192</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</si>
  <si>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</si>
  <si>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</si>
  <si>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</si>
  <si>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</si>
  <si>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</si>
  <si>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</si>
  <si>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</si>
  <si>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</si>
  <si>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</si>
  <si>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</si>
  <si>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</si>
  <si>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</si>
  <si>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</si>
  <si>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</si>
  <si>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</si>
  <si>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</si>
  <si>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</si>
  <si>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</si>
  <si>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</si>
  <si>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</si>
  <si>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</si>
  <si>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</si>
  <si>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</si>
  <si>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</si>
  <si>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</si>
  <si>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</si>
  <si>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</si>
  <si>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</si>
  <si>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</si>
  <si>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</si>
  <si>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</si>
  <si>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</si>
  <si>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</si>
  <si>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</si>
  <si>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</si>
  <si>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</si>
  <si>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</si>
  <si>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</si>
  <si>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</si>
  <si>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L. GUADALUPE - CHEPÉN - LINEA L-6645</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</si>
  <si>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</si>
  <si>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</si>
  <si>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</si>
  <si>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</si>
  <si>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</si>
  <si>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</si>
  <si>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</si>
  <si>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</si>
  <si>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12:00</t>
  </si>
  <si>
    <t>19:30</t>
  </si>
  <si>
    <t>11:15</t>
  </si>
  <si>
    <t>23:00</t>
  </si>
  <si>
    <t>19:45</t>
  </si>
  <si>
    <t>11:45</t>
  </si>
  <si>
    <t>15:45</t>
  </si>
  <si>
    <t>19:00</t>
  </si>
  <si>
    <t>11:30</t>
  </si>
  <si>
    <t>LUZ DEL SUR</t>
  </si>
  <si>
    <t xml:space="preserve">SANTA ANA </t>
  </si>
  <si>
    <t>agua</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</si>
  <si>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</si>
  <si>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</si>
  <si>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</si>
  <si>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</si>
  <si>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</si>
  <si>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</si>
  <si>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</si>
  <si>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</si>
  <si>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</si>
  <si>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</si>
  <si>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</si>
  <si>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</si>
  <si>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</si>
  <si>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</si>
  <si>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</si>
  <si>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</si>
  <si>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</si>
  <si>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</si>
  <si>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</si>
  <si>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</si>
  <si>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Turbina de Vapor</t>
  </si>
  <si>
    <t>ABRIL 2018</t>
  </si>
  <si>
    <t>ABRIL 2017</t>
  </si>
  <si>
    <t>ELECTRO NORTE</t>
  </si>
  <si>
    <t>ETESELVA</t>
  </si>
  <si>
    <t>TRANSFORMADOR</t>
  </si>
  <si>
    <t>4 eventos corresponde a rechazo manual de carga en la S.S.E.E. Pucallpa por deficit de generación (74,15 MWh)</t>
  </si>
  <si>
    <t>C.H. SANTA TERESA</t>
  </si>
  <si>
    <t>20:00</t>
  </si>
  <si>
    <t>18:45</t>
  </si>
  <si>
    <t>00:15</t>
  </si>
  <si>
    <t>L-2203  L-2204</t>
  </si>
  <si>
    <t>T-30  T3-261  T4-261</t>
  </si>
  <si>
    <t>L-2110</t>
  </si>
  <si>
    <t>L-2205  L-2206</t>
  </si>
  <si>
    <t xml:space="preserve">Potencia Efectiva  (MW) </t>
  </si>
  <si>
    <t>1.1. Producción de energía eléctrica en mayo 2018 en comparación al mismo mes del año anterior</t>
  </si>
  <si>
    <t>mayo</t>
  </si>
  <si>
    <t>C.E. WAYRA I</t>
  </si>
  <si>
    <t>C.T. OLLEROS</t>
  </si>
  <si>
    <t>HIDROMARAÑON/ CELEPSA RENOVABLES</t>
  </si>
  <si>
    <t>Se produjo la desconexión de la línea L-2192 (Cajamarca Norte - Cáclic) de 220 kV, debido a una falla monofásica a tierra en la fase “T”. De acuerdo con lo informado por la CONCESIONARIA LT CCNCM, la falla se produjo a causa de fuertes vientos y acercamiento de árboles a la línea, el sistema de protección ubicó la falla a una distancia de 151,30 km de la S.E. Cajamarca Norte.
Con la desconexión de la línea L-2192 (Cajamarca Norte - Cáclic) de 220 kV, se activo el Esquema de Rechazo Automático de Carga por Mínima Tensión en la S.E. Moyobamba, que interrumpió un total de 10,62 MW de la carga de las subestaciones Rioja, Nueva Cajamarca y Cementos Selva. 
A las 18:35 el CCO-COEScoordinó con el CC-EOR , recuperar la totalidad de sus suministros interrumpidos. A las 18:39 h, se cerró el anillo Cajamarca Norte – Cáclic – Belaunde Terry en 220 kV.</t>
  </si>
  <si>
    <t>L. PIURA OESTE - LA UNIÓN - LINEA L-6658-A</t>
  </si>
  <si>
    <t>Desconectó la línea L-6658 (Piura Oeste - La Unión) de 60 kV por falla monofásica a tierra en la fase “T”. De acuerdo a lo informado por ELECTRONOROESTE, titular de la línea, la falla se produjo por acercamiento de vehículo con la fase “T” de la línea entre las estructuras N° 76 y N° 77. El sistema de protección señalizó la activación de la función de distancia (21) y ubicó la falla a una distancia de 15,9 km de la S.E. Piura Oeste. Como consecuencia se interrumpió el suministro de las subestaciones La Unión, Sechura y Constante con un total de 7,26 MW aproximadamente. A las 13:09 h, se conectó la línea y se inició la normalización del suministro interrumpido.</t>
  </si>
  <si>
    <t>L. ESPINA COLORADA - CUTERVO - LINEA L-1135</t>
  </si>
  <si>
    <t>Desconectó la línea L-1135 (Espina Colorada - Cutervo) de 138 kV, por falla monofásica a tierra en la fase “S”, de titularidad de la empresa ELECTRO NORTE. Cabe resaltar que la falla se produjo en la línea L-1138 (Cutervo – Nueva Jaén) de 138 kV y no fue despejada en la S.E. Cutervo. De acuerdo, a lo informado por ELECTRO ORIENTE, titular de la línea L-1138, la falla se produjo por caída de árbol cerca de la estructura E-167. Como consecuencia se interrumpió el suministro de las subestaciones Nueva Jaén, Bagua Chica, Jaén y Cutervo con un total de 20,45 MW. Asimismo, desconectaron los grupos G1 y G2 de la C.H. Las Pizarras cuando generaban 9,26 MW y 10,36 MW, respectivamente. A las 15:14 h, se recuperó parcialmente el suministro de Electro Oriente en sistema aislado con generación local de las centrales hidroeléctricas Muyo, Quanda, Pelota y Pucará. A las 15:38 h, se conectó la línea L-1135 y se inicio la normalización de suministro de la S.E. Cutervo. A las 16:22 h, sincronizó la central Las Pizarras con el SEIN. A las 22:57 h, se conectó la línea L-1138 y se culminó con la normalización del suministro interrumpido.</t>
  </si>
  <si>
    <t>S.E. ZORRITOS - CELDA CL6665</t>
  </si>
  <si>
    <t>Desconectó la celda de la línea L-6665 (Zorritos - Tumbes) de 60 kV en la S.E. Zorritos. De acuerdo a lo informado por REP, titular de la celda, se produjo la actuación adecuada de la protección de sobre corriente de fases, cuyo ajuste se encuentra en 130 % de la corriente nominal del TC. Como consecuencia se interrumpió el suministro de las subestaciones Tumbes, Zarumilla y Puerto Pizarro con un total de 31,29 MW. A las 18:42 h, se conectó la celda y se inició la normalización del suministro interrumpido.</t>
  </si>
  <si>
    <t>L. CARHUAQUERO - CHICLAYO OESTE - LINEA L-2240</t>
  </si>
  <si>
    <t>Desconectó la línea L-2240 (Chiclayo Oeste – Carhuaquero) de 220 kV por falla monofásica a tierra en la fase “S”, cuya causa no fue informada por ETENORTE, titular de la línea. El sistema de protección señalizo la activación de la función de distancia (21). El sistema de protección ubicó la falla a una distancia de 3,31 km de la S.E. Chiclayo Oeste. Asimismo, desconectaron los grupos G1 de la C.H. Caña Brava cuando generaba 5,09 MW, G1 y G2 de la C.H. Carhuaquero cuando generaban 30,60 MW y 30,51 MW, respectivamente, G4 de la C.H. Carhuaquero 4 cuando generaba 9,91 MW, la celda de la línea L-1141 (Espina Colorada – Las Pizarras) de 138 kV en la S.E. Las Pizarras y la C.H. Las Pizarras cuando generaba 18,47 MW. Como consecuencia los usuarios libres Cementos Pacasmayo y Minera Yanacocha redujeron su carga en 2,52 MW y 13,22, respectivamente. A las 08:04 h y 08:10 h, el CCO-COES coordinó con el CC-CNP y CC-YAN la normalización de sus suministros reducidos. A las 08:09 h, se conectó la línea L-1141. A las 08:28 h y 08:29 h, sincronizaron los grupos G2 y G1 de la C.H. Carhuaquero. A las 08:34, sincronizó el grupo G4 de la C.H. Carhuaquero 4. A las 08:43 h, sincronizó el grupo G1 de la C.H. Caña Brava. A las 08:53 h, sincronizó el grupo G2 de la C.H. Las Pizarras con el SEIN. La línea L-2240 quedó fuera de servicio por mantenimiento correctivo, cabe resaltar que también fallo la fase “T” del interruptor IN-2088 de la línea en el lado de la S.E. Chiclayo Oeste. A las 13:57 h del 07.05.2018, se conectó la línea L-2240.</t>
  </si>
  <si>
    <t>S.E. CARHUAQUERO - TRAFO3D 2TPB011</t>
  </si>
  <si>
    <t>Desconectó el transformador 2TPB011 de la S.E. Carhuaquero de 220/138/22,9/10 kV, por falla. De acuerdo con lo informado por ELECTRO NORTE, titular del transformador, la falla se produjo a la salida de los alimentadores de 22,9 kV. Asimismo, desconectó la C.H. Las Pizarras cuando generaba 10,37 MW. Como consecuencia se interrumpió el suministro de las subestaciones Carhuaquero, Cutervo y Nueva Jaén con un total de 21,06 MW. A las 13:07 h, se conectó el transformador 2TPB011 y se inició la normalización del suministro interrumpido. A las 13:45 h, sincronizó el grupo G2 de la C.H. Las Pizarras con el SEIN.</t>
  </si>
  <si>
    <t>Desconectó la celda de la línea L-6665 (Zorritos - Tumbes) de 60 kV en la S.E. Zorritos. De acuerdo a lo informado por REP, titular de la celda, se produjo la actuación adecuada de la protección de sobre corriente de fases, cuyo ajuste se encuentra en 130 % de la corriente nominal del TC. Como consecuencia se interrumpió el suministro de las subestaciones Tumbes, Zarumilla y Puerto Pizarro con un total de 31,67 MW. A las 18:40 h, se conectó la línea y se inició la normalización del suministro interrumpido.</t>
  </si>
  <si>
    <t>L. PARAMONGA N. - 09 DE OCTUBRE - LINEA L-6655</t>
  </si>
  <si>
    <t>Desconectó la línea L-6655 (Paramonga - 09 de Octubre) de 66 kV por falla monofásica a tierra en la fase “T”, cuya causa no fue informada por HIDRANDINA, titular de la línea. El sistema de protección señalizó la activación de la función de sobre corriente a tierra (51N). Como consecuencia se interrumpió el suministro de la S.E. Huarmey y Pto. Antamina con un total de 5,21 MW. A las 18:43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</si>
  <si>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de sobre corriente de fases (50). Como consecuencia, se interrumpió el suministro de las subestaciones Ananea y Huancané con un total de 2,30 MW. A las 15:19 h, se conectó la línea y se inició la normalización del suministro interrumpido.</t>
  </si>
  <si>
    <t>EMPRESA DE GENERACION HUALLAGA</t>
  </si>
  <si>
    <t>C.H. CHAGLLA - CH CENTRAL</t>
  </si>
  <si>
    <t>A las 10:29:08 h y 10:29:32 h, se produjo la desconexión de los grupos G2 y G1 de la C.H. Chaglla, respectivamente, cuando generaban un total de 451,65 MW. De acuerdo a lo informado por EMPRESA DE GENERACIÓN HUALLAGA se produjo la actuación de la protección de temperatura muy alta de aceite del tanque de la unidad hidráulica de sus respectivos reguladores de velocidad.
Como consecuencia de la desconexión de la C.H. Chaglla, se produjo el desbalance carga-generación en el SEIN, con lo cual, la frecuencia disminuyó desde 59,981 Hz hasta 59,177 Hz, activándose el Esquema de Rechazo Automático de Carga por Mínima Frecuencia (ERACMF) que interrumpió un total de 193,66 MW.
A las 10:44 h, se inició la normalización de los suministros interrumpidos por activación del ERACMF. A las 10:48 h y 11:16 h, sincronizaron los grupos G1 y G2 de la C.H. Chaglla, respectivamente.</t>
  </si>
  <si>
    <t>Desconectó la celda de la línea L-6665 (Zorritos - Tumbes) de 60 kV en la S.E. Zorritos. De acuerdo a lo informado por REP, titular de la celda, la falla se produjo por mal ajuste de la protección de distancia. Como consecuencia se interrumpió el suministro de las subestaciones Tumbes, Puerto Pizarro y Zarumilla con un total de 24,32 MW. A las 12:08 h, se conectó la línea y se inició la normalización del suministro interrumpido.</t>
  </si>
  <si>
    <t>L. CHIMBOTE 500 - TRUJILLO 500 - LINEA L-5008</t>
  </si>
  <si>
    <t>Se produjo el recierre exitoso de la línea L-5008 (Chimbote Nueva – Trujillo Nueva) de 500 kV en la fase “T”, por falla. De acuerdo con lo informado por TRANSMANTARO, titular de la línea, la falla se produjo por pérdida de aislamiento por contaminación. El sistema de protección señalizó la activación de la función diferencial de línea (87) y ubicó la falla a una distancia de 20,30 km de la S.E. Trujillo Nueva. No se produjo interrupción de suministros en el SEIN. Los usuarios libres Cementos Pacasmayo y Sider Perú redujeron su carga en 1,87 MW y 2,00 MW.</t>
  </si>
  <si>
    <t>Se produjo el recierre exitoso de la línea L-5008 (Chimbote Nueva – Trujillo Nueva) de 500 kV en la fase “T”, por falla. De acuerdo con lo informado por TRANSMANTARO, titular de la línea, la falla se produjo por pérdida de aislamiento por contaminación. El sistema de protección señalizó la activación de la función de distancia (21) y ubicó la falla a una distancia de 24,5 km de la S.E. Trujillo Nueva. Como consecuencia los usuarios libres Minera Yanacocha y Sider Perú redujeron su carga en 14,00 MW y 1,00 MW, respectivamente. A las 07:27 h y 07:30 h, el CCO-COES coordinó con el CC-YAN y CC-SID, respectivamente, normalizar el total de su carga reducidos.</t>
  </si>
  <si>
    <t>L. KIMAN AYLLU - SIHUAS - LINEA L-1132</t>
  </si>
  <si>
    <t>Desconectó la línea L-1132 (Kiman Ayllu – Sihuas) de 138 kV, por falla monofásica a tierra en la fase “R”. De acuerdo con lo informado por HIDRANDINA, titular de la línea, la falla se produjo por descargas atmosféricas. El sistema de protección señalizó la activación de la función de distancia (21) y ubicó la falla a una distancia de 14,70 km de la S.E. Kiman Ayllu. Como consecuencia se interrumpió el suministro de las subestaciones Sihuas, Tayabamba, Huari y Llacuabamba con un total de 7,30 MW. A las 15:53 h, se conectó la línea y se inició la normalización del suministro interrumpido.</t>
  </si>
  <si>
    <t>L. BELAUNDE TERRY - TARAPOTO - LINEA L-1018</t>
  </si>
  <si>
    <t>Desconectó la línea L-1018 (Belaunde Terry – Tarapoto) de 138 kV en la S.E. Tarapoto, por falla monofásica a tierra en la fase “T”. De acuerdo, con lo informado por ELECTRO ORIENTE, titular de la línea, la falla se produjo por descargas atmosféricas. El sistema de protección señalizó la activación de la función de distancia (21). Cabe resaltar que en el lado de la S.E. Belaunde Terry se produjo recierre monofásico exitoso, en consecuencia, la línea quedó tensionada desde la S.E. Belaunde Terry. No se produjo interrupción de suministros en el SEIN. A las 18:14 h, el CCO-COES coordinó con el CC-TRS desconectar el reactor de barra R-09 de la S.E. Aguaytía, pero debido a falta de mando y comunicación, la desconexión se produjo manualmente en la subestación a las 18:32 h. A las 18:17 h, el CC-EOR rechazo 5,61 MW de su carga a requerimiento propio por mínimos perfiles de tensión. A las 18:43 h, el CCO-COES coordinó con el CC-ELOR, rechazar 1,00 MW, para poder conectar la línea L-1018 en el lado de la S.E. Tarapoto por condiciones de diferencia angular, a esa misma hora ELECTRO ORIENTE ejecuto un total de 2,39 MW de rechazo de carga. A las 18:44 h, se conecto la línea L-1018 en la S.E. Tarapoto y el CCO-COES coordinó con el CC-EOR recuperar el total de su carga, a esa misma hora ELECTRO ORIENTE recuperó el total de su carga.</t>
  </si>
  <si>
    <t>Desconectó la línea L-2192 (Cajamarca Norte - Caclic) de 220 kV, por falla monofásica a tierra en la fase “T”. De acuerdo, a lo informado por CONCESIONARIA LÍNEA DE TRANSMISIÓN CCNCM, titular de la línea, la falla se produjo por acercamiento de arboles. El sistema de protección señalizó la activación de la función diferencial de línea (87) y ubicó la falla a una distancia de 152,50 km de la S.E. Cajamarca Norte. Como consecuencia se activó el esquema de rechazo automático de carga por mínima tensión de la S.E. Moyobamba y se desconectó la línea L-6091 (Moyobamba – Rioja) de 60 kV, interrumpiéndose los suministros de las S.E. Rioja, Nueva Cajamarca y Cementos Selva con un total de 9,07 MW. Asimismo, desconectó el reactor de barra RB-3201 y RB-4201 de la S.E. Caclic y Belaunde Terry, respectivamente, el transformador AT-3201 de la S.E. Caclic y la línea L-2194 (Cáclic – Belaunde Terry) de 220 kV. A las 21:04 h y 21:09 h, se conectó la línea L-2192 y L-2194. A las 21:39 h, se conectó el auto transformador AT-3201 de la S.E. Belaunde Terry cerrando el anillo Cajamarca Norte – Cáclic – Belaunde Terry. A las 21:10 h, se conectó la línea L-6091 y se inicio la normalización del suministro interrumpido.</t>
  </si>
  <si>
    <t xml:space="preserve">ELECTRO DUNAS </t>
  </si>
  <si>
    <t>L. INDEPENDENCIA - PISCO - LINEA L-6605</t>
  </si>
  <si>
    <t>Desconectó la línea L-6605 (Independencia - Pisco) de 60 kV, por falla bifásica entre las fases “R” y “S”, cuya causa no fue informada por ELECTRO DUNAS, titular de la línea. El sistema de protección señalizó la activación de la función de distancia (21) y ubicó la falla a una distancia de 40,0 km de la S.E. Independencia. Como consecuencia se interrumpió el suministro de las subestaciones Pisco y Alto la Luna con un total de 9,27 MW. A las 07:19 h, se conectó la línea y se inició la normalización del suministro interrumpido.</t>
  </si>
  <si>
    <t xml:space="preserve">MINERA VOLCAN </t>
  </si>
  <si>
    <t>L. POMACOCHA - SAN CRISTOBAL - LINEA L-6545</t>
  </si>
  <si>
    <t>Desconectó la línea L-6545 (Pomacocha - San Cristóbal) de 50 kV, por falla monofásica a tierra en la fase “R”. De acuerdo a lo informado por MINERA VOLCÁN, titular de la línea, la falla se produjo por descargas atmosféricas, asimismo se produjo falla en el pararrayo de la fase “R” de la S.E. Andaychagua Nuevo y falla del cable de trampa de onda en la fase “R” en la S.E. San Cristóbal. Como consecuencia se interrumpió el suministro de las subestaciones San Cristóbal y Andaychagua con un total de 7,65 MW. A las 02:40 h, se conectó la línea y se inició la normalización del suministro interrumpido.</t>
  </si>
  <si>
    <t>L. MAZUCO - PTO MALDONADO - LINEA L-1015</t>
  </si>
  <si>
    <t>Desconectó la línea L-1015 (Mazuco - Puerto Maldonado) de 138 kV, por falla trifasica. De acuerdo con lo informado por ELECTRO SUR ESTE, titular de la línea, la falla se produjo por descargas atmosféricas. El sistema de protección señalizo la activación de la función de distancia (21). El sistema de protección ubicó la falla a una distancia de 5,34 MW de la S.E. Mazuco. Como consecuencia se interrumpió el suministro de la S.E. Puerto Maldonado con un total de 7,53 MW. A las 02:22 h, se conectó la línea y se inició la normalización del suministro interrumpido.</t>
  </si>
  <si>
    <t>L. SAN GABÁN II - MAZUCO - LINEA L-1014</t>
  </si>
  <si>
    <t>Desconectó la línea L-1014 (San Gabán II - Mazuco) de 138 kV, por falla monofásica a tierra en la fase “R”. De acuerdo con lo informado por ELECTRO SUR ESTE, titular de la línea, la falla se produjo por descargas atmosféricas. El sistema de protección señalizo la activación de la función de distancia (21). El sistema de protección ubicó la falla a una distancia de 50,30 km de la S.E. San Gabán II. Como consecuencia, se interrumpió suministro de las subestaciones Mazuco y Puerto Maldonado con un total de 8.13 MW. A las 03:23 h, se conectó la línea y se inició la normalización del suministro interrumpido.</t>
  </si>
  <si>
    <t>Desconectó la línea L-6007 (Puno - Tucari) de 60 kV, por falla monofásica a tierra en fase “S”. De acuerdo con lo informado por MINERA ARUNTANI titular de la línea, la falla fue provocada por terceros. El sistema de protección señalizó la activación de la función de distancia (21) y ubicó la falla a una distancia de 70,67 km. Como consecuencia se interrumpió el suministro de la S.E. Tucari con un total de 4,90 MW aproximadamente. A las 12:04 h, se conectó la línea y se inició la normalización del suministro interrumpido.</t>
  </si>
  <si>
    <t>L. ARICOTA 1 - SARITA - LINEA L-6667</t>
  </si>
  <si>
    <t>Desconectó la línea L-6667 (Aricota 1 – Sarita) de 66 kV, por falla monofásica a tierra en la fase “S”, cuya causa no fue informada por EGESUR, titular de la línea. Como consecuencia se interrumpió el suministro de las subestaciones Tarata, Candarave y Ayro con un total de 0,58 MW. A las 08:57 h, se conectó la línea y se inicio la normalización del suministro interrumpido.</t>
  </si>
  <si>
    <t>Desconectó la línea L-6605 (Independencia - Pisco) de 60 kV, por falla bifásica entre las fases “R” y “S”. De acuerdo a lo informado por ELECTRO DUNAS, titular de la línea, la falla se produjo por contacto de aves con la línea entre las estructuras N° 154 a 155. El sistema de protección señalizó la activación de la función de distancia (21). El sistema de protección detecto la falla a una distancia de 38,94 km de la S.E. Independencia. Como consecuencia se interrumpió el suministro de las subestaciones Pisco y Alto La Luna con un total de 9,61 MW. A las 15:43 h, se conectó la línea y se inició la normalización del suministro interrumpido.</t>
  </si>
  <si>
    <t>EMPRESA DE ENERGIA YAMOBAMBA SAC</t>
  </si>
  <si>
    <t>S.E. LA RAMADA - TRAFO3D TP0-870</t>
  </si>
  <si>
    <t>Desconectó el transformador TP-870 de 220/22,9/10 kV de la S.E. La Ramada. De acuerdo a lo informado por EMPRESA DE ENERGÍA YAMOBAMBA titular del equipo, la falla se produjo por incremento de corriente súbita en las fases R y T, luego de haber registrado como pre falla corrientes con componentes armónicas de 2do, 3ro y 5to armónico, posiblemente Provenientes de la red de 22.9 kV. El sistema de protección señalizó la activación de la función diferencial del transformador (87). Como consecuencia se interrumpió el suministro del usuario libre La Arena con 7,70 MW, aproximadamente. A las 13:09 h, se conectó el transformador y se inició la normalización del suministro interrumpido.</t>
  </si>
  <si>
    <t>L. CARHUAMAYO - HUARÓN - LINEA L-6514</t>
  </si>
  <si>
    <t>Desconectaron las líneas L-6514 (Carhuamayo - Shelby) y L-6516 (Shelby - Excélsior) de 50 kV, cuya causa no fue informada por STATKRAFT, titular de las líneas. Como consecuencia se interrumpió el suministro de las subestaciones Shelby y San José con un total de 3,70 MW. El sistema de protección señalizo la activación de la función de sobrecorriente direccional de fases (67). A las 17:00 h, se conectó la línea L-6516 y se normalizó el suministro interrumpido. A las 19:34 h, se conectó la línea L-6514.</t>
  </si>
  <si>
    <t>SOUTHERN PERU CC</t>
  </si>
  <si>
    <t>S.E. PUSH BACK (TOQUEPALA) - TRAFO PBT1</t>
  </si>
  <si>
    <t>Desconectó el transformador PBT1 de 138/69 kV en el lado de 69 kV de la S.E. Push Back, por activación de su protección de sobre corriente al superar sus ajustes de protección, de acuerdo a lo informado SOUTHERN PERU, titular del equipo. Cabe resaltar, que el transformador PBT2 se encontraba fuera de servicio por mantenimiento programado. Como consecuencia se interrumpió el suministro de la S.E. Push Back con un total de 24,80 MW. A las 10:04 h, se conectó el transformador y se inició la normalización del suministro interrumpido.</t>
  </si>
  <si>
    <t>S.E. PUCALLPA - BARRA BARRA_60kV</t>
  </si>
  <si>
    <t>Desconectó la barra de 60 kV de la SE Pucallpa, por falla monofásica a tierra en la fase “S”. De acuerdo con lo informado por ISA PERÚ, titular de la barra, la falla se produjo por acercamiento de aves en las instalaciones de la empresa ELECTRO UCAYALI. El sistema de protección señalizó la activación de la función diferencial de barra (87). Asimismo, la empresa ELECTRO UCAYALI informó que solo se produjo falla en el lado de 22,9 kV, por el contacto del conductor de la fase “S” del enlace al apartarrayos con el pórtico de la estructura de la barra de 22.9 kV, producida debido a acercamiento de aves. Como consecuencia, se interrumpió el suministro de las subestaciones Pucallpa, Parque Industrial y Yarinacocha con un total de 29,58 MW de. A las 01:49 h, se energizó la barra y se inició la normalización del suministro interrumpido.</t>
  </si>
  <si>
    <t>S.E. CHIMBOTE 2 - TRAFO TR2</t>
  </si>
  <si>
    <t>Desconectó el transformador TPA-A042 de 138/13,8 kV de la S.E. Chimbote 2, por falla en la fase “S”, cuya causa no fue informada por HIDRANDINA, titular del equipo. El sistema de protección señalizó la activación de la función diferencial de transformador (87). Como consecuencia se interrumpió el suministro de Sider Norte con 68,40 MW. A las 09:40 h, se conectó el transformador y se inició la normalización del suministro interrumpido.</t>
  </si>
  <si>
    <t>MINERA SANTA LUISA</t>
  </si>
  <si>
    <t>L. VIZCARRA - HUALLANCA NUEVA - LINEA L-2262</t>
  </si>
  <si>
    <t>Desconectó la línea L-2262 (Vizcarra – Huallanca Nueva) de 220 kV en la S.E. Huallanca Nueva por falla monofásica en la fase “T”. De acuerdo, a lo informado por MINERA SANTA LUISA titular de la línea, la falla se produjo por contacto de arboles con la línea. Cabe resaltar que en el lado de la S.E. Vizcarra se produjo el recierre exitoso de la fase “T”. Como consecuencia se interrumpió el suministro suministros de la S.E. Huallanca Nueva y La Unión con un total de 5,97 MW. Asimismo, desconectó la C.H. Marañón cuando generaba 19,92 MW y la C.H. Huallanca Nueva. A las 10:38 h, se conectó la línea L-2262 y se inició la normalización del suministro interrumpido. A las 12:22 h, sincronizó la C.H. Marañón con el SEIN.</t>
  </si>
  <si>
    <t>Desconectó la línea L-2262 (Vizcarra – Huallanca Nueva) de 220 kV en la S.E. Vizcarra por falla. De acuerdo, a lo informado por MINERA SANTA LUISA titular de la línea, la falla se produjo por contacto de arboles con la línea. Cabe resaltar que en el lado de la S.E. Huallanca Nueva la línea se encontraba desconectada. No se produjo interrupción de suministros en el SEIN. El usuario libre Minera Antamina redujo su carga en 72,75 MW. A las 09:25 h el CCO-COES coordinó con el CC-CMA recuperar su carga reducida. Asimismo, desconectó el interruptor IN-2402 de 220 kV de la S.E. Vizcarra, desenergizando la línea L-2286 (Vizcarra – Antamina) de 220 kV. A las 10:37 h y 10:38 h, se conectó la línea L-2286 y L-2262, respectivamente.</t>
  </si>
  <si>
    <t>Desconectó el transformador TPA-A042 de 138/13,8 kV de la S.E. Chimbote 2, por falla en la fase “S”, cuya causa no fue informada por HIDRANDINA, titular del equipo. El sistema de protección señalizó la activación de la función diferencial de transformador (87). Como consecuencia se interrumpió el suministro de Sider Norte con 36,00 MW. A las 10:29 h, se conectó el transformador y se inició la normalización del suministro interrumpido.</t>
  </si>
  <si>
    <t>Desconectó la línea L-6605 (Independencia - Pisco) de 60 kV, por falla bifásica entre las fases “R” y “S”. De acuerdo a lo informado por ELECTRO DUNAS, titular de la línea, la falla se produjo por contacto de aves con la línea en la estructura N° 148. El sistema de protección señalizó la activación de la función de distancia (21). El sistema de protección detecto la falla a una distancia de 38,85 km de la S.E. Independencia. Como consecuencia se interrumpió el suministro de las subestaciones Pisco y Alto La Luna con un total de 8,36 MW. A las 07:57 h, se conectó la línea y se inició la normalización del suministro interrumpido.</t>
  </si>
  <si>
    <t>Desconectó la línea L-6605 (Independencia - Pisco) de 60 kV, por falla bifásica entre las fases “R” y “S”. De acuerdo a lo informado por ELECTRO DUNAS, titular de la línea, la falla se produjo por contacto de aves con la línea en la estructura N° 148. El sistema de protección señalizó la activación de la función de distancia (21). El sistema de protección detecto la falla a una distancia de 38,85 km de la S.E. Independencia. Como consecuencia se interrumpió el suministro de las subestaciones Pisco y Alto La Luna con un total de 9,92 MW. A las 12:26 h, se conectó la línea y se inició la normalización del suministro interrumpido.</t>
  </si>
  <si>
    <t>Desconectó la línea L-6605 (Independencia - Pisco) de 60 kV, por falla bifásica entre las fases “R” y “S”. De acuerdo a lo informado por ELECTRO DUNAS, titular de la línea, la falla se produjo por contacto de aves con la línea en la estructura N° 148. El sistema de protección señalizó la activación de la función de distancia (21). El sistema de protección detecto la falla a una distancia de 38,85 km de la S.E. Independencia. Como consecuencia se interrumpió el suministro de las subestaciones Pisco y Alto La Luna con un total de 8,41 MW. A las 12:59 h, se conectó la línea y se inició la normalización del suministro interrumpido.</t>
  </si>
  <si>
    <t>Desconectó la línea L-6024 (Azángaro - Putina) de 60 kV, por falla monofásica a tierra en la fase “R”. De acuerdo con lo informado por ELECTRO PUNO, titular de la línea, la falla se produjo por fuertes vientos en la zona. El sistema de protección señalizó la activación de la función diferencial (87). Como consecuencia se interrumpió el suministro de la S.E. Ananea y Huancané con un total de 5,05 MW. A las 16:53 h, se conectó la línea y se inició la normalización del suministro interrumpido.</t>
  </si>
  <si>
    <t>Desconectó la línea L-6645 (Guadalupe - Chepén) de 60 KV, por falla bifásica entre las fases “S” y “T”. De acuerdo con lo informado por HIDRANDINA, titular de la línea, la falla se produjo por actos vandálicos, se encontró una soga entre las estructuras N°12 y N°13 que cortocircuitaba las fases antes mencionada, lo que se atribuye a actos vandálicos. El sistema de protección señalizó la activación de la función diferencial de línea (87) y ubicó la falla a una distancia de 2,29 km de la S.E. Guadalupe. Como consecuencia se interrumpió el suministro de la subestación Chepén con un total de 8,10 MW. Asimismo, el usuario libre CEMENTOS PACASMAYO, redujo su carga en 9,80 MW. A las 19:55 h, el CCO-COES coordinó con el CC-CNP normalizar el total de sus suministros reducidos. A las 20:43 h, se conectó la línea y se inició la normalización del suministro interrumpido.</t>
  </si>
  <si>
    <t>L. TOMASIRI - LOS HÉROES - LINEA L-6637</t>
  </si>
  <si>
    <t>Desconectaron las líneas L-6637 (Tomasiri - Los Héroes) de 66 kV y L-6620 (Aricota 2 - Tomasiri) de 66 kV por falla a tierra en la fase “T”. De acuerdo a lo informado por EGESUR, titular de la línea, la falla se produjo por neblina en la zona de Lomas entre las estructuras N° 385 a 395. El sistema de protección señalizo la activación de la función de distancia (21) en el lado de la S.E. Aricota 2 y sobrecorriente direccional a tierra (67N) en el lado de la S.E. Los Héroes. El sistema de protección detecto la falla a una distancia de 76,90 km de la S.E. Aricota 2. Como consecuencia se interrumpió el suministro de la S.E. Tomasiri, con un total de 1,20 MW. A las 11:43 h se conectó la línea L-6620 desde la S.E. Aricota 2 con lo cual se procedió a normalizar los suministros interrumpidos. La línea L-6637 quedó indisponible. A las 13:47 h del 31.05.2018, se conectó la línea L-6637.</t>
  </si>
  <si>
    <t>Desconectó la línea L-6605 (Independencia - Pisco) de 60 kV, por falla bifásica entre las fases “R” y “S”. De acuerdo a lo informado por ELECTRO DUNAS, titular de la línea, la falla se produjo por contacto de aves con la línea en la estructura N° 148. El sistema de protección señalizó la activación de la función de distancia (21). El sistema de protección detecto la falla a una distancia de 38,87 km de la S.E. Independencia. Como consecuencia se interrumpió el suministro de las subestaciones Pisco y Alto La Luna con un total de 16,36 MW. A las 13:57 h, se conectó la línea y se inició la normalización del suministro interrumpido.</t>
  </si>
  <si>
    <t>Desconectó la línea L-6007 (Puno - Tucari) de 60 kV, cuya causa no fue informada por MINERA ARUNTANI, titular de la línea. El sistema de protección señalizó la activación de la función de distancia (21). Como consecuencia se interrumpió el suministro de la S.E. Tucari con un total de 5,46 MW aproximadamente. A las 18:04h, se conectó la línea y se inició la normalización del suministro interrumpido.</t>
  </si>
  <si>
    <t>CELDA</t>
  </si>
  <si>
    <t>CENTRAL HIDROELÉCTRICA</t>
  </si>
  <si>
    <t>(1)  A partir del 29.09.2017 la C.H. Cerro del Águila pasa a ser propiedad de la empresa Kallpa Generación S.A.</t>
  </si>
  <si>
    <t>KALLPA  (1)</t>
  </si>
  <si>
    <t>KALLPA (1)</t>
  </si>
  <si>
    <t>6 616,676 MW</t>
  </si>
  <si>
    <t>08/05/2018</t>
  </si>
  <si>
    <t>01/05/2018</t>
  </si>
  <si>
    <t>02/05/2018</t>
  </si>
  <si>
    <t>03/05/2018</t>
  </si>
  <si>
    <t>04/05/2018</t>
  </si>
  <si>
    <t>05/05/2018</t>
  </si>
  <si>
    <t>06/05/2018</t>
  </si>
  <si>
    <t>07/05/2018</t>
  </si>
  <si>
    <t>17:45</t>
  </si>
  <si>
    <t>09/05/2018</t>
  </si>
  <si>
    <t>10/05/2018</t>
  </si>
  <si>
    <t>11/05/2018</t>
  </si>
  <si>
    <t>18:30</t>
  </si>
  <si>
    <t>12/05/2018</t>
  </si>
  <si>
    <t>13/05/2018</t>
  </si>
  <si>
    <t>14/05/2018</t>
  </si>
  <si>
    <t>15/05/2018</t>
  </si>
  <si>
    <t>16/05/2018</t>
  </si>
  <si>
    <t>14:45</t>
  </si>
  <si>
    <t>17/05/2018</t>
  </si>
  <si>
    <t>18/05/2018</t>
  </si>
  <si>
    <t>19/05/2018</t>
  </si>
  <si>
    <t>20/05/2018</t>
  </si>
  <si>
    <t>21/05/2018</t>
  </si>
  <si>
    <t>19:15</t>
  </si>
  <si>
    <t>22/05/2018</t>
  </si>
  <si>
    <t>23/05/2018</t>
  </si>
  <si>
    <t>24/05/2018</t>
  </si>
  <si>
    <t>25/05/2018</t>
  </si>
  <si>
    <t>26/05/2018</t>
  </si>
  <si>
    <t>27/05/2018</t>
  </si>
  <si>
    <t>28/05/2018</t>
  </si>
  <si>
    <t>29/05/2018</t>
  </si>
  <si>
    <t>30/05/2018</t>
  </si>
  <si>
    <t>31/05/2018</t>
  </si>
  <si>
    <t>El total de la producción de energía eléctrica de la empresas generadoras integrantes del COES en el mes de mayo 2018 fue de 4 287,98  GWh, lo que representa un incremento de 123,91 GWh (2,98%) en comparación con el año 2017.</t>
  </si>
  <si>
    <t>La producción de electricidad con centrales hidroeléctricas durante el mes de mayo 2018 fue de 2 632,79 GWh (2,09% menor al registrado durante mayo del año 2017).</t>
  </si>
  <si>
    <t>La producción de electricidad con centrales termoeléctricas durante el mes de mayo 2018 fue de 1 453,98 GWh, 6,44% mayor al registrado durante mayo del año 2017. La participación del gas natural de Camisea fue de 32,02%, mientras que las del gas que proviene de los yacimientos de Aguaytía y Malacas fue del 1,62%, la producción con diesel, residual, carbón, biogás y bagazo tuvieron una intervención del 0,01%, 0,00%, 0,00%, 0,08%, 0,17% respectivamente.</t>
  </si>
  <si>
    <t>La producción de energía eléctrica con centrales eólicas fue de 93,01 GWh y con centrales solares fue de 15,97 GWh, los cuales tuvieron una participación de 3,34% y 1,35% respectivamente.</t>
  </si>
  <si>
    <t>(*) A partir del 29.09.2017 la C.H. Cerro del Águila pasa a ser propiedad de la empresa Kallpa Generación S.A.</t>
  </si>
  <si>
    <t>KALLPA (*)</t>
  </si>
  <si>
    <t>CERRO DEL AGUILA (*)</t>
  </si>
  <si>
    <t>SAN JUAN - LOS INDUSTRIALES</t>
  </si>
  <si>
    <t>CAMPO ARMIÑO - HUANCAVELICA</t>
  </si>
  <si>
    <t>INDEPENDENCIA</t>
  </si>
  <si>
    <t>CAMPO ARMIÑO - INDEPENDENCIA</t>
  </si>
  <si>
    <t>POMACOCHA - SAN JUAN</t>
  </si>
  <si>
    <t>HUANZA-CARABAYLLO</t>
  </si>
  <si>
    <t>MARCONA - SAN NICOLÁS</t>
  </si>
  <si>
    <t>SANTA ROSA N. - CHAVARRÍA</t>
  </si>
  <si>
    <t>CAMPO ARMIÑO - POMACOCHA</t>
  </si>
  <si>
    <t>VENTANILLA - ZAPALLAL</t>
  </si>
  <si>
    <t>SAN JUAN - SANTA ROSA N.</t>
  </si>
  <si>
    <t>ENLACE CENTRO - SUR</t>
  </si>
  <si>
    <t>L-2051 L-2052  L-5034  L-5036</t>
  </si>
  <si>
    <t>L-2203</t>
  </si>
  <si>
    <t>L-6627  L-6628</t>
  </si>
  <si>
    <t>L-2003  L-2004</t>
  </si>
  <si>
    <t>L-2201  L-2202</t>
  </si>
  <si>
    <t>L-2242  L-2243</t>
  </si>
  <si>
    <t>L-2011</t>
  </si>
  <si>
    <t>C.S. PANAMERICANA</t>
  </si>
  <si>
    <t>eólica</t>
  </si>
  <si>
    <t>viento</t>
  </si>
  <si>
    <t>aerogenerador</t>
  </si>
  <si>
    <r>
      <t>144,48</t>
    </r>
    <r>
      <rPr>
        <vertAlign val="superscript"/>
        <sz val="6.5"/>
        <rFont val="Arial"/>
        <family val="2"/>
      </rPr>
      <t>(1)</t>
    </r>
  </si>
  <si>
    <r>
      <t>123,61</t>
    </r>
    <r>
      <rPr>
        <vertAlign val="superscript"/>
        <sz val="6.5"/>
        <rFont val="Arial"/>
        <family val="2"/>
      </rPr>
      <t>(2)</t>
    </r>
  </si>
  <si>
    <r>
      <t>103,95</t>
    </r>
    <r>
      <rPr>
        <vertAlign val="superscript"/>
        <sz val="6.5"/>
        <rFont val="Arial"/>
        <family val="2"/>
      </rPr>
      <t>(3)</t>
    </r>
  </si>
  <si>
    <r>
      <t>44,54</t>
    </r>
    <r>
      <rPr>
        <vertAlign val="superscript"/>
        <sz val="6.5"/>
        <color theme="1"/>
        <rFont val="Arial"/>
        <family val="2"/>
      </rPr>
      <t>(1)</t>
    </r>
  </si>
  <si>
    <t>C.E. Wayra I</t>
  </si>
  <si>
    <t>42 aerogeneradores</t>
  </si>
  <si>
    <t>19.05.2018</t>
  </si>
  <si>
    <t>(1) El valor de potencias efectivas de la C.S. Rubí, C.S. Intipampa y C.E. Wayra I corresponden a la potencia instalada nominal declarada en la fecha de ingreso de operación comercial.</t>
  </si>
  <si>
    <r>
      <t>132,30</t>
    </r>
    <r>
      <rPr>
        <vertAlign val="superscript"/>
        <sz val="6.5"/>
        <rFont val="Arial"/>
        <family val="2"/>
      </rPr>
      <t>(1)</t>
    </r>
  </si>
  <si>
    <t>Central Eólica</t>
  </si>
  <si>
    <t>VOLUMEN  UTIL
31-05-2018</t>
  </si>
  <si>
    <t>VOLUMEN UTIL
31-05-2017</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</si>
  <si>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</si>
  <si>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</si>
  <si>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</si>
  <si>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</si>
  <si>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</si>
  <si>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</si>
  <si>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</si>
  <si>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</si>
  <si>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</si>
  <si>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</si>
  <si>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</si>
  <si>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</si>
  <si>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</si>
  <si>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</si>
  <si>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</si>
  <si>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</si>
  <si>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</si>
  <si>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</si>
  <si>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</si>
  <si>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</si>
  <si>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ECELIM (2)</t>
  </si>
  <si>
    <t>C.S. RUBI  (3)</t>
  </si>
  <si>
    <t>C.E. WAYRA I (9)</t>
  </si>
  <si>
    <t>C.S. INTIPAMPA  (7)</t>
  </si>
  <si>
    <t>LUZ DEL SUR / INLAND (4)</t>
  </si>
  <si>
    <t>TERMOCHILCA (6)</t>
  </si>
  <si>
    <t>SANTA ANA (5)</t>
  </si>
  <si>
    <t>CELEPSA RENOVABLES (8)</t>
  </si>
  <si>
    <t>PETRAMAS (2)</t>
  </si>
  <si>
    <t>C.S. RUBI (3)</t>
  </si>
  <si>
    <t>C.E. WAYRA I  (9)</t>
  </si>
  <si>
    <t>Máxima Demanda: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</si>
</sst>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6.5"/>
      <name val="Arial"/>
      <family val="2"/>
    </font>
    <font>
      <vertAlign val="superscript"/>
      <sz val="6.5"/>
      <name val="Arial"/>
      <family val="2"/>
    </font>
    <font>
      <sz val="6.5"/>
      <color theme="1"/>
      <name val="Arial"/>
      <family val="2"/>
    </font>
    <font>
      <vertAlign val="superscript"/>
      <sz val="6.5"/>
      <color theme="1"/>
      <name val="Arial"/>
      <family val="2"/>
    </font>
    <font>
      <sz val="5"/>
      <color rgb="FFA3A3A3"/>
      <name val="Arial"/>
      <family val="2"/>
    </font>
    <font>
      <sz val="8"/>
      <color rgb="FFA3A3A3"/>
      <name val="Arial"/>
      <family val="2"/>
    </font>
    <font>
      <b/>
      <sz val="5"/>
      <color rgb="FFA3A3A3"/>
      <name val="Arial"/>
      <family val="2"/>
    </font>
    <font>
      <b/>
      <sz val="10"/>
      <color rgb="FFA3A3A3"/>
      <name val="Tahoma"/>
      <family val="2"/>
    </font>
    <font>
      <b/>
      <sz val="8.5"/>
      <color rgb="FFA3A3A3"/>
      <name val="Tahoma"/>
      <family val="2"/>
    </font>
    <font>
      <sz val="8.5"/>
      <color rgb="FFA3A3A3"/>
      <name val="Tahoma"/>
      <family val="2"/>
    </font>
    <font>
      <sz val="8"/>
      <color rgb="FFA3A3A3"/>
      <name val="Helvetica"/>
      <family val="2"/>
    </font>
    <font>
      <sz val="8"/>
      <color rgb="FFA3A3A3"/>
      <name val="Arial Narrow"/>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
      <patternFill patternType="solid">
        <fgColor rgb="FFFFFF00"/>
        <bgColor indexed="6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6" fillId="0" borderId="0"/>
    <xf numFmtId="0" fontId="40" fillId="0" borderId="0"/>
    <xf numFmtId="0" fontId="40" fillId="0" borderId="0"/>
  </cellStyleXfs>
  <cellXfs count="984">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NumberFormat="1"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NumberFormat="1"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17" fontId="2" fillId="3" borderId="67" xfId="0" quotePrefix="1" applyNumberFormat="1" applyFont="1" applyFill="1" applyBorder="1" applyAlignment="1">
      <alignment horizontal="center" vertical="center" wrapText="1"/>
    </xf>
    <xf numFmtId="17" fontId="2" fillId="3" borderId="68" xfId="0" quotePrefix="1" applyNumberFormat="1" applyFont="1" applyFill="1" applyBorder="1" applyAlignment="1">
      <alignment horizontal="center" vertical="center" wrapText="1"/>
    </xf>
    <xf numFmtId="0" fontId="2" fillId="3" borderId="75" xfId="0" applyFont="1" applyFill="1" applyBorder="1" applyAlignment="1">
      <alignment horizontal="center"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0" fontId="2" fillId="3" borderId="85" xfId="0" applyFont="1" applyFill="1" applyBorder="1" applyAlignment="1">
      <alignment horizontal="center" vertical="center" wrapText="1"/>
    </xf>
    <xf numFmtId="0" fontId="2" fillId="3" borderId="86" xfId="0" applyFont="1" applyFill="1" applyBorder="1" applyAlignment="1">
      <alignment horizontal="center" vertical="center" wrapText="1"/>
    </xf>
    <xf numFmtId="4" fontId="13" fillId="0" borderId="88" xfId="0" applyNumberFormat="1" applyFont="1" applyBorder="1" applyAlignment="1">
      <alignment horizontal="center" vertical="center"/>
    </xf>
    <xf numFmtId="4" fontId="13" fillId="2" borderId="88" xfId="0" applyNumberFormat="1" applyFont="1" applyFill="1" applyBorder="1" applyAlignment="1">
      <alignment horizontal="center" vertical="center"/>
    </xf>
    <xf numFmtId="4" fontId="13" fillId="0" borderId="88" xfId="0" applyNumberFormat="1" applyFont="1" applyFill="1" applyBorder="1" applyAlignment="1">
      <alignment horizontal="center" vertical="center"/>
    </xf>
    <xf numFmtId="0" fontId="21" fillId="7" borderId="89" xfId="0" applyFont="1" applyFill="1" applyBorder="1" applyAlignment="1">
      <alignment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4" fontId="21" fillId="7"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30"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NumberFormat="1" applyFont="1" applyFill="1" applyBorder="1" applyAlignment="1">
      <alignment horizontal="center" vertical="center" wrapText="1"/>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21" fillId="2" borderId="0" xfId="0" applyNumberFormat="1" applyFont="1" applyFill="1" applyBorder="1" applyAlignment="1">
      <alignment horizontal="right"/>
    </xf>
    <xf numFmtId="2" fontId="0" fillId="0" borderId="0" xfId="0" applyNumberFormat="1" applyFont="1"/>
    <xf numFmtId="49" fontId="27" fillId="0" borderId="0" xfId="0" applyNumberFormat="1" applyFont="1" applyFill="1" applyBorder="1" applyAlignment="1">
      <alignment horizontal="center"/>
    </xf>
    <xf numFmtId="17" fontId="2" fillId="3" borderId="23" xfId="0" applyNumberFormat="1" applyFont="1" applyFill="1" applyBorder="1" applyAlignment="1">
      <alignment horizontal="center"/>
    </xf>
    <xf numFmtId="0" fontId="2" fillId="3" borderId="23" xfId="0" applyNumberFormat="1"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20" fontId="2" fillId="3" borderId="58" xfId="0" applyNumberFormat="1" applyFont="1" applyFill="1" applyBorder="1" applyAlignment="1">
      <alignment horizontal="center" vertical="center" wrapText="1"/>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43" fontId="13" fillId="0" borderId="88" xfId="1" applyFont="1" applyBorder="1" applyAlignment="1">
      <alignment vertical="center" wrapText="1"/>
    </xf>
    <xf numFmtId="43" fontId="13" fillId="2" borderId="88" xfId="1" applyFont="1" applyFill="1" applyBorder="1" applyAlignment="1">
      <alignment vertical="center" wrapText="1"/>
    </xf>
    <xf numFmtId="43" fontId="13" fillId="0" borderId="88" xfId="1" applyFont="1" applyFill="1" applyBorder="1" applyAlignment="1">
      <alignment vertical="center" wrapText="1"/>
    </xf>
    <xf numFmtId="0" fontId="13" fillId="0" borderId="88" xfId="0" applyFont="1" applyFill="1" applyBorder="1" applyAlignment="1">
      <alignment vertical="center" wrapText="1"/>
    </xf>
    <xf numFmtId="0" fontId="2" fillId="3" borderId="86" xfId="0" quotePrefix="1" applyNumberFormat="1" applyFont="1" applyFill="1" applyBorder="1" applyAlignment="1">
      <alignment horizontal="center" vertical="center" wrapText="1"/>
    </xf>
    <xf numFmtId="0" fontId="2" fillId="3" borderId="87" xfId="0" applyFont="1" applyFill="1" applyBorder="1" applyAlignment="1">
      <alignment horizontal="center" vertical="center" wrapText="1"/>
    </xf>
    <xf numFmtId="166" fontId="13" fillId="0" borderId="88" xfId="2" applyNumberFormat="1" applyFont="1" applyBorder="1" applyAlignment="1">
      <alignment horizontal="center" vertical="center"/>
    </xf>
    <xf numFmtId="166" fontId="21" fillId="7" borderId="88" xfId="2" applyNumberFormat="1" applyFont="1" applyFill="1" applyBorder="1" applyAlignment="1">
      <alignment horizontal="center" vertical="center"/>
    </xf>
    <xf numFmtId="0" fontId="38" fillId="2" borderId="0" xfId="0" applyNumberFormat="1" applyFont="1" applyFill="1" applyBorder="1" applyAlignment="1"/>
    <xf numFmtId="0" fontId="38" fillId="2" borderId="0" xfId="0" applyNumberFormat="1" applyFont="1" applyFill="1" applyBorder="1"/>
    <xf numFmtId="4" fontId="0" fillId="0" borderId="70" xfId="0" applyNumberFormat="1" applyFont="1" applyBorder="1" applyAlignment="1">
      <alignment horizontal="right" vertical="center"/>
    </xf>
    <xf numFmtId="0" fontId="13" fillId="0" borderId="88" xfId="0" applyFont="1" applyBorder="1" applyAlignment="1">
      <alignment horizontal="left" vertical="center"/>
    </xf>
    <xf numFmtId="0" fontId="34" fillId="2" borderId="0" xfId="0" applyNumberFormat="1" applyFont="1" applyFill="1" applyAlignment="1"/>
    <xf numFmtId="0" fontId="33" fillId="9" borderId="103" xfId="5" applyFont="1" applyFill="1" applyBorder="1" applyAlignment="1">
      <alignment horizontal="center" vertical="center"/>
    </xf>
    <xf numFmtId="0" fontId="31" fillId="0" borderId="106" xfId="0" applyNumberFormat="1" applyFont="1" applyFill="1" applyBorder="1"/>
    <xf numFmtId="43" fontId="31" fillId="0" borderId="106" xfId="1" applyFont="1" applyFill="1" applyBorder="1"/>
    <xf numFmtId="43" fontId="31" fillId="0" borderId="107" xfId="1" applyFont="1" applyFill="1" applyBorder="1"/>
    <xf numFmtId="0" fontId="41" fillId="0" borderId="108" xfId="0" applyFont="1" applyBorder="1"/>
    <xf numFmtId="0" fontId="31" fillId="0" borderId="0" xfId="0" applyNumberFormat="1" applyFont="1" applyFill="1" applyBorder="1"/>
    <xf numFmtId="43" fontId="31" fillId="0" borderId="0" xfId="1" applyFont="1" applyFill="1" applyBorder="1"/>
    <xf numFmtId="43" fontId="31" fillId="0" borderId="109" xfId="1" applyFont="1" applyFill="1" applyBorder="1"/>
    <xf numFmtId="0" fontId="41" fillId="0" borderId="110" xfId="0" applyFont="1" applyBorder="1"/>
    <xf numFmtId="0" fontId="41" fillId="0" borderId="111" xfId="0" applyFont="1" applyBorder="1"/>
    <xf numFmtId="0" fontId="41" fillId="7" borderId="112" xfId="0" applyFont="1" applyFill="1" applyBorder="1"/>
    <xf numFmtId="0" fontId="41" fillId="7" borderId="113" xfId="0" applyFont="1" applyFill="1" applyBorder="1"/>
    <xf numFmtId="43" fontId="41" fillId="7" borderId="113" xfId="1" applyFont="1" applyFill="1" applyBorder="1"/>
    <xf numFmtId="43" fontId="41" fillId="7" borderId="114" xfId="1" applyFont="1" applyFill="1" applyBorder="1"/>
    <xf numFmtId="0" fontId="21" fillId="2" borderId="0" xfId="0" quotePrefix="1" applyNumberFormat="1" applyFont="1" applyFill="1" applyAlignment="1">
      <alignment vertical="center"/>
    </xf>
    <xf numFmtId="17" fontId="33" fillId="9" borderId="117" xfId="0" applyNumberFormat="1" applyFont="1" applyFill="1" applyBorder="1" applyAlignment="1">
      <alignment horizontal="center" vertical="center"/>
    </xf>
    <xf numFmtId="0" fontId="33" fillId="9" borderId="119" xfId="5" applyFont="1" applyFill="1" applyBorder="1" applyAlignment="1">
      <alignment horizontal="center" vertical="center"/>
    </xf>
    <xf numFmtId="0" fontId="33" fillId="9" borderId="121"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0" applyNumberFormat="1" applyFont="1" applyFill="1" applyBorder="1" applyAlignment="1">
      <alignment vertical="center"/>
    </xf>
    <xf numFmtId="0" fontId="42" fillId="9" borderId="124" xfId="0" applyNumberFormat="1" applyFont="1" applyFill="1" applyBorder="1" applyAlignment="1">
      <alignment vertical="center"/>
    </xf>
    <xf numFmtId="4" fontId="33" fillId="9" borderId="58" xfId="0" applyNumberFormat="1" applyFont="1" applyFill="1" applyBorder="1" applyAlignment="1">
      <alignment vertical="center"/>
    </xf>
    <xf numFmtId="4" fontId="42" fillId="9" borderId="58" xfId="0" applyNumberFormat="1" applyFont="1" applyFill="1" applyBorder="1" applyAlignment="1">
      <alignment vertical="center"/>
    </xf>
    <xf numFmtId="0" fontId="42" fillId="9" borderId="123" xfId="0" applyNumberFormat="1" applyFont="1" applyFill="1" applyBorder="1" applyAlignment="1">
      <alignment vertical="center"/>
    </xf>
    <xf numFmtId="0" fontId="33" fillId="9" borderId="125" xfId="0" applyNumberFormat="1" applyFont="1" applyFill="1" applyBorder="1" applyAlignment="1">
      <alignment vertical="center"/>
    </xf>
    <xf numFmtId="4" fontId="33" fillId="9" borderId="125" xfId="0" applyNumberFormat="1" applyFont="1" applyFill="1" applyBorder="1" applyAlignment="1">
      <alignment vertical="center"/>
    </xf>
    <xf numFmtId="4" fontId="42" fillId="9" borderId="124" xfId="0" applyNumberFormat="1" applyFont="1" applyFill="1" applyBorder="1" applyAlignment="1">
      <alignment vertical="center"/>
    </xf>
    <xf numFmtId="0" fontId="42" fillId="9" borderId="126" xfId="0" applyNumberFormat="1" applyFont="1" applyFill="1" applyBorder="1" applyAlignment="1">
      <alignment vertical="center"/>
    </xf>
    <xf numFmtId="0" fontId="42" fillId="9" borderId="127" xfId="0" applyNumberFormat="1" applyFont="1" applyFill="1" applyBorder="1" applyAlignment="1">
      <alignment vertical="center"/>
    </xf>
    <xf numFmtId="4" fontId="42" fillId="9" borderId="127" xfId="0" applyNumberFormat="1" applyFont="1" applyFill="1" applyBorder="1" applyAlignment="1">
      <alignment vertical="center"/>
    </xf>
    <xf numFmtId="4" fontId="42" fillId="9" borderId="128" xfId="0" applyNumberFormat="1" applyFont="1" applyFill="1" applyBorder="1" applyAlignment="1">
      <alignment vertical="center"/>
    </xf>
    <xf numFmtId="0" fontId="31" fillId="0" borderId="0" xfId="0" applyFont="1" applyFill="1"/>
    <xf numFmtId="0" fontId="31" fillId="0" borderId="0" xfId="0" applyFont="1"/>
    <xf numFmtId="0" fontId="34" fillId="0" borderId="0" xfId="0" applyNumberFormat="1" applyFont="1" applyFill="1" applyAlignment="1">
      <alignment vertical="center"/>
    </xf>
    <xf numFmtId="0" fontId="33" fillId="10" borderId="130" xfId="6" applyNumberFormat="1" applyFont="1" applyFill="1" applyBorder="1" applyAlignment="1">
      <alignment horizontal="center" vertical="center" wrapText="1"/>
    </xf>
    <xf numFmtId="0" fontId="34" fillId="0" borderId="0" xfId="0" applyNumberFormat="1" applyFont="1" applyFill="1" applyAlignment="1">
      <alignment horizontal="center"/>
    </xf>
    <xf numFmtId="0" fontId="34" fillId="0" borderId="0" xfId="0" applyFont="1" applyFill="1" applyBorder="1" applyAlignment="1">
      <alignment vertical="center"/>
    </xf>
    <xf numFmtId="0" fontId="34" fillId="0" borderId="0" xfId="0" applyNumberFormat="1" applyFont="1" applyFill="1" applyAlignment="1">
      <alignment vertical="center" wrapText="1"/>
    </xf>
    <xf numFmtId="0" fontId="34" fillId="0" borderId="0" xfId="0" applyNumberFormat="1" applyFont="1" applyFill="1" applyAlignment="1">
      <alignment horizontal="left" vertical="center" wrapText="1"/>
    </xf>
    <xf numFmtId="49" fontId="27"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1" fontId="27" fillId="0" borderId="0" xfId="0" applyNumberFormat="1" applyFont="1" applyFill="1" applyBorder="1" applyAlignment="1">
      <alignment horizontal="center"/>
    </xf>
    <xf numFmtId="164" fontId="27" fillId="0" borderId="0" xfId="0" applyNumberFormat="1" applyFont="1" applyFill="1" applyBorder="1" applyAlignment="1">
      <alignment horizontal="center"/>
    </xf>
    <xf numFmtId="2" fontId="34" fillId="0" borderId="0" xfId="0" applyNumberFormat="1" applyFont="1" applyFill="1" applyAlignment="1">
      <alignment vertical="center" wrapText="1"/>
    </xf>
    <xf numFmtId="0" fontId="31" fillId="0" borderId="0" xfId="0" applyFont="1" applyFill="1" applyBorder="1" applyAlignment="1">
      <alignment horizontal="center"/>
    </xf>
    <xf numFmtId="0" fontId="31" fillId="0" borderId="0" xfId="0" applyFont="1" applyFill="1" applyBorder="1"/>
    <xf numFmtId="0" fontId="27" fillId="0" borderId="0" xfId="0" applyNumberFormat="1" applyFont="1" applyFill="1" applyAlignment="1">
      <alignment vertical="center"/>
    </xf>
    <xf numFmtId="0" fontId="27" fillId="0" borderId="0" xfId="0" quotePrefix="1" applyNumberFormat="1" applyFont="1" applyFill="1" applyBorder="1" applyAlignment="1">
      <alignment horizontal="left" vertical="top"/>
    </xf>
    <xf numFmtId="43" fontId="41" fillId="7" borderId="113" xfId="0" applyNumberFormat="1" applyFont="1" applyFill="1" applyBorder="1"/>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0" fontId="41" fillId="7" borderId="114" xfId="2" applyNumberFormat="1" applyFont="1" applyFill="1" applyBorder="1"/>
    <xf numFmtId="0" fontId="31" fillId="0" borderId="106" xfId="0" applyNumberFormat="1" applyFont="1" applyBorder="1"/>
    <xf numFmtId="43" fontId="31" fillId="0" borderId="106" xfId="0"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NumberFormat="1" applyFont="1" applyFill="1" applyBorder="1" applyAlignment="1">
      <alignment horizontal="center" vertical="center" wrapText="1"/>
    </xf>
    <xf numFmtId="0" fontId="33" fillId="10" borderId="46" xfId="6" applyNumberFormat="1"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0" xfId="6" applyNumberFormat="1" applyFont="1" applyFill="1" applyBorder="1" applyAlignment="1">
      <alignment horizontal="center" vertical="center"/>
    </xf>
    <xf numFmtId="20" fontId="33" fillId="10" borderId="132" xfId="6" applyNumberFormat="1" applyFont="1" applyFill="1" applyBorder="1" applyAlignment="1">
      <alignment horizontal="center" vertical="center"/>
    </xf>
    <xf numFmtId="0" fontId="33" fillId="10" borderId="133" xfId="6" applyNumberFormat="1" applyFont="1" applyFill="1" applyBorder="1" applyAlignment="1">
      <alignment horizontal="center" vertical="center"/>
    </xf>
    <xf numFmtId="173"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7"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4" fillId="2" borderId="0" xfId="0" applyNumberFormat="1" applyFont="1" applyFill="1" applyAlignment="1">
      <alignment horizontal="left" vertical="center"/>
    </xf>
    <xf numFmtId="0" fontId="34" fillId="2" borderId="0" xfId="0" applyNumberFormat="1" applyFont="1" applyFill="1" applyAlignment="1">
      <alignment vertical="center"/>
    </xf>
    <xf numFmtId="0" fontId="31" fillId="0" borderId="0" xfId="0" applyFont="1" applyFill="1" applyAlignment="1">
      <alignment vertical="center"/>
    </xf>
    <xf numFmtId="0" fontId="34"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31" fillId="0" borderId="0" xfId="0" applyFont="1" applyAlignment="1">
      <alignment vertical="center"/>
    </xf>
    <xf numFmtId="0" fontId="31" fillId="0" borderId="0" xfId="0" applyFont="1" applyFill="1" applyAlignment="1">
      <alignment horizontal="center" vertical="center"/>
    </xf>
    <xf numFmtId="0" fontId="37" fillId="9" borderId="82" xfId="0" applyFont="1" applyFill="1" applyBorder="1" applyAlignment="1">
      <alignment horizontal="center" vertical="center"/>
    </xf>
    <xf numFmtId="43" fontId="37" fillId="9" borderId="82" xfId="1" applyFont="1" applyFill="1" applyBorder="1" applyAlignment="1">
      <alignment horizontal="center" vertical="center"/>
    </xf>
    <xf numFmtId="4" fontId="37" fillId="9" borderId="82" xfId="0" applyNumberFormat="1" applyFont="1" applyFill="1" applyBorder="1" applyAlignment="1">
      <alignment horizontal="center" vertical="center"/>
    </xf>
    <xf numFmtId="0" fontId="37" fillId="9" borderId="82" xfId="0" applyNumberFormat="1" applyFont="1" applyFill="1" applyBorder="1" applyAlignment="1">
      <alignment horizontal="center" vertical="center" wrapText="1"/>
    </xf>
    <xf numFmtId="0" fontId="32" fillId="0" borderId="82" xfId="0" applyNumberFormat="1" applyFont="1" applyFill="1" applyBorder="1" applyAlignment="1">
      <alignment vertical="center" wrapText="1"/>
    </xf>
    <xf numFmtId="22" fontId="32" fillId="0" borderId="82" xfId="0" applyNumberFormat="1" applyFont="1" applyFill="1" applyBorder="1" applyAlignment="1">
      <alignment horizontal="center" vertical="center" wrapText="1"/>
    </xf>
    <xf numFmtId="0" fontId="32"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4" fillId="0" borderId="0" xfId="0" applyFont="1" applyFill="1" applyAlignment="1"/>
    <xf numFmtId="0" fontId="45" fillId="0" borderId="0" xfId="0" applyFont="1" applyFill="1" applyBorder="1" applyAlignment="1">
      <alignment vertical="center"/>
    </xf>
    <xf numFmtId="0" fontId="46" fillId="0" borderId="0" xfId="0" applyFont="1" applyFill="1" applyAlignment="1">
      <alignment vertical="center"/>
    </xf>
    <xf numFmtId="0" fontId="45" fillId="0" borderId="0" xfId="0" applyNumberFormat="1" applyFont="1" applyFill="1" applyBorder="1" applyAlignment="1">
      <alignment vertical="center"/>
    </xf>
    <xf numFmtId="0" fontId="47" fillId="0" borderId="0" xfId="0" applyFont="1" applyFill="1" applyBorder="1" applyAlignment="1">
      <alignment vertical="center"/>
    </xf>
    <xf numFmtId="0" fontId="45" fillId="0" borderId="0" xfId="0" applyFont="1" applyFill="1" applyBorder="1" applyAlignment="1">
      <alignment horizontal="center" vertical="center"/>
    </xf>
    <xf numFmtId="0" fontId="47" fillId="0" borderId="0" xfId="0" applyFont="1" applyFill="1" applyBorder="1" applyAlignment="1">
      <alignment horizontal="justify" vertical="center"/>
    </xf>
    <xf numFmtId="0" fontId="48" fillId="0" borderId="0" xfId="0" applyFont="1" applyFill="1" applyBorder="1" applyAlignment="1">
      <alignment vertical="center"/>
    </xf>
    <xf numFmtId="0" fontId="46"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9"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1" fillId="0" borderId="0" xfId="0" applyFont="1" applyFill="1" applyBorder="1" applyAlignment="1">
      <alignment vertical="center"/>
    </xf>
    <xf numFmtId="0" fontId="52" fillId="0" borderId="0" xfId="0" applyFont="1" applyFill="1" applyAlignment="1">
      <alignment vertical="center"/>
    </xf>
    <xf numFmtId="0" fontId="51" fillId="0" borderId="0" xfId="0" applyNumberFormat="1" applyFont="1" applyFill="1" applyBorder="1" applyAlignment="1">
      <alignment vertical="center"/>
    </xf>
    <xf numFmtId="0" fontId="52" fillId="0" borderId="0" xfId="0" applyFont="1" applyFill="1" applyBorder="1" applyAlignment="1">
      <alignment vertical="center"/>
    </xf>
    <xf numFmtId="0" fontId="53" fillId="0" borderId="0" xfId="0" applyFont="1" applyFill="1" applyBorder="1" applyAlignment="1">
      <alignment vertical="center"/>
    </xf>
    <xf numFmtId="0" fontId="53" fillId="0" borderId="0" xfId="0" applyFont="1" applyFill="1" applyBorder="1" applyAlignment="1">
      <alignment horizontal="right" vertical="center"/>
    </xf>
    <xf numFmtId="0" fontId="51" fillId="0" borderId="0" xfId="0" applyFont="1" applyFill="1" applyBorder="1" applyAlignment="1">
      <alignment horizontal="center" vertical="center"/>
    </xf>
    <xf numFmtId="0" fontId="53" fillId="0" borderId="0" xfId="0" applyFont="1" applyFill="1" applyBorder="1" applyAlignment="1">
      <alignment horizontal="justify" vertical="center"/>
    </xf>
    <xf numFmtId="17" fontId="54" fillId="0" borderId="0" xfId="0" applyNumberFormat="1" applyFont="1" applyFill="1" applyBorder="1" applyAlignment="1">
      <alignment vertical="center"/>
    </xf>
    <xf numFmtId="2" fontId="54" fillId="0" borderId="0" xfId="0" applyNumberFormat="1" applyFont="1" applyFill="1" applyBorder="1" applyAlignment="1">
      <alignment vertical="center"/>
    </xf>
    <xf numFmtId="0" fontId="54" fillId="0" borderId="0" xfId="0" quotePrefix="1" applyNumberFormat="1" applyFont="1" applyFill="1" applyBorder="1" applyAlignment="1">
      <alignment vertical="center" wrapText="1"/>
    </xf>
    <xf numFmtId="2" fontId="54" fillId="0" borderId="0" xfId="0" quotePrefix="1" applyNumberFormat="1" applyFont="1" applyFill="1" applyBorder="1" applyAlignment="1">
      <alignment vertical="center" wrapText="1"/>
    </xf>
    <xf numFmtId="0" fontId="54" fillId="0" borderId="0" xfId="0" applyFont="1" applyFill="1" applyBorder="1" applyAlignment="1">
      <alignment vertical="center"/>
    </xf>
    <xf numFmtId="0" fontId="54" fillId="0" borderId="0" xfId="0" applyFont="1" applyFill="1" applyAlignment="1">
      <alignment vertical="center"/>
    </xf>
    <xf numFmtId="14" fontId="51" fillId="0" borderId="0" xfId="0" applyNumberFormat="1" applyFont="1" applyFill="1" applyBorder="1" applyAlignment="1">
      <alignment vertical="center"/>
    </xf>
    <xf numFmtId="0" fontId="52" fillId="0" borderId="0" xfId="0" applyFont="1" applyAlignment="1">
      <alignment vertical="center"/>
    </xf>
    <xf numFmtId="0" fontId="50" fillId="0" borderId="0" xfId="0" applyFont="1" applyBorder="1" applyAlignment="1">
      <alignment vertical="center"/>
    </xf>
    <xf numFmtId="1" fontId="55" fillId="0" borderId="0" xfId="0" applyNumberFormat="1" applyFont="1" applyFill="1" applyBorder="1" applyAlignment="1">
      <alignment horizontal="center" vertical="center"/>
    </xf>
    <xf numFmtId="170" fontId="56" fillId="8" borderId="0" xfId="3" applyFont="1" applyFill="1" applyBorder="1"/>
    <xf numFmtId="0" fontId="52" fillId="0" borderId="0" xfId="0" applyNumberFormat="1" applyFont="1" applyFill="1"/>
    <xf numFmtId="1" fontId="57" fillId="0" borderId="0" xfId="3" applyNumberFormat="1" applyFont="1" applyFill="1" applyBorder="1" applyAlignment="1">
      <alignment horizontal="center"/>
    </xf>
    <xf numFmtId="171" fontId="57" fillId="0" borderId="0" xfId="3" applyNumberFormat="1" applyFont="1" applyBorder="1" applyAlignment="1">
      <alignment horizontal="center"/>
    </xf>
    <xf numFmtId="2" fontId="58" fillId="0" borderId="0" xfId="3" applyNumberFormat="1" applyFont="1" applyFill="1"/>
    <xf numFmtId="0" fontId="52" fillId="0" borderId="0" xfId="0" applyNumberFormat="1" applyFont="1" applyFill="1" applyAlignment="1">
      <alignment vertical="center"/>
    </xf>
    <xf numFmtId="164" fontId="55" fillId="0" borderId="0" xfId="0" applyNumberFormat="1" applyFont="1" applyFill="1" applyBorder="1" applyAlignment="1">
      <alignment horizontal="right" vertical="center"/>
    </xf>
    <xf numFmtId="165" fontId="55" fillId="0" borderId="0" xfId="0" applyNumberFormat="1" applyFont="1" applyFill="1" applyBorder="1" applyAlignment="1">
      <alignment horizontal="right" vertical="center"/>
    </xf>
    <xf numFmtId="166" fontId="55" fillId="0" borderId="0" xfId="2" applyNumberFormat="1" applyFont="1" applyFill="1" applyBorder="1" applyAlignment="1">
      <alignment horizontal="right" vertical="center"/>
    </xf>
    <xf numFmtId="2" fontId="58" fillId="2" borderId="0" xfId="3" applyNumberFormat="1" applyFont="1" applyFill="1"/>
    <xf numFmtId="0" fontId="55" fillId="0" borderId="0" xfId="0" applyFont="1" applyBorder="1" applyAlignment="1">
      <alignment vertical="center"/>
    </xf>
    <xf numFmtId="0" fontId="55" fillId="0" borderId="0" xfId="0" applyFont="1" applyAlignment="1">
      <alignment vertical="center"/>
    </xf>
    <xf numFmtId="2" fontId="59" fillId="0" borderId="0" xfId="0" applyNumberFormat="1" applyFont="1"/>
    <xf numFmtId="2" fontId="58" fillId="0" borderId="0" xfId="3" applyNumberFormat="1" applyFont="1" applyFill="1" applyAlignment="1">
      <alignment horizontal="center"/>
    </xf>
    <xf numFmtId="0" fontId="60" fillId="0" borderId="0" xfId="0" applyFont="1" applyBorder="1" applyAlignment="1">
      <alignment vertical="center"/>
    </xf>
    <xf numFmtId="49" fontId="32" fillId="0" borderId="0" xfId="0" applyNumberFormat="1" applyFont="1" applyFill="1" applyBorder="1" applyAlignment="1">
      <alignment horizontal="center"/>
    </xf>
    <xf numFmtId="0" fontId="32" fillId="0" borderId="0" xfId="0" applyFont="1"/>
    <xf numFmtId="1" fontId="0" fillId="0" borderId="0" xfId="0" applyNumberFormat="1" applyFont="1" applyFill="1" applyBorder="1"/>
    <xf numFmtId="1" fontId="32" fillId="0" borderId="0" xfId="0" applyNumberFormat="1" applyFont="1" applyFill="1" applyBorder="1" applyAlignment="1">
      <alignment horizontal="right"/>
    </xf>
    <xf numFmtId="0" fontId="32" fillId="0" borderId="0" xfId="0" applyFont="1" applyAlignment="1">
      <alignment horizontal="right"/>
    </xf>
    <xf numFmtId="164" fontId="0" fillId="0" borderId="0" xfId="0" applyNumberFormat="1" applyFont="1" applyFill="1" applyBorder="1" applyAlignment="1">
      <alignment horizontal="right"/>
    </xf>
    <xf numFmtId="49" fontId="32" fillId="0" borderId="0" xfId="0" applyNumberFormat="1" applyFont="1" applyBorder="1" applyAlignment="1">
      <alignment horizontal="right"/>
    </xf>
    <xf numFmtId="49" fontId="32" fillId="0" borderId="0" xfId="0" applyNumberFormat="1" applyFont="1" applyFill="1" applyBorder="1" applyAlignment="1">
      <alignment horizontal="right"/>
    </xf>
    <xf numFmtId="164" fontId="32"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2"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14" fontId="0" fillId="0" borderId="0" xfId="0" applyNumberFormat="1" applyFont="1"/>
    <xf numFmtId="20" fontId="0" fillId="0" borderId="0" xfId="0" applyNumberFormat="1" applyFont="1"/>
    <xf numFmtId="0" fontId="61" fillId="0" borderId="0" xfId="0" applyFont="1" applyFill="1" applyBorder="1" applyAlignment="1">
      <alignment vertical="center"/>
    </xf>
    <xf numFmtId="0" fontId="61" fillId="0" borderId="0" xfId="0" quotePrefix="1" applyNumberFormat="1" applyFont="1" applyFill="1" applyBorder="1" applyAlignment="1">
      <alignment vertical="center" wrapText="1"/>
    </xf>
    <xf numFmtId="0" fontId="61" fillId="0" borderId="0" xfId="0" applyNumberFormat="1" applyFont="1" applyFill="1" applyBorder="1" applyAlignment="1">
      <alignment vertical="center"/>
    </xf>
    <xf numFmtId="0" fontId="61"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13" fillId="0" borderId="27" xfId="0" applyNumberFormat="1" applyFont="1" applyFill="1" applyBorder="1" applyAlignment="1">
      <alignment horizontal="right"/>
    </xf>
    <xf numFmtId="2" fontId="13" fillId="0" borderId="28" xfId="0" applyNumberFormat="1" applyFont="1" applyFill="1" applyBorder="1" applyAlignment="1">
      <alignment horizontal="right"/>
    </xf>
    <xf numFmtId="2" fontId="13" fillId="0" borderId="29" xfId="0" applyNumberFormat="1" applyFont="1" applyFill="1" applyBorder="1" applyAlignment="1">
      <alignment horizontal="right"/>
    </xf>
    <xf numFmtId="2" fontId="13" fillId="4" borderId="30" xfId="0" applyNumberFormat="1" applyFont="1" applyFill="1" applyBorder="1" applyAlignment="1">
      <alignment horizontal="right" vertical="center"/>
    </xf>
    <xf numFmtId="2" fontId="13" fillId="4" borderId="0" xfId="0" applyNumberFormat="1" applyFont="1" applyFill="1" applyBorder="1" applyAlignment="1">
      <alignment horizontal="right" vertical="center"/>
    </xf>
    <xf numFmtId="2" fontId="13" fillId="4" borderId="31" xfId="0" applyNumberFormat="1" applyFont="1" applyFill="1" applyBorder="1" applyAlignment="1">
      <alignment horizontal="right" vertical="center"/>
    </xf>
    <xf numFmtId="2" fontId="13" fillId="0" borderId="30" xfId="0" applyNumberFormat="1" applyFont="1" applyFill="1" applyBorder="1" applyAlignment="1">
      <alignment horizontal="right"/>
    </xf>
    <xf numFmtId="2" fontId="13" fillId="0" borderId="0" xfId="0" applyNumberFormat="1" applyFont="1" applyFill="1" applyBorder="1" applyAlignment="1">
      <alignment horizontal="right"/>
    </xf>
    <xf numFmtId="2" fontId="13" fillId="0" borderId="31" xfId="0" applyNumberFormat="1" applyFont="1" applyFill="1" applyBorder="1" applyAlignment="1">
      <alignment horizontal="right"/>
    </xf>
    <xf numFmtId="2" fontId="13" fillId="0" borderId="32" xfId="0" applyNumberFormat="1" applyFont="1" applyFill="1" applyBorder="1" applyAlignment="1">
      <alignment horizontal="right"/>
    </xf>
    <xf numFmtId="2" fontId="13" fillId="0" borderId="33" xfId="0" applyNumberFormat="1" applyFont="1" applyFill="1" applyBorder="1" applyAlignment="1">
      <alignment horizontal="right"/>
    </xf>
    <xf numFmtId="2" fontId="13" fillId="0" borderId="34" xfId="0" applyNumberFormat="1" applyFont="1" applyFill="1" applyBorder="1" applyAlignment="1">
      <alignment horizontal="right"/>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31" fillId="0" borderId="106" xfId="1" applyNumberFormat="1" applyFont="1" applyFill="1" applyBorder="1"/>
    <xf numFmtId="43" fontId="41" fillId="7" borderId="113" xfId="1" applyNumberFormat="1" applyFont="1" applyFill="1" applyBorder="1"/>
    <xf numFmtId="43" fontId="31" fillId="0" borderId="0" xfId="1" applyNumberFormat="1" applyFont="1" applyFill="1" applyBorder="1"/>
    <xf numFmtId="43" fontId="0" fillId="0" borderId="0" xfId="0" applyNumberFormat="1" applyFont="1" applyFill="1"/>
    <xf numFmtId="0" fontId="41" fillId="0" borderId="0" xfId="0" applyFont="1" applyBorder="1"/>
    <xf numFmtId="0" fontId="0" fillId="0" borderId="0" xfId="0" applyFont="1" applyFill="1" applyBorder="1"/>
    <xf numFmtId="0" fontId="42" fillId="9" borderId="125" xfId="0" applyNumberFormat="1" applyFont="1" applyFill="1" applyBorder="1" applyAlignment="1">
      <alignment vertical="center"/>
    </xf>
    <xf numFmtId="9" fontId="31" fillId="0" borderId="107" xfId="2" applyFont="1" applyBorder="1"/>
    <xf numFmtId="10" fontId="33" fillId="9" borderId="58" xfId="2" applyNumberFormat="1" applyFont="1" applyFill="1" applyBorder="1" applyAlignment="1">
      <alignment vertical="center"/>
    </xf>
    <xf numFmtId="10" fontId="42" fillId="9" borderId="58" xfId="2" applyNumberFormat="1" applyFont="1" applyFill="1" applyBorder="1" applyAlignment="1">
      <alignment vertical="center"/>
    </xf>
    <xf numFmtId="2" fontId="52" fillId="0" borderId="0" xfId="0" applyNumberFormat="1" applyFont="1" applyFill="1" applyAlignment="1">
      <alignment vertical="center"/>
    </xf>
    <xf numFmtId="2" fontId="53" fillId="0" borderId="0" xfId="0" applyNumberFormat="1" applyFont="1" applyFill="1" applyBorder="1" applyAlignment="1">
      <alignment vertical="center"/>
    </xf>
    <xf numFmtId="0" fontId="62" fillId="0" borderId="82" xfId="0" applyFont="1" applyFill="1" applyBorder="1" applyAlignment="1">
      <alignment vertical="center" wrapText="1"/>
    </xf>
    <xf numFmtId="22" fontId="62" fillId="0" borderId="82" xfId="0" applyNumberFormat="1" applyFont="1" applyFill="1" applyBorder="1" applyAlignment="1">
      <alignment horizontal="center" vertical="center"/>
    </xf>
    <xf numFmtId="0" fontId="62" fillId="0" borderId="82" xfId="0" applyFont="1" applyFill="1" applyBorder="1" applyAlignment="1">
      <alignment horizontal="justify" vertical="center"/>
    </xf>
    <xf numFmtId="0" fontId="62" fillId="0" borderId="82" xfId="0" applyFont="1" applyFill="1" applyBorder="1" applyAlignment="1">
      <alignment horizontal="center" vertical="center"/>
    </xf>
    <xf numFmtId="0" fontId="62" fillId="0" borderId="82" xfId="0" applyNumberFormat="1" applyFont="1" applyFill="1" applyBorder="1" applyAlignment="1">
      <alignment vertical="center" wrapText="1"/>
    </xf>
    <xf numFmtId="22" fontId="62" fillId="0" borderId="82" xfId="0" applyNumberFormat="1" applyFont="1" applyFill="1" applyBorder="1" applyAlignment="1">
      <alignment horizontal="center" vertical="center" wrapText="1"/>
    </xf>
    <xf numFmtId="0" fontId="62" fillId="0" borderId="82" xfId="0" applyNumberFormat="1" applyFont="1" applyFill="1" applyBorder="1" applyAlignment="1">
      <alignment horizontal="justify" vertical="center" wrapText="1"/>
    </xf>
    <xf numFmtId="0" fontId="62" fillId="0" borderId="82" xfId="0" applyNumberFormat="1" applyFont="1" applyFill="1" applyBorder="1" applyAlignment="1">
      <alignment horizontal="center" vertical="center" wrapText="1"/>
    </xf>
    <xf numFmtId="43" fontId="37" fillId="3" borderId="79" xfId="1" applyFont="1" applyFill="1" applyBorder="1" applyAlignment="1">
      <alignment horizontal="center" vertical="center" wrapText="1"/>
    </xf>
    <xf numFmtId="0" fontId="37" fillId="3" borderId="80" xfId="0" applyNumberFormat="1" applyFont="1" applyFill="1" applyBorder="1" applyAlignment="1">
      <alignment horizontal="center" vertical="center" wrapText="1"/>
    </xf>
    <xf numFmtId="0" fontId="37" fillId="3" borderId="81" xfId="0" applyNumberFormat="1" applyFont="1" applyFill="1" applyBorder="1" applyAlignment="1">
      <alignment horizontal="center" vertical="center" wrapText="1"/>
    </xf>
    <xf numFmtId="0" fontId="37" fillId="3" borderId="82" xfId="0" applyNumberFormat="1" applyFont="1" applyFill="1" applyBorder="1" applyAlignment="1">
      <alignment vertical="center" wrapText="1"/>
    </xf>
    <xf numFmtId="0" fontId="37" fillId="3" borderId="83" xfId="0" applyNumberFormat="1" applyFont="1" applyFill="1" applyBorder="1" applyAlignment="1">
      <alignment horizontal="center" vertical="center" wrapText="1"/>
    </xf>
    <xf numFmtId="0" fontId="37" fillId="3" borderId="84" xfId="0" applyNumberFormat="1" applyFont="1" applyFill="1" applyBorder="1" applyAlignment="1">
      <alignment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3" fillId="3" borderId="46" xfId="0" applyFont="1" applyFill="1" applyBorder="1" applyAlignment="1">
      <alignment vertical="center"/>
    </xf>
    <xf numFmtId="10" fontId="33"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3" fillId="3" borderId="0" xfId="0" applyFont="1" applyFill="1" applyBorder="1" applyAlignment="1">
      <alignment vertical="center"/>
    </xf>
    <xf numFmtId="4" fontId="33" fillId="3" borderId="0" xfId="0" applyNumberFormat="1" applyFont="1" applyFill="1" applyBorder="1" applyAlignment="1">
      <alignment vertical="center"/>
    </xf>
    <xf numFmtId="10" fontId="33"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4"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4"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4"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4"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4"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4"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4" fillId="4" borderId="142" xfId="2" applyNumberFormat="1" applyFont="1" applyFill="1" applyBorder="1" applyAlignment="1">
      <alignment vertical="center"/>
    </xf>
    <xf numFmtId="0" fontId="27" fillId="2" borderId="0" xfId="0" applyFont="1" applyFill="1" applyBorder="1" applyAlignment="1">
      <alignment vertical="center"/>
    </xf>
    <xf numFmtId="166" fontId="34" fillId="2" borderId="48" xfId="2" applyNumberFormat="1" applyFont="1" applyFill="1" applyBorder="1" applyAlignment="1">
      <alignment vertical="center"/>
    </xf>
    <xf numFmtId="0" fontId="27" fillId="4" borderId="0" xfId="0" applyFont="1" applyFill="1" applyBorder="1" applyAlignment="1">
      <alignment vertical="center"/>
    </xf>
    <xf numFmtId="166" fontId="34" fillId="4" borderId="48" xfId="2" applyNumberFormat="1" applyFont="1" applyFill="1" applyBorder="1" applyAlignment="1">
      <alignment vertical="center"/>
    </xf>
    <xf numFmtId="166" fontId="41"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6" fontId="34" fillId="2" borderId="52" xfId="2" applyNumberFormat="1" applyFont="1" applyFill="1" applyBorder="1" applyAlignment="1">
      <alignment vertical="center"/>
    </xf>
    <xf numFmtId="0" fontId="27" fillId="4" borderId="53" xfId="0" applyFont="1" applyFill="1" applyBorder="1" applyAlignment="1">
      <alignment vertical="center"/>
    </xf>
    <xf numFmtId="0" fontId="37" fillId="3" borderId="92" xfId="0" applyFont="1" applyFill="1" applyBorder="1" applyAlignment="1">
      <alignment horizontal="center" vertical="center" wrapText="1"/>
    </xf>
    <xf numFmtId="0" fontId="63" fillId="2" borderId="92" xfId="0" applyFont="1" applyFill="1" applyBorder="1" applyAlignment="1">
      <alignment vertical="center"/>
    </xf>
    <xf numFmtId="0" fontId="64" fillId="2" borderId="92" xfId="0" applyNumberFormat="1" applyFont="1" applyFill="1" applyBorder="1" applyAlignment="1">
      <alignment horizontal="center" vertical="center" wrapText="1"/>
    </xf>
    <xf numFmtId="0" fontId="64" fillId="2" borderId="92" xfId="0" applyNumberFormat="1" applyFont="1" applyFill="1" applyBorder="1" applyAlignment="1">
      <alignment horizontal="center" vertical="center"/>
    </xf>
    <xf numFmtId="0" fontId="64" fillId="2" borderId="92" xfId="2" applyNumberFormat="1" applyFont="1" applyFill="1" applyBorder="1" applyAlignment="1">
      <alignment horizontal="center" vertical="center"/>
    </xf>
    <xf numFmtId="0" fontId="63" fillId="0" borderId="92" xfId="0" applyNumberFormat="1" applyFont="1" applyFill="1" applyBorder="1" applyAlignment="1">
      <alignment horizontal="center" vertical="center"/>
    </xf>
    <xf numFmtId="4" fontId="64" fillId="0" borderId="92" xfId="0" applyNumberFormat="1" applyFont="1" applyFill="1" applyBorder="1" applyAlignment="1">
      <alignment horizontal="center" vertical="center"/>
    </xf>
    <xf numFmtId="0" fontId="63" fillId="4" borderId="92" xfId="0" applyFont="1" applyFill="1" applyBorder="1" applyAlignment="1">
      <alignment vertical="center"/>
    </xf>
    <xf numFmtId="0" fontId="64" fillId="4" borderId="92" xfId="0" applyNumberFormat="1" applyFont="1" applyFill="1" applyBorder="1" applyAlignment="1">
      <alignment horizontal="center" vertical="center"/>
    </xf>
    <xf numFmtId="0" fontId="64" fillId="4" borderId="92" xfId="2" applyNumberFormat="1" applyFont="1" applyFill="1" applyBorder="1" applyAlignment="1">
      <alignment horizontal="center" vertical="center"/>
    </xf>
    <xf numFmtId="0" fontId="63" fillId="4" borderId="92" xfId="0" applyNumberFormat="1" applyFont="1" applyFill="1" applyBorder="1" applyAlignment="1">
      <alignment horizontal="center" vertical="center"/>
    </xf>
    <xf numFmtId="4" fontId="64" fillId="4" borderId="92" xfId="0" applyNumberFormat="1" applyFont="1" applyFill="1" applyBorder="1" applyAlignment="1">
      <alignment horizontal="center" vertical="center"/>
    </xf>
    <xf numFmtId="0" fontId="32" fillId="0" borderId="0" xfId="0" applyNumberFormat="1" applyFont="1" applyFill="1" applyBorder="1" applyAlignment="1">
      <alignment vertical="center" wrapText="1"/>
    </xf>
    <xf numFmtId="22" fontId="32" fillId="0" borderId="0" xfId="0" applyNumberFormat="1" applyFont="1" applyFill="1" applyBorder="1" applyAlignment="1">
      <alignment horizontal="center" vertical="center" wrapText="1"/>
    </xf>
    <xf numFmtId="0" fontId="62" fillId="0" borderId="0" xfId="0" applyNumberFormat="1" applyFont="1" applyFill="1" applyBorder="1" applyAlignment="1">
      <alignment horizontal="justify" vertical="center" wrapText="1"/>
    </xf>
    <xf numFmtId="0" fontId="32" fillId="0" borderId="0" xfId="0" applyNumberFormat="1" applyFont="1" applyFill="1" applyBorder="1" applyAlignment="1">
      <alignment horizontal="center" vertical="center" wrapText="1"/>
    </xf>
    <xf numFmtId="0" fontId="33" fillId="3" borderId="0" xfId="0" quotePrefix="1" applyNumberFormat="1" applyFont="1" applyFill="1" applyBorder="1" applyAlignment="1">
      <alignment horizontal="center" vertical="center" wrapText="1"/>
    </xf>
    <xf numFmtId="17" fontId="33" fillId="3" borderId="93" xfId="0" applyNumberFormat="1" applyFont="1" applyFill="1" applyBorder="1" applyAlignment="1">
      <alignment horizontal="center" vertical="center" wrapText="1"/>
    </xf>
    <xf numFmtId="168" fontId="33" fillId="3" borderId="93" xfId="0" applyNumberFormat="1" applyFont="1" applyFill="1" applyBorder="1" applyAlignment="1">
      <alignment horizontal="center" vertical="center" wrapText="1"/>
    </xf>
    <xf numFmtId="0" fontId="33" fillId="3" borderId="93" xfId="0" applyNumberFormat="1" applyFont="1" applyFill="1" applyBorder="1" applyAlignment="1">
      <alignment horizontal="center" vertical="center" wrapText="1"/>
    </xf>
    <xf numFmtId="0" fontId="33" fillId="3" borderId="94" xfId="0" applyNumberFormat="1" applyFont="1" applyFill="1" applyBorder="1" applyAlignment="1">
      <alignment horizontal="center" vertical="center" wrapText="1"/>
    </xf>
    <xf numFmtId="0" fontId="33" fillId="3" borderId="139" xfId="0" quotePrefix="1" applyNumberFormat="1" applyFont="1" applyFill="1" applyBorder="1" applyAlignment="1">
      <alignment horizontal="left" vertical="center"/>
    </xf>
    <xf numFmtId="167" fontId="33" fillId="3" borderId="140" xfId="0" applyNumberFormat="1" applyFont="1" applyFill="1" applyBorder="1" applyAlignment="1">
      <alignment horizontal="right" vertical="center"/>
    </xf>
    <xf numFmtId="167" fontId="33" fillId="3" borderId="140" xfId="0" applyNumberFormat="1" applyFont="1" applyFill="1" applyBorder="1" applyAlignment="1">
      <alignment horizontal="left" vertical="center"/>
    </xf>
    <xf numFmtId="0" fontId="33" fillId="3" borderId="140" xfId="2" applyNumberFormat="1" applyFont="1" applyFill="1" applyBorder="1" applyAlignment="1">
      <alignment horizontal="left" vertical="center"/>
    </xf>
    <xf numFmtId="0" fontId="33" fillId="3" borderId="141" xfId="2" applyNumberFormat="1" applyFont="1" applyFill="1" applyBorder="1" applyAlignment="1">
      <alignment horizontal="center" vertical="center"/>
    </xf>
    <xf numFmtId="4" fontId="33" fillId="3" borderId="95" xfId="0" applyNumberFormat="1" applyFont="1" applyFill="1" applyBorder="1" applyAlignment="1">
      <alignment horizontal="center" vertical="center"/>
    </xf>
    <xf numFmtId="0" fontId="33" fillId="3" borderId="95" xfId="0" applyNumberFormat="1" applyFont="1" applyFill="1" applyBorder="1" applyAlignment="1">
      <alignment horizontal="center" vertical="center"/>
    </xf>
    <xf numFmtId="0" fontId="38" fillId="2" borderId="0" xfId="0" applyNumberFormat="1" applyFont="1" applyFill="1"/>
    <xf numFmtId="169" fontId="27" fillId="5" borderId="29" xfId="0" applyNumberFormat="1" applyFont="1" applyFill="1" applyBorder="1" applyAlignment="1">
      <alignment horizontal="center" vertical="center"/>
    </xf>
    <xf numFmtId="166" fontId="27" fillId="5" borderId="24" xfId="2" applyNumberFormat="1" applyFont="1" applyFill="1" applyBorder="1" applyAlignment="1">
      <alignment horizontal="center" vertical="center"/>
    </xf>
    <xf numFmtId="169" fontId="27" fillId="2" borderId="31" xfId="0" applyNumberFormat="1" applyFont="1" applyFill="1" applyBorder="1" applyAlignment="1">
      <alignment horizontal="center" vertical="center"/>
    </xf>
    <xf numFmtId="166" fontId="27" fillId="2" borderId="25" xfId="2" applyNumberFormat="1" applyFont="1" applyFill="1" applyBorder="1" applyAlignment="1">
      <alignment horizontal="center" vertical="center"/>
    </xf>
    <xf numFmtId="169" fontId="27" fillId="5" borderId="31" xfId="0" applyNumberFormat="1" applyFont="1" applyFill="1" applyBorder="1" applyAlignment="1">
      <alignment horizontal="center" vertical="center"/>
    </xf>
    <xf numFmtId="166" fontId="27" fillId="5" borderId="25" xfId="2" applyNumberFormat="1" applyFont="1" applyFill="1" applyBorder="1" applyAlignment="1">
      <alignment horizontal="center" vertical="center"/>
    </xf>
    <xf numFmtId="169" fontId="27" fillId="2" borderId="34" xfId="0" applyNumberFormat="1" applyFont="1" applyFill="1" applyBorder="1" applyAlignment="1">
      <alignment horizontal="center" vertical="center"/>
    </xf>
    <xf numFmtId="166" fontId="27" fillId="2" borderId="26" xfId="2" applyNumberFormat="1" applyFont="1" applyFill="1" applyBorder="1" applyAlignment="1">
      <alignment horizontal="center" vertical="center"/>
    </xf>
    <xf numFmtId="169" fontId="41" fillId="5" borderId="40" xfId="0" applyNumberFormat="1" applyFont="1" applyFill="1" applyBorder="1" applyAlignment="1">
      <alignment horizontal="center" vertical="center"/>
    </xf>
    <xf numFmtId="166" fontId="34" fillId="5" borderId="23" xfId="2" applyNumberFormat="1" applyFont="1" applyFill="1" applyBorder="1" applyAlignment="1">
      <alignment horizontal="center" vertical="center"/>
    </xf>
    <xf numFmtId="0" fontId="38" fillId="2" borderId="0" xfId="0" applyNumberFormat="1" applyFont="1" applyFill="1" applyAlignment="1">
      <alignment horizontal="left" vertical="center"/>
    </xf>
    <xf numFmtId="4" fontId="27" fillId="0" borderId="137" xfId="0" applyNumberFormat="1" applyFont="1" applyFill="1" applyBorder="1"/>
    <xf numFmtId="20" fontId="27" fillId="0" borderId="137" xfId="0" applyNumberFormat="1" applyFont="1" applyFill="1" applyBorder="1" applyAlignment="1">
      <alignment horizontal="center"/>
    </xf>
    <xf numFmtId="4" fontId="0" fillId="0" borderId="0" xfId="0" applyNumberFormat="1" applyFont="1" applyAlignment="1">
      <alignment vertical="center"/>
    </xf>
    <xf numFmtId="17" fontId="33" fillId="3" borderId="26" xfId="0" quotePrefix="1" applyNumberFormat="1" applyFont="1" applyFill="1" applyBorder="1" applyAlignment="1">
      <alignment horizontal="center" vertical="center" wrapText="1"/>
    </xf>
    <xf numFmtId="17" fontId="33" fillId="3" borderId="32" xfId="0" quotePrefix="1" applyNumberFormat="1" applyFont="1" applyFill="1" applyBorder="1" applyAlignment="1">
      <alignment horizontal="center" vertical="center" wrapText="1"/>
    </xf>
    <xf numFmtId="4" fontId="0" fillId="0" borderId="0" xfId="0" applyNumberFormat="1" applyFont="1" applyAlignment="1">
      <alignment vertical="center" wrapText="1"/>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4" fillId="2" borderId="0" xfId="0" quotePrefix="1" applyNumberFormat="1" applyFont="1" applyFill="1" applyBorder="1" applyAlignment="1">
      <alignment horizontal="left" vertical="center"/>
    </xf>
    <xf numFmtId="0" fontId="63" fillId="2" borderId="92" xfId="0" applyFont="1" applyFill="1" applyBorder="1" applyAlignment="1">
      <alignment vertical="center" wrapText="1"/>
    </xf>
    <xf numFmtId="0" fontId="37" fillId="3" borderId="96" xfId="0" applyFont="1" applyFill="1" applyBorder="1" applyAlignment="1">
      <alignment horizontal="center" vertical="center" wrapText="1"/>
    </xf>
    <xf numFmtId="0" fontId="37" fillId="3" borderId="97" xfId="0" applyFont="1" applyFill="1" applyBorder="1" applyAlignment="1">
      <alignment horizontal="center" vertical="center" wrapText="1"/>
    </xf>
    <xf numFmtId="169" fontId="31" fillId="5" borderId="24" xfId="0"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41" fillId="5" borderId="23" xfId="0" applyNumberFormat="1" applyFont="1" applyFill="1" applyBorder="1" applyAlignment="1">
      <alignment horizontal="center" vertical="center"/>
    </xf>
    <xf numFmtId="169" fontId="13" fillId="2" borderId="0" xfId="0" applyNumberFormat="1" applyFont="1" applyFill="1" applyBorder="1" applyAlignment="1">
      <alignment horizontal="right"/>
    </xf>
    <xf numFmtId="0" fontId="41" fillId="0" borderId="110" xfId="0" applyFont="1" applyBorder="1" applyAlignment="1">
      <alignment vertical="center" wrapText="1"/>
    </xf>
    <xf numFmtId="0" fontId="31" fillId="0" borderId="0" xfId="0" applyNumberFormat="1" applyFont="1" applyFill="1" applyBorder="1" applyAlignment="1">
      <alignment vertical="center"/>
    </xf>
    <xf numFmtId="43" fontId="31" fillId="0" borderId="0" xfId="1" applyFont="1" applyFill="1" applyBorder="1" applyAlignment="1">
      <alignment vertical="center"/>
    </xf>
    <xf numFmtId="43" fontId="31" fillId="0" borderId="109" xfId="1" applyFont="1" applyFill="1" applyBorder="1" applyAlignment="1">
      <alignment vertical="center"/>
    </xf>
    <xf numFmtId="0" fontId="41" fillId="7" borderId="113" xfId="0" applyFont="1" applyFill="1" applyBorder="1" applyAlignment="1">
      <alignment vertical="center"/>
    </xf>
    <xf numFmtId="43" fontId="41" fillId="7" borderId="113" xfId="1" applyFont="1" applyFill="1" applyBorder="1" applyAlignment="1">
      <alignment vertical="center"/>
    </xf>
    <xf numFmtId="43" fontId="41" fillId="7" borderId="114" xfId="1" applyFont="1" applyFill="1" applyBorder="1" applyAlignment="1">
      <alignment vertical="center"/>
    </xf>
    <xf numFmtId="0" fontId="41" fillId="7" borderId="112" xfId="0" applyFont="1" applyFill="1" applyBorder="1" applyAlignment="1">
      <alignment vertical="center"/>
    </xf>
    <xf numFmtId="0" fontId="41" fillId="7" borderId="0" xfId="0" applyFont="1" applyFill="1" applyBorder="1"/>
    <xf numFmtId="43" fontId="41" fillId="7" borderId="0" xfId="0" applyNumberFormat="1" applyFont="1" applyFill="1" applyBorder="1"/>
    <xf numFmtId="10" fontId="41" fillId="7" borderId="0" xfId="2" applyNumberFormat="1" applyFont="1" applyFill="1" applyBorder="1"/>
    <xf numFmtId="43" fontId="0" fillId="0" borderId="0" xfId="1" applyFont="1" applyAlignment="1">
      <alignment horizontal="lef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5" fillId="0" borderId="0" xfId="0" applyNumberFormat="1" applyFont="1" applyFill="1" applyBorder="1" applyAlignment="1">
      <alignment horizontal="center"/>
    </xf>
    <xf numFmtId="0" fontId="65" fillId="0" borderId="0" xfId="0" applyFont="1" applyFill="1"/>
    <xf numFmtId="0" fontId="65" fillId="0" borderId="0" xfId="0" applyFont="1"/>
    <xf numFmtId="2" fontId="21" fillId="4" borderId="16" xfId="0" applyNumberFormat="1" applyFont="1" applyFill="1" applyBorder="1" applyAlignment="1">
      <alignment horizontal="right" vertical="center"/>
    </xf>
    <xf numFmtId="0" fontId="64" fillId="2" borderId="88" xfId="0" applyFont="1" applyFill="1" applyBorder="1" applyAlignment="1">
      <alignment vertical="center" wrapText="1"/>
    </xf>
    <xf numFmtId="0" fontId="64" fillId="0" borderId="88" xfId="0" applyFont="1" applyFill="1" applyBorder="1" applyAlignment="1">
      <alignment vertical="center" wrapText="1"/>
    </xf>
    <xf numFmtId="167" fontId="66" fillId="4" borderId="95" xfId="0" applyNumberFormat="1" applyFont="1" applyFill="1" applyBorder="1" applyAlignment="1">
      <alignment horizontal="center" vertical="center" wrapText="1"/>
    </xf>
    <xf numFmtId="0" fontId="66" fillId="4" borderId="95" xfId="0" quotePrefix="1" applyNumberFormat="1" applyFont="1" applyFill="1" applyBorder="1" applyAlignment="1">
      <alignment vertical="center" wrapText="1"/>
    </xf>
    <xf numFmtId="0" fontId="66" fillId="4" borderId="95" xfId="2" applyNumberFormat="1" applyFont="1" applyFill="1" applyBorder="1" applyAlignment="1">
      <alignment horizontal="center" vertical="center" wrapText="1"/>
    </xf>
    <xf numFmtId="4" fontId="66" fillId="4" borderId="95" xfId="0" applyNumberFormat="1" applyFont="1" applyFill="1" applyBorder="1" applyAlignment="1">
      <alignment horizontal="center" vertical="center" wrapText="1"/>
    </xf>
    <xf numFmtId="0" fontId="66" fillId="4" borderId="95" xfId="0" applyNumberFormat="1" applyFont="1" applyFill="1" applyBorder="1" applyAlignment="1">
      <alignment horizontal="center" vertical="center" wrapText="1"/>
    </xf>
    <xf numFmtId="0" fontId="68" fillId="2" borderId="95" xfId="0" quotePrefix="1" applyNumberFormat="1" applyFont="1" applyFill="1" applyBorder="1" applyAlignment="1">
      <alignment vertical="center" wrapText="1"/>
    </xf>
    <xf numFmtId="167" fontId="68" fillId="2" borderId="95" xfId="0" applyNumberFormat="1" applyFont="1" applyFill="1" applyBorder="1" applyAlignment="1">
      <alignment horizontal="center" vertical="center" wrapText="1"/>
    </xf>
    <xf numFmtId="0" fontId="68" fillId="2" borderId="95" xfId="2" applyNumberFormat="1" applyFont="1" applyFill="1" applyBorder="1" applyAlignment="1">
      <alignment horizontal="center" vertical="center" wrapText="1"/>
    </xf>
    <xf numFmtId="4" fontId="68" fillId="2" borderId="95" xfId="0" applyNumberFormat="1" applyFont="1" applyFill="1" applyBorder="1" applyAlignment="1">
      <alignment horizontal="center" vertical="center" wrapText="1"/>
    </xf>
    <xf numFmtId="0" fontId="68" fillId="2" borderId="95" xfId="0" applyNumberFormat="1" applyFont="1" applyFill="1" applyBorder="1" applyAlignment="1">
      <alignment horizontal="center" vertical="center" wrapText="1"/>
    </xf>
    <xf numFmtId="2" fontId="66" fillId="4" borderId="95" xfId="2" applyNumberFormat="1" applyFont="1" applyFill="1" applyBorder="1" applyAlignment="1">
      <alignment horizontal="center" vertical="center" wrapText="1"/>
    </xf>
    <xf numFmtId="2" fontId="68" fillId="2" borderId="95" xfId="2" applyNumberFormat="1" applyFont="1" applyFill="1" applyBorder="1" applyAlignment="1">
      <alignment horizontal="center" vertical="center" wrapText="1"/>
    </xf>
    <xf numFmtId="173" fontId="66" fillId="4" borderId="95" xfId="0" applyNumberFormat="1" applyFont="1" applyFill="1" applyBorder="1" applyAlignment="1">
      <alignment horizontal="center" vertical="center" wrapText="1"/>
    </xf>
    <xf numFmtId="4" fontId="33"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1" fillId="11" borderId="0" xfId="0" applyFont="1" applyFill="1"/>
    <xf numFmtId="0" fontId="0" fillId="11" borderId="0" xfId="0" applyFont="1" applyFill="1"/>
    <xf numFmtId="0" fontId="70" fillId="0" borderId="0" xfId="0" applyFont="1" applyFill="1" applyBorder="1"/>
    <xf numFmtId="0" fontId="70" fillId="0" borderId="0" xfId="0" applyFont="1"/>
    <xf numFmtId="0" fontId="71" fillId="0" borderId="0" xfId="0" applyFont="1"/>
    <xf numFmtId="2" fontId="70" fillId="0" borderId="0" xfId="0" applyNumberFormat="1" applyFont="1" applyFill="1" applyBorder="1" applyAlignment="1">
      <alignment horizontal="center" vertical="center" wrapText="1"/>
    </xf>
    <xf numFmtId="2" fontId="70" fillId="0" borderId="0" xfId="0" quotePrefix="1" applyNumberFormat="1" applyFont="1" applyFill="1" applyBorder="1" applyAlignment="1">
      <alignment horizontal="center" vertical="center" wrapText="1"/>
    </xf>
    <xf numFmtId="17" fontId="70" fillId="0" borderId="0" xfId="0" quotePrefix="1" applyNumberFormat="1" applyFont="1" applyFill="1" applyBorder="1" applyAlignment="1">
      <alignment horizontal="center" vertical="center" wrapText="1"/>
    </xf>
    <xf numFmtId="0" fontId="70" fillId="0" borderId="0" xfId="0" quotePrefix="1" applyNumberFormat="1" applyFont="1" applyFill="1" applyBorder="1" applyAlignment="1">
      <alignment horizontal="center" vertical="center" wrapText="1"/>
    </xf>
    <xf numFmtId="2" fontId="70" fillId="0" borderId="0" xfId="0" applyNumberFormat="1" applyFont="1" applyFill="1" applyBorder="1" applyAlignment="1">
      <alignment horizontal="left"/>
    </xf>
    <xf numFmtId="2" fontId="70" fillId="0" borderId="0" xfId="0" applyNumberFormat="1" applyFont="1" applyFill="1" applyBorder="1" applyAlignment="1">
      <alignment horizontal="center"/>
    </xf>
    <xf numFmtId="2" fontId="72" fillId="0" borderId="0" xfId="0" applyNumberFormat="1" applyFont="1" applyFill="1" applyBorder="1" applyAlignment="1">
      <alignment horizontal="center"/>
    </xf>
    <xf numFmtId="174" fontId="70" fillId="0" borderId="0" xfId="0" applyNumberFormat="1" applyFont="1"/>
    <xf numFmtId="43" fontId="70" fillId="0" borderId="0" xfId="1" applyFont="1" applyFill="1" applyBorder="1" applyAlignment="1">
      <alignment horizontal="center"/>
    </xf>
    <xf numFmtId="0" fontId="70" fillId="0" borderId="0" xfId="0" applyNumberFormat="1" applyFont="1" applyFill="1" applyBorder="1" applyAlignment="1">
      <alignment vertical="top" wrapText="1"/>
    </xf>
    <xf numFmtId="0" fontId="71" fillId="0" borderId="0" xfId="0" applyFont="1" applyAlignment="1">
      <alignment horizontal="center" vertical="center"/>
    </xf>
    <xf numFmtId="0" fontId="72" fillId="2" borderId="0" xfId="0" applyNumberFormat="1" applyFont="1" applyFill="1" applyAlignment="1">
      <alignment horizontal="left" vertical="center" wrapText="1"/>
    </xf>
    <xf numFmtId="0" fontId="70" fillId="0" borderId="0" xfId="0" applyFont="1" applyAlignment="1">
      <alignment vertical="center"/>
    </xf>
    <xf numFmtId="4" fontId="63" fillId="4" borderId="92" xfId="0" applyNumberFormat="1" applyFont="1" applyFill="1" applyBorder="1" applyAlignment="1">
      <alignment horizontal="center" vertical="center"/>
    </xf>
    <xf numFmtId="170" fontId="73" fillId="8" borderId="0" xfId="3" applyFont="1" applyFill="1" applyBorder="1"/>
    <xf numFmtId="0" fontId="71" fillId="0" borderId="0" xfId="0" applyNumberFormat="1" applyFont="1" applyFill="1"/>
    <xf numFmtId="171" fontId="73" fillId="8" borderId="0" xfId="3" applyNumberFormat="1" applyFont="1" applyFill="1" applyBorder="1"/>
    <xf numFmtId="1" fontId="74" fillId="0" borderId="0" xfId="3" applyNumberFormat="1" applyFont="1" applyFill="1" applyBorder="1" applyAlignment="1">
      <alignment horizontal="center"/>
    </xf>
    <xf numFmtId="171" fontId="74" fillId="0" borderId="0" xfId="3" applyNumberFormat="1" applyFont="1" applyBorder="1" applyAlignment="1">
      <alignment horizontal="center"/>
    </xf>
    <xf numFmtId="2" fontId="75" fillId="0" borderId="0" xfId="3" applyNumberFormat="1" applyFont="1" applyFill="1"/>
    <xf numFmtId="2" fontId="75" fillId="0" borderId="0" xfId="3" applyNumberFormat="1" applyFont="1" applyFill="1" applyAlignment="1">
      <alignment horizontal="center"/>
    </xf>
    <xf numFmtId="2" fontId="75" fillId="0" borderId="0" xfId="3" applyNumberFormat="1" applyFont="1" applyBorder="1"/>
    <xf numFmtId="2" fontId="75" fillId="0" borderId="0" xfId="3" applyNumberFormat="1" applyFont="1"/>
    <xf numFmtId="2" fontId="75" fillId="0" borderId="0" xfId="3" applyNumberFormat="1" applyFont="1" applyAlignment="1">
      <alignment horizontal="center"/>
    </xf>
    <xf numFmtId="0" fontId="71" fillId="0" borderId="0" xfId="0" applyNumberFormat="1" applyFont="1" applyFill="1" applyAlignment="1">
      <alignment vertical="center"/>
    </xf>
    <xf numFmtId="2" fontId="75" fillId="2" borderId="0" xfId="3" applyNumberFormat="1" applyFont="1" applyFill="1"/>
    <xf numFmtId="2" fontId="76" fillId="0" borderId="0" xfId="0" applyNumberFormat="1" applyFont="1"/>
    <xf numFmtId="2" fontId="77" fillId="0" borderId="0" xfId="4" applyNumberFormat="1" applyFont="1"/>
    <xf numFmtId="0" fontId="71" fillId="0" borderId="0" xfId="0" applyFont="1" applyAlignment="1">
      <alignment horizontal="center"/>
    </xf>
    <xf numFmtId="165" fontId="71" fillId="0" borderId="0" xfId="0" applyNumberFormat="1" applyFont="1"/>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34" fillId="5" borderId="38" xfId="0" applyNumberFormat="1" applyFont="1" applyFill="1" applyBorder="1" applyAlignment="1">
      <alignment horizontal="left" vertical="center"/>
    </xf>
    <xf numFmtId="0" fontId="34" fillId="5" borderId="40" xfId="0" applyNumberFormat="1" applyFont="1" applyFill="1" applyBorder="1" applyAlignment="1">
      <alignment horizontal="left" vertical="center"/>
    </xf>
    <xf numFmtId="0" fontId="33" fillId="3" borderId="34" xfId="0" applyNumberFormat="1" applyFont="1" applyFill="1" applyBorder="1" applyAlignment="1">
      <alignment horizontal="center" vertical="center" wrapText="1"/>
    </xf>
    <xf numFmtId="0" fontId="33" fillId="3" borderId="26" xfId="0" applyNumberFormat="1" applyFont="1" applyFill="1" applyBorder="1" applyAlignment="1">
      <alignment horizontal="center" vertical="center" wrapText="1"/>
    </xf>
    <xf numFmtId="0" fontId="38"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34" fillId="5" borderId="27" xfId="0" applyNumberFormat="1" applyFont="1" applyFill="1" applyBorder="1" applyAlignment="1">
      <alignment horizontal="left" vertical="center"/>
    </xf>
    <xf numFmtId="0" fontId="34" fillId="5" borderId="29" xfId="0" applyNumberFormat="1" applyFont="1" applyFill="1" applyBorder="1" applyAlignment="1">
      <alignment horizontal="left" vertical="center"/>
    </xf>
    <xf numFmtId="0" fontId="34" fillId="2" borderId="30" xfId="0" applyNumberFormat="1" applyFont="1" applyFill="1" applyBorder="1" applyAlignment="1">
      <alignment horizontal="left" vertical="center"/>
    </xf>
    <xf numFmtId="0" fontId="34" fillId="2" borderId="31" xfId="0" applyNumberFormat="1" applyFont="1" applyFill="1" applyBorder="1" applyAlignment="1">
      <alignment horizontal="left" vertical="center"/>
    </xf>
    <xf numFmtId="0" fontId="34" fillId="5" borderId="30" xfId="0" applyNumberFormat="1" applyFont="1" applyFill="1" applyBorder="1" applyAlignment="1">
      <alignment horizontal="left" vertical="center"/>
    </xf>
    <xf numFmtId="0" fontId="34" fillId="5" borderId="31" xfId="0" applyNumberFormat="1" applyFont="1" applyFill="1" applyBorder="1" applyAlignment="1">
      <alignment horizontal="left" vertical="center"/>
    </xf>
    <xf numFmtId="0" fontId="34" fillId="2" borderId="32" xfId="0" applyNumberFormat="1" applyFont="1" applyFill="1" applyBorder="1" applyAlignment="1">
      <alignment horizontal="left" vertical="center"/>
    </xf>
    <xf numFmtId="0" fontId="34" fillId="2" borderId="34" xfId="0" applyNumberFormat="1" applyFont="1" applyFill="1" applyBorder="1" applyAlignment="1">
      <alignment horizontal="left" vertical="center"/>
    </xf>
    <xf numFmtId="0" fontId="64" fillId="2" borderId="0" xfId="0" quotePrefix="1" applyNumberFormat="1" applyFont="1" applyFill="1" applyBorder="1" applyAlignment="1">
      <alignment horizontal="left" vertical="center"/>
    </xf>
    <xf numFmtId="0" fontId="64" fillId="2" borderId="0" xfId="0" quotePrefix="1" applyNumberFormat="1" applyFont="1" applyFill="1" applyBorder="1" applyAlignment="1">
      <alignment horizontal="left" vertical="center" wrapText="1"/>
    </xf>
    <xf numFmtId="0" fontId="32"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3" borderId="17" xfId="0" quotePrefix="1" applyNumberFormat="1" applyFont="1" applyFill="1" applyBorder="1" applyAlignment="1">
      <alignment horizontal="left" vertical="center" wrapText="1"/>
    </xf>
    <xf numFmtId="0" fontId="2" fillId="3"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NumberFormat="1" applyFont="1" applyFill="1" applyBorder="1" applyAlignment="1">
      <alignment horizontal="center" vertical="center"/>
    </xf>
    <xf numFmtId="0" fontId="2" fillId="3"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4" fillId="0" borderId="0" xfId="0" applyNumberFormat="1" applyFont="1" applyFill="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NumberFormat="1" applyFont="1" applyFill="1" applyBorder="1" applyAlignment="1">
      <alignment horizontal="center" vertical="center"/>
    </xf>
    <xf numFmtId="0" fontId="2" fillId="3"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3" borderId="59" xfId="0" applyFont="1" applyFill="1" applyBorder="1" applyAlignment="1">
      <alignment horizontal="center" vertical="center"/>
    </xf>
    <xf numFmtId="0" fontId="2" fillId="3" borderId="61" xfId="0"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2" borderId="0" xfId="0" applyNumberFormat="1" applyFont="1" applyFill="1" applyAlignment="1">
      <alignment horizontal="left" vertical="center"/>
    </xf>
    <xf numFmtId="0" fontId="35"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8" fillId="2" borderId="0" xfId="0" applyNumberFormat="1" applyFont="1" applyFill="1" applyAlignment="1">
      <alignment horizontal="left" vertical="center" wrapText="1"/>
    </xf>
    <xf numFmtId="2" fontId="38" fillId="2" borderId="0" xfId="0" applyNumberFormat="1" applyFont="1" applyFill="1" applyAlignment="1">
      <alignment horizontal="left" vertical="center"/>
    </xf>
    <xf numFmtId="2" fontId="38"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13" fillId="2" borderId="100" xfId="0" applyFont="1" applyFill="1" applyBorder="1" applyAlignment="1">
      <alignment horizontal="left" vertical="center"/>
    </xf>
    <xf numFmtId="0" fontId="13" fillId="2" borderId="101" xfId="0" applyFont="1" applyFill="1" applyBorder="1" applyAlignment="1">
      <alignment horizontal="left" vertical="center"/>
    </xf>
    <xf numFmtId="0" fontId="13" fillId="2" borderId="102" xfId="0" applyFont="1" applyFill="1" applyBorder="1" applyAlignment="1">
      <alignment horizontal="left" vertical="center"/>
    </xf>
    <xf numFmtId="43" fontId="37" fillId="3" borderId="96" xfId="1" applyFont="1" applyFill="1" applyBorder="1" applyAlignment="1">
      <alignment horizontal="center" vertical="center" wrapText="1"/>
    </xf>
    <xf numFmtId="43" fontId="37" fillId="3"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42" fillId="2" borderId="0" xfId="0" quotePrefix="1" applyNumberFormat="1" applyFont="1" applyFill="1" applyBorder="1" applyAlignment="1">
      <alignment horizontal="left" vertical="center" wrapText="1"/>
    </xf>
    <xf numFmtId="0" fontId="38" fillId="2" borderId="99" xfId="0" quotePrefix="1" applyNumberFormat="1" applyFont="1" applyFill="1" applyBorder="1" applyAlignment="1">
      <alignment horizontal="left"/>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8" fillId="2" borderId="0" xfId="0" applyNumberFormat="1" applyFont="1" applyFill="1" applyBorder="1" applyAlignment="1">
      <alignment wrapText="1"/>
    </xf>
    <xf numFmtId="0" fontId="39" fillId="2" borderId="0" xfId="0" quotePrefix="1" applyNumberFormat="1" applyFont="1" applyFill="1" applyBorder="1" applyAlignment="1">
      <alignment horizontal="center" vertical="center" wrapText="1"/>
    </xf>
    <xf numFmtId="0" fontId="39" fillId="2" borderId="0" xfId="0" applyNumberFormat="1" applyFont="1" applyFill="1" applyBorder="1" applyAlignment="1">
      <alignment horizontal="center"/>
    </xf>
    <xf numFmtId="0" fontId="38" fillId="2" borderId="0" xfId="0" applyNumberFormat="1" applyFont="1" applyFill="1" applyBorder="1" applyAlignment="1">
      <alignment vertical="center" wrapText="1"/>
    </xf>
    <xf numFmtId="0" fontId="33" fillId="9" borderId="115" xfId="5" applyNumberFormat="1" applyFont="1" applyFill="1" applyBorder="1" applyAlignment="1">
      <alignment horizontal="center" vertical="center"/>
    </xf>
    <xf numFmtId="0" fontId="33" fillId="9" borderId="118" xfId="5" applyNumberFormat="1" applyFont="1" applyFill="1" applyBorder="1" applyAlignment="1">
      <alignment horizontal="center" vertical="center"/>
    </xf>
    <xf numFmtId="0" fontId="33" fillId="9" borderId="120" xfId="5" applyNumberFormat="1" applyFont="1" applyFill="1" applyBorder="1" applyAlignment="1">
      <alignment horizontal="center" vertical="center"/>
    </xf>
    <xf numFmtId="0" fontId="33" fillId="9" borderId="116" xfId="5" applyNumberFormat="1" applyFont="1" applyFill="1" applyBorder="1" applyAlignment="1">
      <alignment horizontal="center" vertical="center"/>
    </xf>
    <xf numFmtId="0" fontId="33" fillId="9" borderId="103" xfId="5" applyNumberFormat="1" applyFont="1" applyFill="1" applyBorder="1" applyAlignment="1">
      <alignment horizontal="center" vertical="center"/>
    </xf>
    <xf numFmtId="0" fontId="33" fillId="9" borderId="121" xfId="5" applyNumberFormat="1" applyFont="1" applyFill="1" applyBorder="1" applyAlignment="1">
      <alignment horizontal="center" vertical="center"/>
    </xf>
    <xf numFmtId="17" fontId="33" fillId="9" borderId="116" xfId="0" applyNumberFormat="1" applyFont="1" applyFill="1" applyBorder="1" applyAlignment="1">
      <alignment horizontal="center" vertical="center"/>
    </xf>
    <xf numFmtId="0" fontId="33" fillId="9" borderId="103" xfId="0" applyNumberFormat="1"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4" xfId="5" applyFont="1" applyFill="1" applyBorder="1" applyAlignment="1">
      <alignment horizontal="center" vertical="center" wrapText="1"/>
    </xf>
    <xf numFmtId="0" fontId="33" fillId="9" borderId="45" xfId="5" applyNumberFormat="1" applyFont="1" applyFill="1" applyBorder="1" applyAlignment="1">
      <alignment horizontal="center" vertical="center"/>
    </xf>
    <xf numFmtId="0" fontId="33" fillId="9" borderId="105" xfId="5" applyNumberFormat="1" applyFont="1" applyFill="1" applyBorder="1" applyAlignment="1">
      <alignment horizontal="center" vertical="center"/>
    </xf>
    <xf numFmtId="0" fontId="33"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3" fillId="10" borderId="134" xfId="6" applyNumberFormat="1" applyFont="1" applyFill="1" applyBorder="1" applyAlignment="1">
      <alignment horizontal="center" vertical="center"/>
    </xf>
    <xf numFmtId="0" fontId="33" fillId="10" borderId="129" xfId="6" applyNumberFormat="1" applyFont="1" applyFill="1" applyBorder="1" applyAlignment="1">
      <alignment horizontal="center" vertical="center"/>
    </xf>
    <xf numFmtId="0" fontId="33" fillId="10" borderId="131" xfId="6" applyNumberFormat="1" applyFont="1" applyFill="1" applyBorder="1" applyAlignment="1">
      <alignment horizontal="center" vertical="center"/>
    </xf>
    <xf numFmtId="0" fontId="33" fillId="10" borderId="135" xfId="6" applyNumberFormat="1" applyFont="1" applyFill="1" applyBorder="1" applyAlignment="1">
      <alignment horizontal="center" vertical="center"/>
    </xf>
    <xf numFmtId="0" fontId="33" fillId="10" borderId="46" xfId="6" applyNumberFormat="1" applyFont="1" applyFill="1" applyBorder="1" applyAlignment="1">
      <alignment horizontal="center" vertical="center"/>
    </xf>
    <xf numFmtId="0" fontId="33" fillId="10" borderId="132" xfId="6" applyNumberFormat="1" applyFont="1" applyFill="1" applyBorder="1" applyAlignment="1">
      <alignment horizontal="center" vertical="center"/>
    </xf>
    <xf numFmtId="0" fontId="33" fillId="10" borderId="136" xfId="6" applyNumberFormat="1" applyFont="1" applyFill="1" applyBorder="1" applyAlignment="1">
      <alignment horizontal="center" vertical="center"/>
    </xf>
    <xf numFmtId="0"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A3A3A3"/>
      <color rgb="FF9B9B9B"/>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2347146930651504E-2"/>
                  <c:y val="-9.43984961548079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2632.7882674499997</c:v>
                </c:pt>
                <c:pt idx="1">
                  <c:v>1442.7810685250004</c:v>
                </c:pt>
                <c:pt idx="2">
                  <c:v>0</c:v>
                </c:pt>
                <c:pt idx="3">
                  <c:v>0.46945403999999991</c:v>
                </c:pt>
                <c:pt idx="4">
                  <c:v>10.730150887500001</c:v>
                </c:pt>
                <c:pt idx="5">
                  <c:v>143.30216725</c:v>
                </c:pt>
                <c:pt idx="6">
                  <c:v>57.9052203225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1442.7810685250004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0.46945403999999991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10.730150887500001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143.30216725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57.9052203225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RER'!$L$25:$L$29</c:f>
              <c:strCache>
                <c:ptCount val="5"/>
                <c:pt idx="0">
                  <c:v>C.E. TRES HERMANAS</c:v>
                </c:pt>
                <c:pt idx="1">
                  <c:v>C.E. CUPISNIQUE</c:v>
                </c:pt>
                <c:pt idx="2">
                  <c:v>C.E. WAYRA I</c:v>
                </c:pt>
                <c:pt idx="3">
                  <c:v>C.E. MARCONA</c:v>
                </c:pt>
                <c:pt idx="4">
                  <c:v>C.E. TALARA</c:v>
                </c:pt>
              </c:strCache>
            </c:strRef>
          </c:cat>
          <c:val>
            <c:numRef>
              <c:f>'6. FP RER'!$O$25:$O$29</c:f>
              <c:numCache>
                <c:formatCode>0.00</c:formatCode>
                <c:ptCount val="5"/>
                <c:pt idx="0">
                  <c:v>42.716160025000001</c:v>
                </c:pt>
                <c:pt idx="1">
                  <c:v>30.7505925675</c:v>
                </c:pt>
                <c:pt idx="2">
                  <c:v>18.600999999999999</c:v>
                </c:pt>
                <c:pt idx="3">
                  <c:v>12.871576702500001</c:v>
                </c:pt>
                <c:pt idx="4">
                  <c:v>12.526517465000001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RER'!$L$25:$L$29</c:f>
              <c:strCache>
                <c:ptCount val="5"/>
                <c:pt idx="0">
                  <c:v>C.E. TRES HERMANAS</c:v>
                </c:pt>
                <c:pt idx="1">
                  <c:v>C.E. CUPISNIQUE</c:v>
                </c:pt>
                <c:pt idx="2">
                  <c:v>C.E. WAYRA I</c:v>
                </c:pt>
                <c:pt idx="3">
                  <c:v>C.E. MARCONA</c:v>
                </c:pt>
                <c:pt idx="4">
                  <c:v>C.E. TALARA</c:v>
                </c:pt>
              </c:strCache>
            </c:strRef>
          </c:cat>
          <c:val>
            <c:numRef>
              <c:f>'6. FP RER'!$P$25:$P$29</c:f>
              <c:numCache>
                <c:formatCode>0.00</c:formatCode>
                <c:ptCount val="5"/>
                <c:pt idx="0">
                  <c:v>0.59098500856396541</c:v>
                </c:pt>
                <c:pt idx="1">
                  <c:v>0.4970708553575931</c:v>
                </c:pt>
                <c:pt idx="2">
                  <c:v>0.45063181967943866</c:v>
                </c:pt>
                <c:pt idx="3">
                  <c:v>0.54064082251764112</c:v>
                </c:pt>
                <c:pt idx="4">
                  <c:v>0.54558383094133067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9037395348599794E-2"/>
          <c:y val="0.14375424768335157"/>
          <c:w val="0.8755947606824029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RER'!$L$30:$L$36</c:f>
              <c:strCache>
                <c:ptCount val="7"/>
                <c:pt idx="0">
                  <c:v>C.S. RUBI</c:v>
                </c:pt>
                <c:pt idx="1">
                  <c:v>C.S. INTIPAMPA</c:v>
                </c:pt>
                <c:pt idx="2">
                  <c:v>C.S. PANAMERICANA</c:v>
                </c:pt>
                <c:pt idx="3">
                  <c:v>C.S. MAJES SOLAR</c:v>
                </c:pt>
                <c:pt idx="4">
                  <c:v>C.S. MOQUEGUA FV</c:v>
                </c:pt>
                <c:pt idx="5">
                  <c:v>C.S. TACNA SOLAR</c:v>
                </c:pt>
                <c:pt idx="6">
                  <c:v>C.S. REPARTICION</c:v>
                </c:pt>
              </c:strCache>
            </c:strRef>
          </c:cat>
          <c:val>
            <c:numRef>
              <c:f>'6. FP RER'!$O$30:$O$36</c:f>
              <c:numCache>
                <c:formatCode>0.00</c:formatCode>
                <c:ptCount val="7"/>
                <c:pt idx="0">
                  <c:v>32.421255314999996</c:v>
                </c:pt>
                <c:pt idx="1">
                  <c:v>7.4507127075000001</c:v>
                </c:pt>
                <c:pt idx="2">
                  <c:v>3.8631219999999997</c:v>
                </c:pt>
                <c:pt idx="3">
                  <c:v>3.6082463974999999</c:v>
                </c:pt>
                <c:pt idx="4">
                  <c:v>3.5572601450000003</c:v>
                </c:pt>
                <c:pt idx="5">
                  <c:v>3.5214876724999997</c:v>
                </c:pt>
                <c:pt idx="6">
                  <c:v>3.4831360849999999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RER'!$L$30:$L$36</c:f>
              <c:strCache>
                <c:ptCount val="7"/>
                <c:pt idx="0">
                  <c:v>C.S. RUBI</c:v>
                </c:pt>
                <c:pt idx="1">
                  <c:v>C.S. INTIPAMPA</c:v>
                </c:pt>
                <c:pt idx="2">
                  <c:v>C.S. PANAMERICANA</c:v>
                </c:pt>
                <c:pt idx="3">
                  <c:v>C.S. MAJES SOLAR</c:v>
                </c:pt>
                <c:pt idx="4">
                  <c:v>C.S. MOQUEGUA FV</c:v>
                </c:pt>
                <c:pt idx="5">
                  <c:v>C.S. TACNA SOLAR</c:v>
                </c:pt>
                <c:pt idx="6">
                  <c:v>C.S. REPARTICION</c:v>
                </c:pt>
              </c:strCache>
            </c:strRef>
          </c:cat>
          <c:val>
            <c:numRef>
              <c:f>'6. FP RER'!$P$30:$P$36</c:f>
              <c:numCache>
                <c:formatCode>0.00</c:formatCode>
                <c:ptCount val="7"/>
                <c:pt idx="0">
                  <c:v>0.30161237588973139</c:v>
                </c:pt>
                <c:pt idx="1">
                  <c:v>0.22484056579261844</c:v>
                </c:pt>
                <c:pt idx="2">
                  <c:v>0.25961841397849461</c:v>
                </c:pt>
                <c:pt idx="3">
                  <c:v>0.2424896772513441</c:v>
                </c:pt>
                <c:pt idx="4">
                  <c:v>0.29882897723454305</c:v>
                </c:pt>
                <c:pt idx="5">
                  <c:v>0.23665911777553764</c:v>
                </c:pt>
                <c:pt idx="6">
                  <c:v>0.23408172614247313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RER'!$L$37:$L$39</c:f>
              <c:strCache>
                <c:ptCount val="3"/>
                <c:pt idx="0">
                  <c:v>C.T. PARAMONGA</c:v>
                </c:pt>
                <c:pt idx="1">
                  <c:v>C.T. HUAYCOLORO</c:v>
                </c:pt>
                <c:pt idx="2">
                  <c:v>C.T. LA GRINGA</c:v>
                </c:pt>
              </c:strCache>
            </c:strRef>
          </c:cat>
          <c:val>
            <c:numRef>
              <c:f>'6. FP RER'!$O$37:$O$39</c:f>
              <c:numCache>
                <c:formatCode>0.00</c:formatCode>
                <c:ptCount val="3"/>
                <c:pt idx="0">
                  <c:v>7.3377402875</c:v>
                </c:pt>
                <c:pt idx="1">
                  <c:v>2.9920498000000002</c:v>
                </c:pt>
                <c:pt idx="2">
                  <c:v>0.40036079999999996</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strRef>
              <c:f>'6. FP RER'!$L$37:$L$39</c:f>
              <c:strCache>
                <c:ptCount val="3"/>
                <c:pt idx="0">
                  <c:v>C.T. PARAMONGA</c:v>
                </c:pt>
                <c:pt idx="1">
                  <c:v>C.T. HUAYCOLORO</c:v>
                </c:pt>
                <c:pt idx="2">
                  <c:v>C.T. LA GRINGA</c:v>
                </c:pt>
              </c:strCache>
            </c:strRef>
          </c:cat>
          <c:val>
            <c:numRef>
              <c:f>'6. FP RER'!$P$37:$P$39</c:f>
              <c:numCache>
                <c:formatCode>0.00</c:formatCode>
                <c:ptCount val="3"/>
                <c:pt idx="0">
                  <c:v>0.77407703053245946</c:v>
                </c:pt>
                <c:pt idx="1">
                  <c:v>0.94347737520890484</c:v>
                </c:pt>
                <c:pt idx="2">
                  <c:v>0.18218483760663226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chemeClr val="accent1"/>
            </a:solidFill>
          </c:spPr>
          <c:invertIfNegative val="0"/>
          <c:cat>
            <c:multiLvlStrRef>
              <c:f>'6. FP RER'!$S$6:$T$39</c:f>
              <c:multiLvlStrCache>
                <c:ptCount val="34"/>
                <c:lvl>
                  <c:pt idx="0">
                    <c:v>C.H. CARHUAQUERO IV</c:v>
                  </c:pt>
                  <c:pt idx="1">
                    <c:v>C.H. RONCADOR</c:v>
                  </c:pt>
                  <c:pt idx="2">
                    <c:v>C.H. YARUCAYA</c:v>
                  </c:pt>
                  <c:pt idx="3">
                    <c:v>C.H. RUNATULLO III</c:v>
                  </c:pt>
                  <c:pt idx="4">
                    <c:v>C.H. RENOVANDES H1</c:v>
                  </c:pt>
                  <c:pt idx="5">
                    <c:v>C.H. LAS PIZARRAS</c:v>
                  </c:pt>
                  <c:pt idx="6">
                    <c:v>C.H. YANAPAMPA</c:v>
                  </c:pt>
                  <c:pt idx="7">
                    <c:v>C.H. HUASAHUASI II</c:v>
                  </c:pt>
                  <c:pt idx="8">
                    <c:v>C.H. CANCHAYLLO</c:v>
                  </c:pt>
                  <c:pt idx="9">
                    <c:v>C.H. HUASAHUASI I</c:v>
                  </c:pt>
                  <c:pt idx="10">
                    <c:v>C.H. LA JOYA</c:v>
                  </c:pt>
                  <c:pt idx="11">
                    <c:v>C.H. POTRERO</c:v>
                  </c:pt>
                  <c:pt idx="12">
                    <c:v>C.H. CAÑA BRAVA</c:v>
                  </c:pt>
                  <c:pt idx="13">
                    <c:v>C.H. RUNATULLO II</c:v>
                  </c:pt>
                  <c:pt idx="14">
                    <c:v>C.H. POECHOS II</c:v>
                  </c:pt>
                  <c:pt idx="15">
                    <c:v>C.H. SANTA CRUZ II</c:v>
                  </c:pt>
                  <c:pt idx="16">
                    <c:v>C.H. SANTA CRUZ I</c:v>
                  </c:pt>
                  <c:pt idx="17">
                    <c:v>C.H. IMPERIAL</c:v>
                  </c:pt>
                  <c:pt idx="18">
                    <c:v>C.H. PURMACANA</c:v>
                  </c:pt>
                  <c:pt idx="19">
                    <c:v>C.E. TRES HERMANAS</c:v>
                  </c:pt>
                  <c:pt idx="20">
                    <c:v>C.E. MARCONA</c:v>
                  </c:pt>
                  <c:pt idx="21">
                    <c:v>C.E. WAYRA I</c:v>
                  </c:pt>
                  <c:pt idx="22">
                    <c:v>C.E. CUPISNIQUE</c:v>
                  </c:pt>
                  <c:pt idx="23">
                    <c:v>C.E. TALARA</c:v>
                  </c:pt>
                  <c:pt idx="24">
                    <c:v>C.S. MOQUEGUA FV</c:v>
                  </c:pt>
                  <c:pt idx="25">
                    <c:v>C.S. TACNA SOLAR</c:v>
                  </c:pt>
                  <c:pt idx="26">
                    <c:v>C.S. PANAMERICANA SOLAR</c:v>
                  </c:pt>
                  <c:pt idx="27">
                    <c:v>C.S. MAJES SOLAR</c:v>
                  </c:pt>
                  <c:pt idx="28">
                    <c:v>C.S. RUBI</c:v>
                  </c:pt>
                  <c:pt idx="29">
                    <c:v>C.S. INTIPAMPA</c:v>
                  </c:pt>
                  <c:pt idx="30">
                    <c:v>C.S. REPARTICION</c:v>
                  </c:pt>
                  <c:pt idx="31">
                    <c:v>C.T. HUAYCOLORO</c:v>
                  </c:pt>
                  <c:pt idx="32">
                    <c:v>C.T. PARAMONGA</c:v>
                  </c:pt>
                  <c:pt idx="33">
                    <c:v>C.T. LA GRINGA</c:v>
                  </c:pt>
                </c:lvl>
                <c:lvl>
                  <c:pt idx="0">
                    <c:v>AGUA</c:v>
                  </c:pt>
                  <c:pt idx="19">
                    <c:v>EOLICA</c:v>
                  </c:pt>
                  <c:pt idx="24">
                    <c:v>SOLAR</c:v>
                  </c:pt>
                  <c:pt idx="31">
                    <c:v>BIOMASA</c:v>
                  </c:pt>
                </c:lvl>
              </c:multiLvlStrCache>
            </c:multiLvlStrRef>
          </c:cat>
          <c:val>
            <c:numRef>
              <c:f>'6. FP RER'!$U$6:$U$39</c:f>
              <c:numCache>
                <c:formatCode>0.000</c:formatCode>
                <c:ptCount val="34"/>
                <c:pt idx="0">
                  <c:v>0.98007712960266458</c:v>
                </c:pt>
                <c:pt idx="1">
                  <c:v>0.97930848541650806</c:v>
                </c:pt>
                <c:pt idx="2">
                  <c:v>0.97806819039735104</c:v>
                </c:pt>
                <c:pt idx="3">
                  <c:v>0.93489288620124411</c:v>
                </c:pt>
                <c:pt idx="4">
                  <c:v>0.90424522089041093</c:v>
                </c:pt>
                <c:pt idx="5">
                  <c:v>0.89032695423796626</c:v>
                </c:pt>
                <c:pt idx="6">
                  <c:v>0.85676018045147528</c:v>
                </c:pt>
                <c:pt idx="7">
                  <c:v>0.85545361321650537</c:v>
                </c:pt>
                <c:pt idx="8">
                  <c:v>0.85099416185197319</c:v>
                </c:pt>
                <c:pt idx="9">
                  <c:v>0.85070605474221506</c:v>
                </c:pt>
                <c:pt idx="10">
                  <c:v>0.80402375811782001</c:v>
                </c:pt>
                <c:pt idx="11">
                  <c:v>0.77924806690738468</c:v>
                </c:pt>
                <c:pt idx="12">
                  <c:v>0.76726065440177382</c:v>
                </c:pt>
                <c:pt idx="13">
                  <c:v>0.76625626188426132</c:v>
                </c:pt>
                <c:pt idx="14">
                  <c:v>0.76458122319655386</c:v>
                </c:pt>
                <c:pt idx="15">
                  <c:v>0.75521893078708979</c:v>
                </c:pt>
                <c:pt idx="16">
                  <c:v>0.73919901048517522</c:v>
                </c:pt>
                <c:pt idx="17">
                  <c:v>0.64629680368348241</c:v>
                </c:pt>
                <c:pt idx="18">
                  <c:v>0.19645088670499541</c:v>
                </c:pt>
                <c:pt idx="19">
                  <c:v>0.5486698884971124</c:v>
                </c:pt>
                <c:pt idx="20">
                  <c:v>0.50887765941897767</c:v>
                </c:pt>
                <c:pt idx="21">
                  <c:v>0.45063181967943866</c:v>
                </c:pt>
                <c:pt idx="22">
                  <c:v>0.40873318797214797</c:v>
                </c:pt>
                <c:pt idx="23">
                  <c:v>0.35234092366777109</c:v>
                </c:pt>
                <c:pt idx="24">
                  <c:v>0.33155513063948672</c:v>
                </c:pt>
                <c:pt idx="25">
                  <c:v>0.29587426817742829</c:v>
                </c:pt>
                <c:pt idx="26">
                  <c:v>0.28981453111203093</c:v>
                </c:pt>
                <c:pt idx="27">
                  <c:v>0.24601294870998894</c:v>
                </c:pt>
                <c:pt idx="28">
                  <c:v>0.24264304957263358</c:v>
                </c:pt>
                <c:pt idx="29">
                  <c:v>0.23998497861653895</c:v>
                </c:pt>
                <c:pt idx="30">
                  <c:v>0.21195075086230683</c:v>
                </c:pt>
                <c:pt idx="31">
                  <c:v>0.92003167106873052</c:v>
                </c:pt>
                <c:pt idx="32">
                  <c:v>0.76524233697249788</c:v>
                </c:pt>
                <c:pt idx="33">
                  <c:v>0.54623239622343689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RER'!$S$6:$T$39</c:f>
              <c:multiLvlStrCache>
                <c:ptCount val="34"/>
                <c:lvl>
                  <c:pt idx="0">
                    <c:v>C.H. CARHUAQUERO IV</c:v>
                  </c:pt>
                  <c:pt idx="1">
                    <c:v>C.H. RONCADOR</c:v>
                  </c:pt>
                  <c:pt idx="2">
                    <c:v>C.H. YARUCAYA</c:v>
                  </c:pt>
                  <c:pt idx="3">
                    <c:v>C.H. RUNATULLO III</c:v>
                  </c:pt>
                  <c:pt idx="4">
                    <c:v>C.H. RENOVANDES H1</c:v>
                  </c:pt>
                  <c:pt idx="5">
                    <c:v>C.H. LAS PIZARRAS</c:v>
                  </c:pt>
                  <c:pt idx="6">
                    <c:v>C.H. YANAPAMPA</c:v>
                  </c:pt>
                  <c:pt idx="7">
                    <c:v>C.H. HUASAHUASI II</c:v>
                  </c:pt>
                  <c:pt idx="8">
                    <c:v>C.H. CANCHAYLLO</c:v>
                  </c:pt>
                  <c:pt idx="9">
                    <c:v>C.H. HUASAHUASI I</c:v>
                  </c:pt>
                  <c:pt idx="10">
                    <c:v>C.H. LA JOYA</c:v>
                  </c:pt>
                  <c:pt idx="11">
                    <c:v>C.H. POTRERO</c:v>
                  </c:pt>
                  <c:pt idx="12">
                    <c:v>C.H. CAÑA BRAVA</c:v>
                  </c:pt>
                  <c:pt idx="13">
                    <c:v>C.H. RUNATULLO II</c:v>
                  </c:pt>
                  <c:pt idx="14">
                    <c:v>C.H. POECHOS II</c:v>
                  </c:pt>
                  <c:pt idx="15">
                    <c:v>C.H. SANTA CRUZ II</c:v>
                  </c:pt>
                  <c:pt idx="16">
                    <c:v>C.H. SANTA CRUZ I</c:v>
                  </c:pt>
                  <c:pt idx="17">
                    <c:v>C.H. IMPERIAL</c:v>
                  </c:pt>
                  <c:pt idx="18">
                    <c:v>C.H. PURMACANA</c:v>
                  </c:pt>
                  <c:pt idx="19">
                    <c:v>C.E. TRES HERMANAS</c:v>
                  </c:pt>
                  <c:pt idx="20">
                    <c:v>C.E. MARCONA</c:v>
                  </c:pt>
                  <c:pt idx="21">
                    <c:v>C.E. WAYRA I</c:v>
                  </c:pt>
                  <c:pt idx="22">
                    <c:v>C.E. CUPISNIQUE</c:v>
                  </c:pt>
                  <c:pt idx="23">
                    <c:v>C.E. TALARA</c:v>
                  </c:pt>
                  <c:pt idx="24">
                    <c:v>C.S. MOQUEGUA FV</c:v>
                  </c:pt>
                  <c:pt idx="25">
                    <c:v>C.S. TACNA SOLAR</c:v>
                  </c:pt>
                  <c:pt idx="26">
                    <c:v>C.S. PANAMERICANA SOLAR</c:v>
                  </c:pt>
                  <c:pt idx="27">
                    <c:v>C.S. MAJES SOLAR</c:v>
                  </c:pt>
                  <c:pt idx="28">
                    <c:v>C.S. RUBI</c:v>
                  </c:pt>
                  <c:pt idx="29">
                    <c:v>C.S. INTIPAMPA</c:v>
                  </c:pt>
                  <c:pt idx="30">
                    <c:v>C.S. REPARTICION</c:v>
                  </c:pt>
                  <c:pt idx="31">
                    <c:v>C.T. HUAYCOLORO</c:v>
                  </c:pt>
                  <c:pt idx="32">
                    <c:v>C.T. PARAMONGA</c:v>
                  </c:pt>
                  <c:pt idx="33">
                    <c:v>C.T. LA GRINGA</c:v>
                  </c:pt>
                </c:lvl>
                <c:lvl>
                  <c:pt idx="0">
                    <c:v>AGUA</c:v>
                  </c:pt>
                  <c:pt idx="19">
                    <c:v>EOLICA</c:v>
                  </c:pt>
                  <c:pt idx="24">
                    <c:v>SOLAR</c:v>
                  </c:pt>
                  <c:pt idx="31">
                    <c:v>BIOMASA</c:v>
                  </c:pt>
                </c:lvl>
              </c:multiLvlStrCache>
            </c:multiLvlStrRef>
          </c:cat>
          <c:val>
            <c:numRef>
              <c:f>'6. FP RER'!$V$6:$V$39</c:f>
              <c:numCache>
                <c:formatCode>0.000</c:formatCode>
                <c:ptCount val="34"/>
                <c:pt idx="0">
                  <c:v>0.96614675100000003</c:v>
                </c:pt>
                <c:pt idx="1">
                  <c:v>0.82316459399999997</c:v>
                </c:pt>
                <c:pt idx="3">
                  <c:v>0.98330200000000001</c:v>
                </c:pt>
                <c:pt idx="5">
                  <c:v>0.92885366400000002</c:v>
                </c:pt>
                <c:pt idx="6">
                  <c:v>0.57480404399999996</c:v>
                </c:pt>
                <c:pt idx="7">
                  <c:v>0.79912525099999998</c:v>
                </c:pt>
                <c:pt idx="8">
                  <c:v>0.52137159600000005</c:v>
                </c:pt>
                <c:pt idx="9">
                  <c:v>0.81130372299999998</c:v>
                </c:pt>
                <c:pt idx="10">
                  <c:v>0.66109470599999998</c:v>
                </c:pt>
                <c:pt idx="11">
                  <c:v>0.59281574599999998</c:v>
                </c:pt>
                <c:pt idx="12">
                  <c:v>0.85628158200000004</c:v>
                </c:pt>
                <c:pt idx="13">
                  <c:v>0.83844597600000004</c:v>
                </c:pt>
                <c:pt idx="14">
                  <c:v>0.30729080399999997</c:v>
                </c:pt>
                <c:pt idx="15">
                  <c:v>0.79502259200000003</c:v>
                </c:pt>
                <c:pt idx="16">
                  <c:v>0.815503749</c:v>
                </c:pt>
                <c:pt idx="17">
                  <c:v>0.70921126800000001</c:v>
                </c:pt>
                <c:pt idx="18">
                  <c:v>7.2484125999999996E-2</c:v>
                </c:pt>
                <c:pt idx="19">
                  <c:v>0.53568882200000001</c:v>
                </c:pt>
                <c:pt idx="20">
                  <c:v>0.55288335799999999</c:v>
                </c:pt>
                <c:pt idx="22">
                  <c:v>0.30554624200000002</c:v>
                </c:pt>
                <c:pt idx="23">
                  <c:v>0.269793424</c:v>
                </c:pt>
                <c:pt idx="24">
                  <c:v>0.30288449000000001</c:v>
                </c:pt>
                <c:pt idx="25">
                  <c:v>0.27163977700000003</c:v>
                </c:pt>
                <c:pt idx="26">
                  <c:v>0.262951504</c:v>
                </c:pt>
                <c:pt idx="27">
                  <c:v>0.24022839200000001</c:v>
                </c:pt>
                <c:pt idx="30">
                  <c:v>0.21649563699999999</c:v>
                </c:pt>
                <c:pt idx="31">
                  <c:v>0.85507883100000004</c:v>
                </c:pt>
                <c:pt idx="32">
                  <c:v>0.68150381000000004</c:v>
                </c:pt>
                <c:pt idx="33">
                  <c:v>0.32250567699999999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empresa'!$L$5:$L$60</c:f>
              <c:strCache>
                <c:ptCount val="56"/>
                <c:pt idx="0">
                  <c:v>RIO BAÑOS</c:v>
                </c:pt>
                <c:pt idx="1">
                  <c:v>ECELIM</c:v>
                </c:pt>
                <c:pt idx="2">
                  <c:v>CERRO DEL AGUILA</c:v>
                </c:pt>
                <c:pt idx="3">
                  <c:v>AYEPSA</c:v>
                </c:pt>
                <c:pt idx="4">
                  <c:v>AGROAURORA</c:v>
                </c:pt>
                <c:pt idx="5">
                  <c:v>CERRO VERDE</c:v>
                </c:pt>
                <c:pt idx="6">
                  <c:v>IYEPSA</c:v>
                </c:pt>
                <c:pt idx="7">
                  <c:v>PLANTA  ETEN</c:v>
                </c:pt>
                <c:pt idx="8">
                  <c:v>SHOUGESA</c:v>
                </c:pt>
                <c:pt idx="9">
                  <c:v>ELECTRICA SANTA ROSA</c:v>
                </c:pt>
                <c:pt idx="10">
                  <c:v>SAMAY I</c:v>
                </c:pt>
                <c:pt idx="11">
                  <c:v>HIDROCAÑETE</c:v>
                </c:pt>
                <c:pt idx="12">
                  <c:v>MAJA ENERGIA</c:v>
                </c:pt>
                <c:pt idx="13">
                  <c:v>ELECTRICA YANAPAMPA</c:v>
                </c:pt>
                <c:pt idx="14">
                  <c:v>EGECSAC</c:v>
                </c:pt>
                <c:pt idx="15">
                  <c:v>PETRAMAS</c:v>
                </c:pt>
                <c:pt idx="16">
                  <c:v>GTS REPARTICION</c:v>
                </c:pt>
                <c:pt idx="17">
                  <c:v>TACNA SOLAR</c:v>
                </c:pt>
                <c:pt idx="18">
                  <c:v>MOQUEGUA FV</c:v>
                </c:pt>
                <c:pt idx="19">
                  <c:v>GTS MAJES</c:v>
                </c:pt>
                <c:pt idx="20">
                  <c:v>PANAMERICANA SOLAR</c:v>
                </c:pt>
                <c:pt idx="21">
                  <c:v>GEPSA</c:v>
                </c:pt>
                <c:pt idx="22">
                  <c:v>SINERSA</c:v>
                </c:pt>
                <c:pt idx="23">
                  <c:v>HIDROELECTRICA HUANCHOR</c:v>
                </c:pt>
                <c:pt idx="24">
                  <c:v>AIPSA</c:v>
                </c:pt>
                <c:pt idx="25">
                  <c:v>HUAURA POWER</c:v>
                </c:pt>
                <c:pt idx="26">
                  <c:v>AGUA AZUL</c:v>
                </c:pt>
                <c:pt idx="27">
                  <c:v>P.E. MARCONA</c:v>
                </c:pt>
                <c:pt idx="28">
                  <c:v>SANTA CRUZ</c:v>
                </c:pt>
                <c:pt idx="29">
                  <c:v>RIO DOBLE</c:v>
                </c:pt>
                <c:pt idx="30">
                  <c:v>HIDROMARAÑON/ CELEPSA RENOVABLES</c:v>
                </c:pt>
                <c:pt idx="31">
                  <c:v>SANTA ANA</c:v>
                </c:pt>
                <c:pt idx="32">
                  <c:v>EMGE JUNÍN</c:v>
                </c:pt>
                <c:pt idx="33">
                  <c:v>SDF ENERGIA</c:v>
                </c:pt>
                <c:pt idx="34">
                  <c:v>TERMOSELVA</c:v>
                </c:pt>
                <c:pt idx="35">
                  <c:v>EGESUR</c:v>
                </c:pt>
                <c:pt idx="36">
                  <c:v>EMGE HUANZA</c:v>
                </c:pt>
                <c:pt idx="37">
                  <c:v>P.E. TRES HERMANAS</c:v>
                </c:pt>
                <c:pt idx="38">
                  <c:v>ENERGÍA EÓLICA</c:v>
                </c:pt>
                <c:pt idx="39">
                  <c:v>ENEL GENERACION PIURA</c:v>
                </c:pt>
                <c:pt idx="40">
                  <c:v>LUZ DEL SUR</c:v>
                </c:pt>
                <c:pt idx="41">
                  <c:v>SAN GABAN</c:v>
                </c:pt>
                <c:pt idx="42">
                  <c:v>EGASA</c:v>
                </c:pt>
                <c:pt idx="43">
                  <c:v>ENEL GREEN POWER PERU</c:v>
                </c:pt>
                <c:pt idx="44">
                  <c:v>CHINANGO</c:v>
                </c:pt>
                <c:pt idx="45">
                  <c:v>CELEPSA</c:v>
                </c:pt>
                <c:pt idx="46">
                  <c:v>EGEMSA</c:v>
                </c:pt>
                <c:pt idx="47">
                  <c:v>TERMOCHILCA</c:v>
                </c:pt>
                <c:pt idx="48">
                  <c:v>ORAZUL ENERGY PERÚ</c:v>
                </c:pt>
                <c:pt idx="49">
                  <c:v>EMGE HUALLAGA</c:v>
                </c:pt>
                <c:pt idx="50">
                  <c:v>STATKRAFT</c:v>
                </c:pt>
                <c:pt idx="51">
                  <c:v>ENGIE</c:v>
                </c:pt>
                <c:pt idx="52">
                  <c:v>FENIX POWER</c:v>
                </c:pt>
                <c:pt idx="53">
                  <c:v>ENEL GENERACION PERU</c:v>
                </c:pt>
                <c:pt idx="54">
                  <c:v>ELECTROPERU</c:v>
                </c:pt>
                <c:pt idx="55">
                  <c:v>KALLPA</c:v>
                </c:pt>
              </c:strCache>
            </c:strRef>
          </c:cat>
          <c:val>
            <c:numRef>
              <c:f>'7. Generacion empresa'!$M$5:$M$60</c:f>
              <c:numCache>
                <c:formatCode>General</c:formatCode>
                <c:ptCount val="56"/>
                <c:pt idx="4">
                  <c:v>0</c:v>
                </c:pt>
                <c:pt idx="5">
                  <c:v>1E-8</c:v>
                </c:pt>
                <c:pt idx="6">
                  <c:v>2.7471275E-3</c:v>
                </c:pt>
                <c:pt idx="7">
                  <c:v>2.6530172500000001E-2</c:v>
                </c:pt>
                <c:pt idx="8">
                  <c:v>5.2523294999999998E-2</c:v>
                </c:pt>
                <c:pt idx="9">
                  <c:v>0.2310738725</c:v>
                </c:pt>
                <c:pt idx="10">
                  <c:v>0.34930804999999998</c:v>
                </c:pt>
                <c:pt idx="11">
                  <c:v>1.5354000000000001</c:v>
                </c:pt>
                <c:pt idx="12">
                  <c:v>2.2675752500000002</c:v>
                </c:pt>
                <c:pt idx="13">
                  <c:v>2.6515391350000002</c:v>
                </c:pt>
                <c:pt idx="14">
                  <c:v>2.8651935000000002</c:v>
                </c:pt>
                <c:pt idx="15">
                  <c:v>3.3924106000000003</c:v>
                </c:pt>
                <c:pt idx="16">
                  <c:v>3.4831360849999999</c:v>
                </c:pt>
                <c:pt idx="17">
                  <c:v>3.5214876724999997</c:v>
                </c:pt>
                <c:pt idx="18">
                  <c:v>3.5572601450000003</c:v>
                </c:pt>
                <c:pt idx="19">
                  <c:v>3.6082463974999999</c:v>
                </c:pt>
                <c:pt idx="20">
                  <c:v>3.8631219999999997</c:v>
                </c:pt>
                <c:pt idx="21">
                  <c:v>4.0501942975</c:v>
                </c:pt>
                <c:pt idx="22">
                  <c:v>6.2237118575000006</c:v>
                </c:pt>
                <c:pt idx="23">
                  <c:v>6.9608739999999996</c:v>
                </c:pt>
                <c:pt idx="24">
                  <c:v>7.3377402875</c:v>
                </c:pt>
                <c:pt idx="25">
                  <c:v>9.218965217500001</c:v>
                </c:pt>
                <c:pt idx="26">
                  <c:v>9.9048579875000016</c:v>
                </c:pt>
                <c:pt idx="27">
                  <c:v>12.871576702500001</c:v>
                </c:pt>
                <c:pt idx="28">
                  <c:v>13.637317487500001</c:v>
                </c:pt>
                <c:pt idx="29">
                  <c:v>13.8014255775</c:v>
                </c:pt>
                <c:pt idx="30">
                  <c:v>14.455994127499999</c:v>
                </c:pt>
                <c:pt idx="31">
                  <c:v>14.75827662</c:v>
                </c:pt>
                <c:pt idx="32">
                  <c:v>18.053436779999998</c:v>
                </c:pt>
                <c:pt idx="33">
                  <c:v>19.745196917500003</c:v>
                </c:pt>
                <c:pt idx="34">
                  <c:v>22.659243487500003</c:v>
                </c:pt>
                <c:pt idx="35">
                  <c:v>23.716261362499999</c:v>
                </c:pt>
                <c:pt idx="36">
                  <c:v>25.676009059999998</c:v>
                </c:pt>
                <c:pt idx="37">
                  <c:v>42.716160025000001</c:v>
                </c:pt>
                <c:pt idx="38">
                  <c:v>43.277110032500005</c:v>
                </c:pt>
                <c:pt idx="39">
                  <c:v>46.920593807499998</c:v>
                </c:pt>
                <c:pt idx="40">
                  <c:v>62.6268260525</c:v>
                </c:pt>
                <c:pt idx="41">
                  <c:v>67.251595014999992</c:v>
                </c:pt>
                <c:pt idx="42">
                  <c:v>73.820185887500003</c:v>
                </c:pt>
                <c:pt idx="43">
                  <c:v>76.858575804999987</c:v>
                </c:pt>
                <c:pt idx="44">
                  <c:v>108.2222032725</c:v>
                </c:pt>
                <c:pt idx="45">
                  <c:v>114.04350436499999</c:v>
                </c:pt>
                <c:pt idx="46">
                  <c:v>117.0364459725</c:v>
                </c:pt>
                <c:pt idx="47">
                  <c:v>177.3917408275</c:v>
                </c:pt>
                <c:pt idx="48">
                  <c:v>212.35128443249999</c:v>
                </c:pt>
                <c:pt idx="49">
                  <c:v>212.73477862999999</c:v>
                </c:pt>
                <c:pt idx="50">
                  <c:v>226.23906360749999</c:v>
                </c:pt>
                <c:pt idx="51">
                  <c:v>253.21686998000001</c:v>
                </c:pt>
                <c:pt idx="52">
                  <c:v>365.87847030749998</c:v>
                </c:pt>
                <c:pt idx="53">
                  <c:v>581.84097473500015</c:v>
                </c:pt>
                <c:pt idx="54">
                  <c:v>614.79351137750007</c:v>
                </c:pt>
                <c:pt idx="55">
                  <c:v>636.27779925999994</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empresa'!$L$5:$L$60</c:f>
              <c:strCache>
                <c:ptCount val="56"/>
                <c:pt idx="0">
                  <c:v>RIO BAÑOS</c:v>
                </c:pt>
                <c:pt idx="1">
                  <c:v>ECELIM</c:v>
                </c:pt>
                <c:pt idx="2">
                  <c:v>CERRO DEL AGUILA</c:v>
                </c:pt>
                <c:pt idx="3">
                  <c:v>AYEPSA</c:v>
                </c:pt>
                <c:pt idx="4">
                  <c:v>AGROAURORA</c:v>
                </c:pt>
                <c:pt idx="5">
                  <c:v>CERRO VERDE</c:v>
                </c:pt>
                <c:pt idx="6">
                  <c:v>IYEPSA</c:v>
                </c:pt>
                <c:pt idx="7">
                  <c:v>PLANTA  ETEN</c:v>
                </c:pt>
                <c:pt idx="8">
                  <c:v>SHOUGESA</c:v>
                </c:pt>
                <c:pt idx="9">
                  <c:v>ELECTRICA SANTA ROSA</c:v>
                </c:pt>
                <c:pt idx="10">
                  <c:v>SAMAY I</c:v>
                </c:pt>
                <c:pt idx="11">
                  <c:v>HIDROCAÑETE</c:v>
                </c:pt>
                <c:pt idx="12">
                  <c:v>MAJA ENERGIA</c:v>
                </c:pt>
                <c:pt idx="13">
                  <c:v>ELECTRICA YANAPAMPA</c:v>
                </c:pt>
                <c:pt idx="14">
                  <c:v>EGECSAC</c:v>
                </c:pt>
                <c:pt idx="15">
                  <c:v>PETRAMAS</c:v>
                </c:pt>
                <c:pt idx="16">
                  <c:v>GTS REPARTICION</c:v>
                </c:pt>
                <c:pt idx="17">
                  <c:v>TACNA SOLAR</c:v>
                </c:pt>
                <c:pt idx="18">
                  <c:v>MOQUEGUA FV</c:v>
                </c:pt>
                <c:pt idx="19">
                  <c:v>GTS MAJES</c:v>
                </c:pt>
                <c:pt idx="20">
                  <c:v>PANAMERICANA SOLAR</c:v>
                </c:pt>
                <c:pt idx="21">
                  <c:v>GEPSA</c:v>
                </c:pt>
                <c:pt idx="22">
                  <c:v>SINERSA</c:v>
                </c:pt>
                <c:pt idx="23">
                  <c:v>HIDROELECTRICA HUANCHOR</c:v>
                </c:pt>
                <c:pt idx="24">
                  <c:v>AIPSA</c:v>
                </c:pt>
                <c:pt idx="25">
                  <c:v>HUAURA POWER</c:v>
                </c:pt>
                <c:pt idx="26">
                  <c:v>AGUA AZUL</c:v>
                </c:pt>
                <c:pt idx="27">
                  <c:v>P.E. MARCONA</c:v>
                </c:pt>
                <c:pt idx="28">
                  <c:v>SANTA CRUZ</c:v>
                </c:pt>
                <c:pt idx="29">
                  <c:v>RIO DOBLE</c:v>
                </c:pt>
                <c:pt idx="30">
                  <c:v>HIDROMARAÑON/ CELEPSA RENOVABLES</c:v>
                </c:pt>
                <c:pt idx="31">
                  <c:v>SANTA ANA</c:v>
                </c:pt>
                <c:pt idx="32">
                  <c:v>EMGE JUNÍN</c:v>
                </c:pt>
                <c:pt idx="33">
                  <c:v>SDF ENERGIA</c:v>
                </c:pt>
                <c:pt idx="34">
                  <c:v>TERMOSELVA</c:v>
                </c:pt>
                <c:pt idx="35">
                  <c:v>EGESUR</c:v>
                </c:pt>
                <c:pt idx="36">
                  <c:v>EMGE HUANZA</c:v>
                </c:pt>
                <c:pt idx="37">
                  <c:v>P.E. TRES HERMANAS</c:v>
                </c:pt>
                <c:pt idx="38">
                  <c:v>ENERGÍA EÓLICA</c:v>
                </c:pt>
                <c:pt idx="39">
                  <c:v>ENEL GENERACION PIURA</c:v>
                </c:pt>
                <c:pt idx="40">
                  <c:v>LUZ DEL SUR</c:v>
                </c:pt>
                <c:pt idx="41">
                  <c:v>SAN GABAN</c:v>
                </c:pt>
                <c:pt idx="42">
                  <c:v>EGASA</c:v>
                </c:pt>
                <c:pt idx="43">
                  <c:v>ENEL GREEN POWER PERU</c:v>
                </c:pt>
                <c:pt idx="44">
                  <c:v>CHINANGO</c:v>
                </c:pt>
                <c:pt idx="45">
                  <c:v>CELEPSA</c:v>
                </c:pt>
                <c:pt idx="46">
                  <c:v>EGEMSA</c:v>
                </c:pt>
                <c:pt idx="47">
                  <c:v>TERMOCHILCA</c:v>
                </c:pt>
                <c:pt idx="48">
                  <c:v>ORAZUL ENERGY PERÚ</c:v>
                </c:pt>
                <c:pt idx="49">
                  <c:v>EMGE HUALLAGA</c:v>
                </c:pt>
                <c:pt idx="50">
                  <c:v>STATKRAFT</c:v>
                </c:pt>
                <c:pt idx="51">
                  <c:v>ENGIE</c:v>
                </c:pt>
                <c:pt idx="52">
                  <c:v>FENIX POWER</c:v>
                </c:pt>
                <c:pt idx="53">
                  <c:v>ENEL GENERACION PERU</c:v>
                </c:pt>
                <c:pt idx="54">
                  <c:v>ELECTROPERU</c:v>
                </c:pt>
                <c:pt idx="55">
                  <c:v>KALLPA</c:v>
                </c:pt>
              </c:strCache>
            </c:strRef>
          </c:cat>
          <c:val>
            <c:numRef>
              <c:f>'7. Generacion empresa'!$N$5:$N$60</c:f>
              <c:numCache>
                <c:formatCode>General</c:formatCode>
                <c:ptCount val="56"/>
                <c:pt idx="0">
                  <c:v>0</c:v>
                </c:pt>
                <c:pt idx="1">
                  <c:v>1.62042814</c:v>
                </c:pt>
                <c:pt idx="2">
                  <c:v>234.00852416499998</c:v>
                </c:pt>
                <c:pt idx="3">
                  <c:v>8.8477391549999993</c:v>
                </c:pt>
                <c:pt idx="4">
                  <c:v>0</c:v>
                </c:pt>
                <c:pt idx="5">
                  <c:v>0</c:v>
                </c:pt>
                <c:pt idx="6">
                  <c:v>3.7777474999999999E-3</c:v>
                </c:pt>
                <c:pt idx="7">
                  <c:v>0.59042009250000005</c:v>
                </c:pt>
                <c:pt idx="8">
                  <c:v>7.2440685000000005E-2</c:v>
                </c:pt>
                <c:pt idx="9">
                  <c:v>0.25850818750000004</c:v>
                </c:pt>
                <c:pt idx="10">
                  <c:v>54.127143522499999</c:v>
                </c:pt>
                <c:pt idx="11">
                  <c:v>2.0818999950000001</c:v>
                </c:pt>
                <c:pt idx="12">
                  <c:v>2.4977619999999998</c:v>
                </c:pt>
                <c:pt idx="13">
                  <c:v>2.2100353400000001</c:v>
                </c:pt>
                <c:pt idx="14">
                  <c:v>1.09345</c:v>
                </c:pt>
                <c:pt idx="15">
                  <c:v>2.5898964000000002</c:v>
                </c:pt>
                <c:pt idx="16">
                  <c:v>3.2463343550000001</c:v>
                </c:pt>
                <c:pt idx="17">
                  <c:v>3.003263885</c:v>
                </c:pt>
                <c:pt idx="18">
                  <c:v>3.0476685149999998</c:v>
                </c:pt>
                <c:pt idx="19">
                  <c:v>3.3449545650000001</c:v>
                </c:pt>
                <c:pt idx="20">
                  <c:v>3.3325972499999996</c:v>
                </c:pt>
                <c:pt idx="21">
                  <c:v>4.2582604374999997</c:v>
                </c:pt>
                <c:pt idx="22">
                  <c:v>6.3659965349999998</c:v>
                </c:pt>
                <c:pt idx="23">
                  <c:v>14.223989</c:v>
                </c:pt>
                <c:pt idx="24">
                  <c:v>8.8779760400000001</c:v>
                </c:pt>
                <c:pt idx="26">
                  <c:v>9.312650402500001</c:v>
                </c:pt>
                <c:pt idx="27">
                  <c:v>12.4651390575</c:v>
                </c:pt>
                <c:pt idx="28">
                  <c:v>16.055573667499999</c:v>
                </c:pt>
                <c:pt idx="29">
                  <c:v>14.177150882500001</c:v>
                </c:pt>
                <c:pt idx="30">
                  <c:v>1.3879197499999999E-2</c:v>
                </c:pt>
                <c:pt idx="32">
                  <c:v>25.057124729999998</c:v>
                </c:pt>
                <c:pt idx="33">
                  <c:v>20.432122830000001</c:v>
                </c:pt>
                <c:pt idx="34">
                  <c:v>1.5478182950000001</c:v>
                </c:pt>
                <c:pt idx="35">
                  <c:v>20.261445997500001</c:v>
                </c:pt>
                <c:pt idx="36">
                  <c:v>35.2151333025</c:v>
                </c:pt>
                <c:pt idx="37">
                  <c:v>37.884904249999998</c:v>
                </c:pt>
                <c:pt idx="38">
                  <c:v>42.662588487500003</c:v>
                </c:pt>
                <c:pt idx="39">
                  <c:v>27.259782739999999</c:v>
                </c:pt>
                <c:pt idx="40">
                  <c:v>66.298669865000008</c:v>
                </c:pt>
                <c:pt idx="41">
                  <c:v>79.522805975000011</c:v>
                </c:pt>
                <c:pt idx="42">
                  <c:v>122.51024681500003</c:v>
                </c:pt>
                <c:pt idx="44">
                  <c:v>116.690326895</c:v>
                </c:pt>
                <c:pt idx="45">
                  <c:v>139.90827781249999</c:v>
                </c:pt>
                <c:pt idx="46">
                  <c:v>122.95982417249999</c:v>
                </c:pt>
                <c:pt idx="47">
                  <c:v>0</c:v>
                </c:pt>
                <c:pt idx="48">
                  <c:v>246.55346736249999</c:v>
                </c:pt>
                <c:pt idx="49">
                  <c:v>233.06585940999997</c:v>
                </c:pt>
                <c:pt idx="50">
                  <c:v>247.43830002249999</c:v>
                </c:pt>
                <c:pt idx="51">
                  <c:v>517.70348521749997</c:v>
                </c:pt>
                <c:pt idx="52">
                  <c:v>375.04549577249998</c:v>
                </c:pt>
                <c:pt idx="53">
                  <c:v>322.74453757750007</c:v>
                </c:pt>
                <c:pt idx="54">
                  <c:v>616.07459507999988</c:v>
                </c:pt>
                <c:pt idx="55">
                  <c:v>335.50121864750002</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267040216042763"/>
        </c:manualLayout>
      </c:layout>
      <c:barChart>
        <c:barDir val="bar"/>
        <c:grouping val="clustered"/>
        <c:varyColors val="0"/>
        <c:ser>
          <c:idx val="0"/>
          <c:order val="0"/>
          <c:tx>
            <c:strRef>
              <c:f>'9. Pot. Empresa'!$M$6</c:f>
              <c:strCache>
                <c:ptCount val="1"/>
                <c:pt idx="0">
                  <c:v>2018</c:v>
                </c:pt>
              </c:strCache>
            </c:strRef>
          </c:tx>
          <c:spPr>
            <a:solidFill>
              <a:schemeClr val="accent5">
                <a:lumMod val="75000"/>
              </a:schemeClr>
            </a:solidFill>
          </c:spPr>
          <c:invertIfNegative val="0"/>
          <c:cat>
            <c:strRef>
              <c:f>'9. Pot. Empresa'!$L$7:$L$62</c:f>
              <c:strCache>
                <c:ptCount val="56"/>
                <c:pt idx="0">
                  <c:v>RIO BAÑOS</c:v>
                </c:pt>
                <c:pt idx="1">
                  <c:v>ECELIM</c:v>
                </c:pt>
                <c:pt idx="2">
                  <c:v>CERRO DEL AGUILA</c:v>
                </c:pt>
                <c:pt idx="3">
                  <c:v>AYEPSA</c:v>
                </c:pt>
                <c:pt idx="4">
                  <c:v>TERMOSELVA</c:v>
                </c:pt>
                <c:pt idx="5">
                  <c:v>TACNA SOLAR</c:v>
                </c:pt>
                <c:pt idx="6">
                  <c:v>SHOUGESA</c:v>
                </c:pt>
                <c:pt idx="7">
                  <c:v>SAMAY I</c:v>
                </c:pt>
                <c:pt idx="8">
                  <c:v>PLANTA  ETEN</c:v>
                </c:pt>
                <c:pt idx="9">
                  <c:v>PANAMERICANA SOLAR</c:v>
                </c:pt>
                <c:pt idx="10">
                  <c:v>MOQUEGUA FV</c:v>
                </c:pt>
                <c:pt idx="11">
                  <c:v>IYEPSA</c:v>
                </c:pt>
                <c:pt idx="12">
                  <c:v>HUAURA POWER</c:v>
                </c:pt>
                <c:pt idx="13">
                  <c:v>GTS REPARTICION</c:v>
                </c:pt>
                <c:pt idx="14">
                  <c:v>GTS MAJES</c:v>
                </c:pt>
                <c:pt idx="15">
                  <c:v>CERRO VERDE</c:v>
                </c:pt>
                <c:pt idx="16">
                  <c:v>AIPSA</c:v>
                </c:pt>
                <c:pt idx="17">
                  <c:v>AGUA AZUL</c:v>
                </c:pt>
                <c:pt idx="18">
                  <c:v>AGROAURORA</c:v>
                </c:pt>
                <c:pt idx="19">
                  <c:v>ELECTRICA SANTA ROSA</c:v>
                </c:pt>
                <c:pt idx="20">
                  <c:v>PETRAMAS</c:v>
                </c:pt>
                <c:pt idx="21">
                  <c:v>ELECTRICA YANAPAMPA</c:v>
                </c:pt>
                <c:pt idx="22">
                  <c:v>HIDROCAÑETE</c:v>
                </c:pt>
                <c:pt idx="23">
                  <c:v>MAJA ENERGIA</c:v>
                </c:pt>
                <c:pt idx="24">
                  <c:v>EGECSAC</c:v>
                </c:pt>
                <c:pt idx="25">
                  <c:v>GEPSA</c:v>
                </c:pt>
                <c:pt idx="26">
                  <c:v>SINERSA</c:v>
                </c:pt>
                <c:pt idx="27">
                  <c:v>HIDROELECTRICA HUANCHOR</c:v>
                </c:pt>
                <c:pt idx="28">
                  <c:v>P.E. MARCONA</c:v>
                </c:pt>
                <c:pt idx="29">
                  <c:v>RIO DOBLE</c:v>
                </c:pt>
                <c:pt idx="30">
                  <c:v>HIDROMARAÑON/ CELEPSA RENOVABLES</c:v>
                </c:pt>
                <c:pt idx="31">
                  <c:v>SANTA ANA</c:v>
                </c:pt>
                <c:pt idx="32">
                  <c:v>SANTA CRUZ</c:v>
                </c:pt>
                <c:pt idx="33">
                  <c:v>SDF ENERGIA</c:v>
                </c:pt>
                <c:pt idx="34">
                  <c:v>EMGE JUNÍN</c:v>
                </c:pt>
                <c:pt idx="35">
                  <c:v>P.E. TRES HERMANAS</c:v>
                </c:pt>
                <c:pt idx="36">
                  <c:v>EGESUR</c:v>
                </c:pt>
                <c:pt idx="37">
                  <c:v>ENEL GENERACION PIURA</c:v>
                </c:pt>
                <c:pt idx="38">
                  <c:v>ENERGÍA EÓLICA</c:v>
                </c:pt>
                <c:pt idx="39">
                  <c:v>EMGE HUANZA</c:v>
                </c:pt>
                <c:pt idx="40">
                  <c:v>LUZ DEL SUR</c:v>
                </c:pt>
                <c:pt idx="41">
                  <c:v>SAN GABAN</c:v>
                </c:pt>
                <c:pt idx="42">
                  <c:v>ENEL GREEN POWER PERU</c:v>
                </c:pt>
                <c:pt idx="43">
                  <c:v>EGEMSA</c:v>
                </c:pt>
                <c:pt idx="44">
                  <c:v>CHINANGO</c:v>
                </c:pt>
                <c:pt idx="45">
                  <c:v>EGASA</c:v>
                </c:pt>
                <c:pt idx="46">
                  <c:v>CELEPSA</c:v>
                </c:pt>
                <c:pt idx="47">
                  <c:v>FENIX POWER</c:v>
                </c:pt>
                <c:pt idx="48">
                  <c:v>TERMOCHILCA</c:v>
                </c:pt>
                <c:pt idx="49">
                  <c:v>ORAZUL ENERGY PERÚ</c:v>
                </c:pt>
                <c:pt idx="50">
                  <c:v>STATKRAFT</c:v>
                </c:pt>
                <c:pt idx="51">
                  <c:v>EMGE HUALLAGA</c:v>
                </c:pt>
                <c:pt idx="52">
                  <c:v>ENEL GENERACION PERU</c:v>
                </c:pt>
                <c:pt idx="53">
                  <c:v>ELECTROPERU</c:v>
                </c:pt>
                <c:pt idx="54">
                  <c:v>KALLPA</c:v>
                </c:pt>
                <c:pt idx="55">
                  <c:v>ENGIE</c:v>
                </c:pt>
              </c:strCache>
            </c:strRef>
          </c:cat>
          <c:val>
            <c:numRef>
              <c:f>'9. Pot. Empresa'!$M$7:$M$62</c:f>
              <c:numCache>
                <c:formatCode>General</c:formatCode>
                <c:ptCount val="56"/>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c:v>
                </c:pt>
                <c:pt idx="18" formatCode="0.00">
                  <c:v>0</c:v>
                </c:pt>
                <c:pt idx="19" formatCode="0.00">
                  <c:v>0.2039</c:v>
                </c:pt>
                <c:pt idx="20" formatCode="0.00">
                  <c:v>3.1875</c:v>
                </c:pt>
                <c:pt idx="21" formatCode="0.00">
                  <c:v>3.5541299999999998</c:v>
                </c:pt>
                <c:pt idx="22" formatCode="0.00">
                  <c:v>3.6</c:v>
                </c:pt>
                <c:pt idx="23" formatCode="0.00">
                  <c:v>3.8170000000000002</c:v>
                </c:pt>
                <c:pt idx="24" formatCode="0.00">
                  <c:v>4.45</c:v>
                </c:pt>
                <c:pt idx="25" formatCode="0.00">
                  <c:v>5.5061999999999998</c:v>
                </c:pt>
                <c:pt idx="26" formatCode="0.00">
                  <c:v>8.4739900000000006</c:v>
                </c:pt>
                <c:pt idx="27" formatCode="0.00">
                  <c:v>9.3759999999999994</c:v>
                </c:pt>
                <c:pt idx="28" formatCode="0.00">
                  <c:v>12.64213</c:v>
                </c:pt>
                <c:pt idx="29" formatCode="0.00">
                  <c:v>19.292819999999999</c:v>
                </c:pt>
                <c:pt idx="30" formatCode="0.00">
                  <c:v>19.524169999999998</c:v>
                </c:pt>
                <c:pt idx="31" formatCode="0.00">
                  <c:v>19.94556</c:v>
                </c:pt>
                <c:pt idx="32" formatCode="0.00">
                  <c:v>23.092769999999998</c:v>
                </c:pt>
                <c:pt idx="33" formatCode="0.00">
                  <c:v>27.398900000000001</c:v>
                </c:pt>
                <c:pt idx="34" formatCode="0.00">
                  <c:v>31.014800000000001</c:v>
                </c:pt>
                <c:pt idx="35" formatCode="0.00">
                  <c:v>43.124569999999999</c:v>
                </c:pt>
                <c:pt idx="36" formatCode="0.00">
                  <c:v>47.472270000000002</c:v>
                </c:pt>
                <c:pt idx="37" formatCode="0.00">
                  <c:v>49.256149999999998</c:v>
                </c:pt>
                <c:pt idx="38" formatCode="0.00">
                  <c:v>53.427619999999997</c:v>
                </c:pt>
                <c:pt idx="39" formatCode="0.00">
                  <c:v>88.467460000000003</c:v>
                </c:pt>
                <c:pt idx="40" formatCode="0.00">
                  <c:v>88.915989999999994</c:v>
                </c:pt>
                <c:pt idx="41" formatCode="0.00">
                  <c:v>111.20417</c:v>
                </c:pt>
                <c:pt idx="42" formatCode="0.00">
                  <c:v>125.70907</c:v>
                </c:pt>
                <c:pt idx="43" formatCode="0.00">
                  <c:v>162.96295000000001</c:v>
                </c:pt>
                <c:pt idx="44" formatCode="0.00">
                  <c:v>193.26515000000001</c:v>
                </c:pt>
                <c:pt idx="45" formatCode="0.00">
                  <c:v>202.8955</c:v>
                </c:pt>
                <c:pt idx="46" formatCode="0.00">
                  <c:v>206.37013000000002</c:v>
                </c:pt>
                <c:pt idx="47" formatCode="0.00">
                  <c:v>275.80000999999999</c:v>
                </c:pt>
                <c:pt idx="48" formatCode="0.00">
                  <c:v>286.74772000000002</c:v>
                </c:pt>
                <c:pt idx="49" formatCode="0.00">
                  <c:v>325.89578999999998</c:v>
                </c:pt>
                <c:pt idx="50" formatCode="0.00">
                  <c:v>388.75036</c:v>
                </c:pt>
                <c:pt idx="51" formatCode="0.00">
                  <c:v>465.54184999999995</c:v>
                </c:pt>
                <c:pt idx="52" formatCode="0.00">
                  <c:v>646.27022000000011</c:v>
                </c:pt>
                <c:pt idx="53" formatCode="0.00">
                  <c:v>843.25728000000004</c:v>
                </c:pt>
                <c:pt idx="54" formatCode="0.00">
                  <c:v>851.2829099999999</c:v>
                </c:pt>
                <c:pt idx="55" formatCode="0.00">
                  <c:v>964.9787399999999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c:v>
                </c:pt>
                <c:pt idx="2">
                  <c:v>CERRO DEL AGUILA</c:v>
                </c:pt>
                <c:pt idx="3">
                  <c:v>AYEPSA</c:v>
                </c:pt>
                <c:pt idx="4">
                  <c:v>TERMOSELVA</c:v>
                </c:pt>
                <c:pt idx="5">
                  <c:v>TACNA SOLAR</c:v>
                </c:pt>
                <c:pt idx="6">
                  <c:v>SHOUGESA</c:v>
                </c:pt>
                <c:pt idx="7">
                  <c:v>SAMAY I</c:v>
                </c:pt>
                <c:pt idx="8">
                  <c:v>PLANTA  ETEN</c:v>
                </c:pt>
                <c:pt idx="9">
                  <c:v>PANAMERICANA SOLAR</c:v>
                </c:pt>
                <c:pt idx="10">
                  <c:v>MOQUEGUA FV</c:v>
                </c:pt>
                <c:pt idx="11">
                  <c:v>IYEPSA</c:v>
                </c:pt>
                <c:pt idx="12">
                  <c:v>HUAURA POWER</c:v>
                </c:pt>
                <c:pt idx="13">
                  <c:v>GTS REPARTICION</c:v>
                </c:pt>
                <c:pt idx="14">
                  <c:v>GTS MAJES</c:v>
                </c:pt>
                <c:pt idx="15">
                  <c:v>CERRO VERDE</c:v>
                </c:pt>
                <c:pt idx="16">
                  <c:v>AIPSA</c:v>
                </c:pt>
                <c:pt idx="17">
                  <c:v>AGUA AZUL</c:v>
                </c:pt>
                <c:pt idx="18">
                  <c:v>AGROAURORA</c:v>
                </c:pt>
                <c:pt idx="19">
                  <c:v>ELECTRICA SANTA ROSA</c:v>
                </c:pt>
                <c:pt idx="20">
                  <c:v>PETRAMAS</c:v>
                </c:pt>
                <c:pt idx="21">
                  <c:v>ELECTRICA YANAPAMPA</c:v>
                </c:pt>
                <c:pt idx="22">
                  <c:v>HIDROCAÑETE</c:v>
                </c:pt>
                <c:pt idx="23">
                  <c:v>MAJA ENERGIA</c:v>
                </c:pt>
                <c:pt idx="24">
                  <c:v>EGECSAC</c:v>
                </c:pt>
                <c:pt idx="25">
                  <c:v>GEPSA</c:v>
                </c:pt>
                <c:pt idx="26">
                  <c:v>SINERSA</c:v>
                </c:pt>
                <c:pt idx="27">
                  <c:v>HIDROELECTRICA HUANCHOR</c:v>
                </c:pt>
                <c:pt idx="28">
                  <c:v>P.E. MARCONA</c:v>
                </c:pt>
                <c:pt idx="29">
                  <c:v>RIO DOBLE</c:v>
                </c:pt>
                <c:pt idx="30">
                  <c:v>HIDROMARAÑON/ CELEPSA RENOVABLES</c:v>
                </c:pt>
                <c:pt idx="31">
                  <c:v>SANTA ANA</c:v>
                </c:pt>
                <c:pt idx="32">
                  <c:v>SANTA CRUZ</c:v>
                </c:pt>
                <c:pt idx="33">
                  <c:v>SDF ENERGIA</c:v>
                </c:pt>
                <c:pt idx="34">
                  <c:v>EMGE JUNÍN</c:v>
                </c:pt>
                <c:pt idx="35">
                  <c:v>P.E. TRES HERMANAS</c:v>
                </c:pt>
                <c:pt idx="36">
                  <c:v>EGESUR</c:v>
                </c:pt>
                <c:pt idx="37">
                  <c:v>ENEL GENERACION PIURA</c:v>
                </c:pt>
                <c:pt idx="38">
                  <c:v>ENERGÍA EÓLICA</c:v>
                </c:pt>
                <c:pt idx="39">
                  <c:v>EMGE HUANZA</c:v>
                </c:pt>
                <c:pt idx="40">
                  <c:v>LUZ DEL SUR</c:v>
                </c:pt>
                <c:pt idx="41">
                  <c:v>SAN GABAN</c:v>
                </c:pt>
                <c:pt idx="42">
                  <c:v>ENEL GREEN POWER PERU</c:v>
                </c:pt>
                <c:pt idx="43">
                  <c:v>EGEMSA</c:v>
                </c:pt>
                <c:pt idx="44">
                  <c:v>CHINANGO</c:v>
                </c:pt>
                <c:pt idx="45">
                  <c:v>EGASA</c:v>
                </c:pt>
                <c:pt idx="46">
                  <c:v>CELEPSA</c:v>
                </c:pt>
                <c:pt idx="47">
                  <c:v>FENIX POWER</c:v>
                </c:pt>
                <c:pt idx="48">
                  <c:v>TERMOCHILCA</c:v>
                </c:pt>
                <c:pt idx="49">
                  <c:v>ORAZUL ENERGY PERÚ</c:v>
                </c:pt>
                <c:pt idx="50">
                  <c:v>STATKRAFT</c:v>
                </c:pt>
                <c:pt idx="51">
                  <c:v>EMGE HUALLAGA</c:v>
                </c:pt>
                <c:pt idx="52">
                  <c:v>ENEL GENERACION PERU</c:v>
                </c:pt>
                <c:pt idx="53">
                  <c:v>ELECTROPERU</c:v>
                </c:pt>
                <c:pt idx="54">
                  <c:v>KALLPA</c:v>
                </c:pt>
                <c:pt idx="55">
                  <c:v>ENGIE</c:v>
                </c:pt>
              </c:strCache>
            </c:strRef>
          </c:cat>
          <c:val>
            <c:numRef>
              <c:f>'9. Pot. Empresa'!$N$7:$N$62</c:f>
              <c:numCache>
                <c:formatCode>General</c:formatCode>
                <c:ptCount val="56"/>
                <c:pt idx="0">
                  <c:v>0</c:v>
                </c:pt>
                <c:pt idx="1">
                  <c:v>1.4998100000000001</c:v>
                </c:pt>
                <c:pt idx="2">
                  <c:v>268.36696999999998</c:v>
                </c:pt>
                <c:pt idx="3" formatCode="0.00">
                  <c:v>11.765000000000001</c:v>
                </c:pt>
                <c:pt idx="4" formatCode="0.00">
                  <c:v>0</c:v>
                </c:pt>
                <c:pt idx="5">
                  <c:v>0</c:v>
                </c:pt>
                <c:pt idx="6" formatCode="0.00">
                  <c:v>0</c:v>
                </c:pt>
                <c:pt idx="7" formatCode="0.00">
                  <c:v>149.13802999999999</c:v>
                </c:pt>
                <c:pt idx="8" formatCode="0.00">
                  <c:v>0</c:v>
                </c:pt>
                <c:pt idx="9" formatCode="0.00">
                  <c:v>0</c:v>
                </c:pt>
                <c:pt idx="10">
                  <c:v>0</c:v>
                </c:pt>
                <c:pt idx="11" formatCode="0.00">
                  <c:v>0</c:v>
                </c:pt>
                <c:pt idx="13" formatCode="0.00">
                  <c:v>0</c:v>
                </c:pt>
                <c:pt idx="14">
                  <c:v>0</c:v>
                </c:pt>
                <c:pt idx="15">
                  <c:v>0</c:v>
                </c:pt>
                <c:pt idx="16" formatCode="0.00">
                  <c:v>14.05716</c:v>
                </c:pt>
                <c:pt idx="17" formatCode="0.00">
                  <c:v>20.39</c:v>
                </c:pt>
                <c:pt idx="18">
                  <c:v>0</c:v>
                </c:pt>
                <c:pt idx="19" formatCode="0.00">
                  <c:v>0.73899999999999999</c:v>
                </c:pt>
                <c:pt idx="20" formatCode="0.00">
                  <c:v>4.5192999999999994</c:v>
                </c:pt>
                <c:pt idx="21" formatCode="0.00">
                  <c:v>3.7515499999999999</c:v>
                </c:pt>
                <c:pt idx="22" formatCode="0.00">
                  <c:v>3.0147300000000001</c:v>
                </c:pt>
                <c:pt idx="23" formatCode="0.00">
                  <c:v>3.3679999999999999</c:v>
                </c:pt>
                <c:pt idx="24" formatCode="0.00">
                  <c:v>0</c:v>
                </c:pt>
                <c:pt idx="25" formatCode="0.00">
                  <c:v>4.8769099999999996</c:v>
                </c:pt>
                <c:pt idx="26" formatCode="0.00">
                  <c:v>9.1927500000000002</c:v>
                </c:pt>
                <c:pt idx="27" formatCode="0.00">
                  <c:v>19.148</c:v>
                </c:pt>
                <c:pt idx="28" formatCode="0.00">
                  <c:v>0</c:v>
                </c:pt>
                <c:pt idx="29" formatCode="0.00">
                  <c:v>19.383990000000001</c:v>
                </c:pt>
                <c:pt idx="30">
                  <c:v>0</c:v>
                </c:pt>
                <c:pt idx="32" formatCode="0.00">
                  <c:v>19.575500000000002</c:v>
                </c:pt>
                <c:pt idx="33" formatCode="0.00">
                  <c:v>26.42136</c:v>
                </c:pt>
                <c:pt idx="34" formatCode="0.00">
                  <c:v>37.293800000000005</c:v>
                </c:pt>
                <c:pt idx="35" formatCode="0.00">
                  <c:v>0</c:v>
                </c:pt>
                <c:pt idx="36" formatCode="0.00">
                  <c:v>43.419270000000004</c:v>
                </c:pt>
                <c:pt idx="37" formatCode="0.00">
                  <c:v>29.515610000000002</c:v>
                </c:pt>
                <c:pt idx="38" formatCode="0.00">
                  <c:v>34.979100000000003</c:v>
                </c:pt>
                <c:pt idx="39" formatCode="0.00">
                  <c:v>75.962189999999993</c:v>
                </c:pt>
                <c:pt idx="40" formatCode="0.00">
                  <c:v>90.332329999999999</c:v>
                </c:pt>
                <c:pt idx="41" formatCode="0.00">
                  <c:v>110.94408</c:v>
                </c:pt>
                <c:pt idx="43" formatCode="0.00">
                  <c:v>166.33135999999999</c:v>
                </c:pt>
                <c:pt idx="44" formatCode="0.00">
                  <c:v>187.30499</c:v>
                </c:pt>
                <c:pt idx="45" formatCode="0.00">
                  <c:v>217.92993000000001</c:v>
                </c:pt>
                <c:pt idx="46" formatCode="0.00">
                  <c:v>216.07526999999999</c:v>
                </c:pt>
                <c:pt idx="47" formatCode="0.00">
                  <c:v>550.49736000000007</c:v>
                </c:pt>
                <c:pt idx="48" formatCode="0.00">
                  <c:v>0</c:v>
                </c:pt>
                <c:pt idx="49" formatCode="0.00">
                  <c:v>354.04401000000001</c:v>
                </c:pt>
                <c:pt idx="50" formatCode="0.00">
                  <c:v>359.51152000000002</c:v>
                </c:pt>
                <c:pt idx="51" formatCode="0.00">
                  <c:v>448.60810000000004</c:v>
                </c:pt>
                <c:pt idx="52" formatCode="0.00">
                  <c:v>598.33106000000021</c:v>
                </c:pt>
                <c:pt idx="53" formatCode="0.00">
                  <c:v>810.22559999999987</c:v>
                </c:pt>
                <c:pt idx="54" formatCode="0.00">
                  <c:v>457.25670000000002</c:v>
                </c:pt>
                <c:pt idx="55" formatCode="0.00">
                  <c:v>1059.69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00"/>
          <c:min val="0"/>
        </c:scaling>
        <c:delete val="0"/>
        <c:axPos val="b"/>
        <c:majorGridlines/>
        <c:title>
          <c:tx>
            <c:rich>
              <a:bodyPr/>
              <a:lstStyle/>
              <a:p>
                <a:pPr>
                  <a:defRPr/>
                </a:pPr>
                <a:r>
                  <a:rPr lang="es-PE"/>
                  <a:t>MW</a:t>
                </a:r>
              </a:p>
            </c:rich>
          </c:tx>
          <c:layout>
            <c:manualLayout>
              <c:xMode val="edge"/>
              <c:yMode val="edge"/>
              <c:x val="0.88336355949615164"/>
              <c:y val="0.97430729251971848"/>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4.173841607633004E-2"/>
                  <c:y val="-0.105326743547501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2689.024451012097</c:v>
                </c:pt>
                <c:pt idx="1">
                  <c:v>1256.0516074302761</c:v>
                </c:pt>
                <c:pt idx="2">
                  <c:v>2.3335977370045247</c:v>
                </c:pt>
                <c:pt idx="3">
                  <c:v>94.580078281229433</c:v>
                </c:pt>
                <c:pt idx="4">
                  <c:v>13.088300618287199</c:v>
                </c:pt>
                <c:pt idx="5">
                  <c:v>93.012631515207701</c:v>
                </c:pt>
                <c:pt idx="6">
                  <c:v>15.97481835214</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1442.7810685250004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0.46945403999999991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10.730150887500001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143.30216725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57.9052203225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'12.Caudales'!$N$4:$N$129</c:f>
              <c:numCache>
                <c:formatCode>0.0</c:formatCode>
                <c:ptCount val="126"/>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'12.Caudales'!$O$4:$O$129</c:f>
              <c:numCache>
                <c:formatCode>0.0</c:formatCode>
                <c:ptCount val="126"/>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'12.Caudales'!$M$4:$M$129</c:f>
              <c:numCache>
                <c:formatCode>0.0</c:formatCode>
                <c:ptCount val="126"/>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'13.Caudales'!$Q$4:$Q$129</c:f>
              <c:numCache>
                <c:formatCode>0.0</c:formatCode>
                <c:ptCount val="126"/>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'13.Caudales'!$R$4:$R$129</c:f>
              <c:numCache>
                <c:formatCode>0.0</c:formatCode>
                <c:ptCount val="126"/>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'13.Caudales'!$S$4:$S$129</c:f>
              <c:numCache>
                <c:formatCode>0.0</c:formatCode>
                <c:ptCount val="126"/>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'13.Caudales'!$T$4:$T$129</c:f>
              <c:numCache>
                <c:formatCode>0.0</c:formatCode>
                <c:ptCount val="126"/>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'13.Caudales'!$U$4:$U$129</c:f>
              <c:numCache>
                <c:formatCode>0.0</c:formatCode>
                <c:ptCount val="126"/>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'13.Caudales'!$V$4:$V$129</c:f>
              <c:numCache>
                <c:formatCode>0.0</c:formatCode>
                <c:ptCount val="126"/>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'13.Caudales'!$N$4:$O$129</c:f>
              <c:multiLvlStrCache>
                <c:ptCount val="12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lvl>
                <c:lvl>
                  <c:pt idx="0">
                    <c:v>2016</c:v>
                  </c:pt>
                  <c:pt idx="52">
                    <c:v>2017</c:v>
                  </c:pt>
                  <c:pt idx="104">
                    <c:v>2018</c:v>
                  </c:pt>
                </c:lvl>
              </c:multiLvlStrCache>
            </c:multiLvlStrRef>
          </c:cat>
          <c:val>
            <c:numRef>
              <c:f>'13.Caudales'!$W$4:$W$129</c:f>
              <c:numCache>
                <c:formatCode>0.0</c:formatCode>
                <c:ptCount val="126"/>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'13.Caudales'!$Y$4:$Y$129</c:f>
              <c:numCache>
                <c:formatCode>0.0</c:formatCode>
                <c:ptCount val="126"/>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'13.Caudales'!$X$4:$X$129</c:f>
              <c:numCache>
                <c:formatCode>0.0</c:formatCode>
                <c:ptCount val="126"/>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9.8283515632697611</c:v>
                </c:pt>
                <c:pt idx="1">
                  <c:v>9.6399543996032797</c:v>
                </c:pt>
                <c:pt idx="2">
                  <c:v>9.4905633836729084</c:v>
                </c:pt>
                <c:pt idx="3">
                  <c:v>9.4411823313857504</c:v>
                </c:pt>
                <c:pt idx="4">
                  <c:v>9.3537834128946749</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SAN JUAN 220</c:v>
                </c:pt>
                <c:pt idx="3">
                  <c:v>CARABAYLLO 220</c:v>
                </c:pt>
                <c:pt idx="4">
                  <c:v>INDEPENDENCIA 220</c:v>
                </c:pt>
                <c:pt idx="5">
                  <c:v>POMACOCHA 220</c:v>
                </c:pt>
                <c:pt idx="6">
                  <c:v>OROYA NUEVA 50</c:v>
                </c:pt>
              </c:strCache>
            </c:strRef>
          </c:cat>
          <c:val>
            <c:numRef>
              <c:f>'14. CMg'!$C$27:$I$27</c:f>
              <c:numCache>
                <c:formatCode>0.00</c:formatCode>
                <c:ptCount val="7"/>
                <c:pt idx="0">
                  <c:v>9.1755990694851999</c:v>
                </c:pt>
                <c:pt idx="1">
                  <c:v>9.1706185796697532</c:v>
                </c:pt>
                <c:pt idx="2">
                  <c:v>9.1639690636474125</c:v>
                </c:pt>
                <c:pt idx="3">
                  <c:v>9.1505015565370336</c:v>
                </c:pt>
                <c:pt idx="4">
                  <c:v>9.1344632691751961</c:v>
                </c:pt>
                <c:pt idx="5">
                  <c:v>8.9428833761109132</c:v>
                </c:pt>
                <c:pt idx="6">
                  <c:v>8.7707617931848247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SAN GABAN 138</c:v>
                </c:pt>
                <c:pt idx="5">
                  <c:v>DOLORESPATA 138</c:v>
                </c:pt>
                <c:pt idx="6">
                  <c:v>COTARUSE 220</c:v>
                </c:pt>
              </c:strCache>
            </c:strRef>
          </c:cat>
          <c:val>
            <c:numRef>
              <c:f>'14. CMg'!$C$46:$I$46</c:f>
              <c:numCache>
                <c:formatCode>0.00</c:formatCode>
                <c:ptCount val="7"/>
                <c:pt idx="0">
                  <c:v>9.9250765679498514</c:v>
                </c:pt>
                <c:pt idx="1">
                  <c:v>9.7135567225648831</c:v>
                </c:pt>
                <c:pt idx="2">
                  <c:v>9.5911253487480259</c:v>
                </c:pt>
                <c:pt idx="3">
                  <c:v>9.5792825834121711</c:v>
                </c:pt>
                <c:pt idx="4">
                  <c:v>9.2988862395806482</c:v>
                </c:pt>
                <c:pt idx="5">
                  <c:v>9.2801251217231293</c:v>
                </c:pt>
                <c:pt idx="6">
                  <c:v>9.1925755288900266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MAYO
 2016</c:v>
                </c:pt>
              </c:strCache>
            </c:strRef>
          </c:tx>
          <c:spPr>
            <a:solidFill>
              <a:schemeClr val="accent6"/>
            </a:solidFill>
          </c:spPr>
          <c:invertIfNegative val="0"/>
          <c:cat>
            <c:strRef>
              <c:f>'16. Congestiones'!$C$7:$C$18</c:f>
              <c:strCache>
                <c:ptCount val="12"/>
                <c:pt idx="0">
                  <c:v>ENLACE CENTRO - SUR</c:v>
                </c:pt>
                <c:pt idx="1">
                  <c:v>SAN JUAN - LOS INDUSTRIALES</c:v>
                </c:pt>
                <c:pt idx="2">
                  <c:v>CAMPO ARMIÑO - HUANCAVELICA</c:v>
                </c:pt>
                <c:pt idx="3">
                  <c:v>INDEPENDENCIA</c:v>
                </c:pt>
                <c:pt idx="4">
                  <c:v>CAMPO ARMIÑO - INDEPENDENCIA</c:v>
                </c:pt>
                <c:pt idx="5">
                  <c:v>POMACOCHA - SAN JUAN</c:v>
                </c:pt>
                <c:pt idx="6">
                  <c:v>HUANZA-CARABAYLLO</c:v>
                </c:pt>
                <c:pt idx="7">
                  <c:v>MARCONA - SAN NICOLÁS</c:v>
                </c:pt>
                <c:pt idx="8">
                  <c:v>SANTA ROSA N. - CHAVARRÍA</c:v>
                </c:pt>
                <c:pt idx="9">
                  <c:v>CAMPO ARMIÑO - POMACOCHA</c:v>
                </c:pt>
                <c:pt idx="10">
                  <c:v>VENTANILLA - ZAPALLAL</c:v>
                </c:pt>
                <c:pt idx="11">
                  <c:v>SAN JUAN - SANTA ROSA N.</c:v>
                </c:pt>
              </c:strCache>
            </c:strRef>
          </c:cat>
          <c:val>
            <c:numRef>
              <c:f>'16. Congestiones'!$F$7:$F$18</c:f>
              <c:numCache>
                <c:formatCode>#,##0.00</c:formatCode>
                <c:ptCount val="12"/>
                <c:pt idx="0">
                  <c:v>309.91666666666669</c:v>
                </c:pt>
                <c:pt idx="1">
                  <c:v>431.30000000000007</c:v>
                </c:pt>
                <c:pt idx="10">
                  <c:v>8.56666666666667</c:v>
                </c:pt>
                <c:pt idx="11">
                  <c:v>3.4166666666666679</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MAYO
 2017</c:v>
                </c:pt>
              </c:strCache>
            </c:strRef>
          </c:tx>
          <c:invertIfNegative val="0"/>
          <c:cat>
            <c:strRef>
              <c:f>'16. Congestiones'!$C$7:$C$18</c:f>
              <c:strCache>
                <c:ptCount val="12"/>
                <c:pt idx="0">
                  <c:v>ENLACE CENTRO - SUR</c:v>
                </c:pt>
                <c:pt idx="1">
                  <c:v>SAN JUAN - LOS INDUSTRIALES</c:v>
                </c:pt>
                <c:pt idx="2">
                  <c:v>CAMPO ARMIÑO - HUANCAVELICA</c:v>
                </c:pt>
                <c:pt idx="3">
                  <c:v>INDEPENDENCIA</c:v>
                </c:pt>
                <c:pt idx="4">
                  <c:v>CAMPO ARMIÑO - INDEPENDENCIA</c:v>
                </c:pt>
                <c:pt idx="5">
                  <c:v>POMACOCHA - SAN JUAN</c:v>
                </c:pt>
                <c:pt idx="6">
                  <c:v>HUANZA-CARABAYLLO</c:v>
                </c:pt>
                <c:pt idx="7">
                  <c:v>MARCONA - SAN NICOLÁS</c:v>
                </c:pt>
                <c:pt idx="8">
                  <c:v>SANTA ROSA N. - CHAVARRÍA</c:v>
                </c:pt>
                <c:pt idx="9">
                  <c:v>CAMPO ARMIÑO - POMACOCHA</c:v>
                </c:pt>
                <c:pt idx="10">
                  <c:v>VENTANILLA - ZAPALLAL</c:v>
                </c:pt>
                <c:pt idx="11">
                  <c:v>SAN JUAN - SANTA ROSA N.</c:v>
                </c:pt>
              </c:strCache>
            </c:strRef>
          </c:cat>
          <c:val>
            <c:numRef>
              <c:f>'16. Congestiones'!$E$7:$E$18</c:f>
              <c:numCache>
                <c:formatCode>#,##0.00</c:formatCode>
                <c:ptCount val="12"/>
                <c:pt idx="0">
                  <c:v>664.63333333333344</c:v>
                </c:pt>
                <c:pt idx="1">
                  <c:v>25.866666666666667</c:v>
                </c:pt>
                <c:pt idx="2">
                  <c:v>76.599999999999994</c:v>
                </c:pt>
                <c:pt idx="3">
                  <c:v>14.516666666666666</c:v>
                </c:pt>
                <c:pt idx="4">
                  <c:v>78.75</c:v>
                </c:pt>
                <c:pt idx="5">
                  <c:v>67.23333333333332</c:v>
                </c:pt>
                <c:pt idx="6">
                  <c:v>0.76666666666666661</c:v>
                </c:pt>
                <c:pt idx="9">
                  <c:v>7.5666666666666664</c:v>
                </c:pt>
                <c:pt idx="10">
                  <c:v>4.3333333333333321</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MAYO
 2018</c:v>
                </c:pt>
              </c:strCache>
            </c:strRef>
          </c:tx>
          <c:invertIfNegative val="0"/>
          <c:cat>
            <c:strRef>
              <c:f>'16. Congestiones'!$C$7:$C$18</c:f>
              <c:strCache>
                <c:ptCount val="12"/>
                <c:pt idx="0">
                  <c:v>ENLACE CENTRO - SUR</c:v>
                </c:pt>
                <c:pt idx="1">
                  <c:v>SAN JUAN - LOS INDUSTRIALES</c:v>
                </c:pt>
                <c:pt idx="2">
                  <c:v>CAMPO ARMIÑO - HUANCAVELICA</c:v>
                </c:pt>
                <c:pt idx="3">
                  <c:v>INDEPENDENCIA</c:v>
                </c:pt>
                <c:pt idx="4">
                  <c:v>CAMPO ARMIÑO - INDEPENDENCIA</c:v>
                </c:pt>
                <c:pt idx="5">
                  <c:v>POMACOCHA - SAN JUAN</c:v>
                </c:pt>
                <c:pt idx="6">
                  <c:v>HUANZA-CARABAYLLO</c:v>
                </c:pt>
                <c:pt idx="7">
                  <c:v>MARCONA - SAN NICOLÁS</c:v>
                </c:pt>
                <c:pt idx="8">
                  <c:v>SANTA ROSA N. - CHAVARRÍA</c:v>
                </c:pt>
                <c:pt idx="9">
                  <c:v>CAMPO ARMIÑO - POMACOCHA</c:v>
                </c:pt>
                <c:pt idx="10">
                  <c:v>VENTANILLA - ZAPALLAL</c:v>
                </c:pt>
                <c:pt idx="11">
                  <c:v>SAN JUAN - SANTA ROSA N.</c:v>
                </c:pt>
              </c:strCache>
            </c:strRef>
          </c:cat>
          <c:val>
            <c:numRef>
              <c:f>'16. Congestiones'!$D$7:$D$18</c:f>
              <c:numCache>
                <c:formatCode>#,##0.00</c:formatCode>
                <c:ptCount val="12"/>
                <c:pt idx="5">
                  <c:v>12.93333333333333</c:v>
                </c:pt>
                <c:pt idx="6">
                  <c:v>6.85</c:v>
                </c:pt>
                <c:pt idx="7">
                  <c:v>0.26666666666666572</c:v>
                </c:pt>
                <c:pt idx="8">
                  <c:v>0.50000000000000089</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6.0243386435985938E-2"/>
                  <c:y val="-6.1503644626446433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0.1172118889127105"/>
                  <c:y val="9.3562941525408491E-4"/>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9.182846415704074E-2"/>
                  <c:y val="4.5601822724739699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5.385464109978718E-2"/>
                  <c:y val="3.139548992468217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664869594621683"/>
                      <c:h val="0.14490706620409483"/>
                    </c:manualLayout>
                  </c15:layout>
                </c:ext>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9.8743966910169054E-2"/>
                  <c:y val="-3.2733997231759272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3.366917315512509E-2"/>
                  <c:y val="-5.8688501015620786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0146877086198451"/>
                      <c:h val="0.10153196958530315"/>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6</c:v>
                </c:pt>
                <c:pt idx="1">
                  <c:v>7</c:v>
                </c:pt>
                <c:pt idx="2">
                  <c:v>2</c:v>
                </c:pt>
                <c:pt idx="3">
                  <c:v>13</c:v>
                </c:pt>
                <c:pt idx="4">
                  <c:v>9</c:v>
                </c:pt>
                <c:pt idx="5">
                  <c:v>1</c:v>
                </c:pt>
                <c:pt idx="6">
                  <c:v>1</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63039276869020633"/>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Eventos'!$B$7:$B$11</c:f>
              <c:numCache>
                <c:formatCode>General</c:formatCode>
                <c:ptCount val="5"/>
                <c:pt idx="0">
                  <c:v>6</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Eventos'!$C$7:$C$11</c:f>
              <c:numCache>
                <c:formatCode>General</c:formatCode>
                <c:ptCount val="5"/>
                <c:pt idx="0">
                  <c:v>6</c:v>
                </c:pt>
                <c:pt idx="4">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Eventos'!$D$7:$D$11</c:f>
              <c:numCache>
                <c:formatCode>General</c:formatCode>
                <c:ptCount val="5"/>
                <c:pt idx="0">
                  <c:v>2</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Eventos'!$E$7:$E$11</c:f>
              <c:numCache>
                <c:formatCode>General</c:formatCode>
                <c:ptCount val="5"/>
                <c:pt idx="0">
                  <c:v>9</c:v>
                </c:pt>
                <c:pt idx="2">
                  <c:v>2</c:v>
                </c:pt>
                <c:pt idx="3">
                  <c:v>2</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Eventos'!$F$7:$F$11</c:f>
              <c:numCache>
                <c:formatCode>General</c:formatCode>
                <c:ptCount val="5"/>
                <c:pt idx="0">
                  <c:v>6</c:v>
                </c:pt>
                <c:pt idx="1">
                  <c:v>1</c:v>
                </c:pt>
                <c:pt idx="3">
                  <c:v>2</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Eventos'!$G$7:$G$11</c:f>
              <c:numCache>
                <c:formatCode>General</c:formatCode>
                <c:ptCount val="5"/>
                <c:pt idx="3">
                  <c:v>1</c:v>
                </c:pt>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Eventos'!$H$7:$H$11</c:f>
              <c:numCache>
                <c:formatCode>General</c:formatCode>
                <c:ptCount val="5"/>
                <c:pt idx="2">
                  <c:v>1</c:v>
                </c:pt>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6250934144560814"/>
          <c:h val="0.75611868754961753"/>
        </c:manualLayout>
      </c:layout>
      <c:barChart>
        <c:barDir val="bar"/>
        <c:grouping val="stacked"/>
        <c:varyColors val="0"/>
        <c:ser>
          <c:idx val="0"/>
          <c:order val="0"/>
          <c:tx>
            <c:strRef>
              <c:f>'2. Oferta de generación'!$B$36:$C$36</c:f>
              <c:strCache>
                <c:ptCount val="2"/>
                <c:pt idx="0">
                  <c:v>HIDROELÉCTRICA</c:v>
                </c:pt>
              </c:strCache>
            </c:strRef>
          </c:tx>
          <c:invertIfNegative val="0"/>
          <c:cat>
            <c:strRef>
              <c:f>'2. Oferta de generación'!$D$35:$E$35</c:f>
              <c:strCache>
                <c:ptCount val="2"/>
                <c:pt idx="0">
                  <c:v>MAYO 2018</c:v>
                </c:pt>
                <c:pt idx="1">
                  <c:v>MAYO 2017</c:v>
                </c:pt>
              </c:strCache>
            </c:strRef>
          </c:cat>
          <c:val>
            <c:numRef>
              <c:f>'2. Oferta de generación'!$D$36:$E$36</c:f>
              <c:numCache>
                <c:formatCode>#,##0.0</c:formatCode>
                <c:ptCount val="2"/>
                <c:pt idx="0">
                  <c:v>4904.5012475000012</c:v>
                </c:pt>
                <c:pt idx="1">
                  <c:v>4968.0372475000004</c:v>
                </c:pt>
              </c:numCache>
            </c:numRef>
          </c:val>
          <c:extLst>
            <c:ext xmlns:c16="http://schemas.microsoft.com/office/drawing/2014/chart" uri="{C3380CC4-5D6E-409C-BE32-E72D297353CC}">
              <c16:uniqueId val="{00000004-54B0-402D-913D-0304413B844F}"/>
            </c:ext>
          </c:extLst>
        </c:ser>
        <c:ser>
          <c:idx val="1"/>
          <c:order val="1"/>
          <c:tx>
            <c:strRef>
              <c:f>'2. Oferta de generación'!$B$37:$C$37</c:f>
              <c:strCache>
                <c:ptCount val="2"/>
                <c:pt idx="0">
                  <c:v>TERMOELÉCTRICA</c:v>
                </c:pt>
              </c:strCache>
            </c:strRef>
          </c:tx>
          <c:spPr>
            <a:solidFill>
              <a:schemeClr val="accent2"/>
            </a:solidFill>
          </c:spPr>
          <c:invertIfNegative val="0"/>
          <c:cat>
            <c:strRef>
              <c:f>'2. Oferta de generación'!$D$35:$E$35</c:f>
              <c:strCache>
                <c:ptCount val="2"/>
                <c:pt idx="0">
                  <c:v>MAYO 2018</c:v>
                </c:pt>
                <c:pt idx="1">
                  <c:v>MAYO 2017</c:v>
                </c:pt>
              </c:strCache>
            </c:strRef>
          </c:cat>
          <c:val>
            <c:numRef>
              <c:f>'2. Oferta de generación'!$D$37:$E$37</c:f>
              <c:numCache>
                <c:formatCode>#,##0.0</c:formatCode>
                <c:ptCount val="2"/>
                <c:pt idx="0">
                  <c:v>7393.5644999999995</c:v>
                </c:pt>
                <c:pt idx="1">
                  <c:v>7373.5784999999987</c:v>
                </c:pt>
              </c:numCache>
            </c:numRef>
          </c:val>
          <c:extLst>
            <c:ext xmlns:c16="http://schemas.microsoft.com/office/drawing/2014/chart" uri="{C3380CC4-5D6E-409C-BE32-E72D297353CC}">
              <c16:uniqueId val="{00000005-54B0-402D-913D-0304413B844F}"/>
            </c:ext>
          </c:extLst>
        </c:ser>
        <c:ser>
          <c:idx val="2"/>
          <c:order val="2"/>
          <c:tx>
            <c:strRef>
              <c:f>'2. Oferta de generación'!$B$38:$C$38</c:f>
              <c:strCache>
                <c:ptCount val="2"/>
                <c:pt idx="0">
                  <c:v>EÓLICA</c:v>
                </c:pt>
              </c:strCache>
            </c:strRef>
          </c:tx>
          <c:spPr>
            <a:solidFill>
              <a:srgbClr val="6DA6D9"/>
            </a:solidFill>
          </c:spPr>
          <c:invertIfNegative val="0"/>
          <c:cat>
            <c:strRef>
              <c:f>'2. Oferta de generación'!$D$35:$E$35</c:f>
              <c:strCache>
                <c:ptCount val="2"/>
                <c:pt idx="0">
                  <c:v>MAYO 2018</c:v>
                </c:pt>
                <c:pt idx="1">
                  <c:v>MAYO 2017</c:v>
                </c:pt>
              </c:strCache>
            </c:strRef>
          </c:cat>
          <c:val>
            <c:numRef>
              <c:f>'2. Oferta de generación'!$D$38:$E$38</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generación'!$B$39:$C$39</c:f>
              <c:strCache>
                <c:ptCount val="2"/>
                <c:pt idx="0">
                  <c:v>SOLAR</c:v>
                </c:pt>
              </c:strCache>
            </c:strRef>
          </c:tx>
          <c:invertIfNegative val="0"/>
          <c:cat>
            <c:strRef>
              <c:f>'2. Oferta de generación'!$D$35:$E$35</c:f>
              <c:strCache>
                <c:ptCount val="2"/>
                <c:pt idx="0">
                  <c:v>MAYO 2018</c:v>
                </c:pt>
                <c:pt idx="1">
                  <c:v>MAYO 2017</c:v>
                </c:pt>
              </c:strCache>
            </c:strRef>
          </c:cat>
          <c:val>
            <c:numRef>
              <c:f>'2. Oferta de generación'!$D$39:$E$39</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Eventos'!$A$7:$A$11</c:f>
              <c:strCache>
                <c:ptCount val="5"/>
                <c:pt idx="0">
                  <c:v>LINEA DE TRANSMISION</c:v>
                </c:pt>
                <c:pt idx="1">
                  <c:v>BARRA</c:v>
                </c:pt>
                <c:pt idx="2">
                  <c:v>CELDA</c:v>
                </c:pt>
                <c:pt idx="3">
                  <c:v>TRANSFORMADOR</c:v>
                </c:pt>
                <c:pt idx="4">
                  <c:v>CENTRAL HIDROELÉCTRICA</c:v>
                </c:pt>
              </c:strCache>
            </c:strRef>
          </c:cat>
          <c:val>
            <c:numRef>
              <c:f>'17. Eventos'!$J$7:$J$11</c:f>
              <c:numCache>
                <c:formatCode>#,##0.00</c:formatCode>
                <c:ptCount val="5"/>
                <c:pt idx="0">
                  <c:v>305.40000000000003</c:v>
                </c:pt>
                <c:pt idx="1">
                  <c:v>17.97</c:v>
                </c:pt>
                <c:pt idx="2">
                  <c:v>28.85</c:v>
                </c:pt>
                <c:pt idx="3">
                  <c:v>88.38</c:v>
                </c:pt>
                <c:pt idx="4">
                  <c:v>80.69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58481294815"/>
          <c:y val="5.2798140554937414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generación'!$L$15:$L$18</c:f>
              <c:strCache>
                <c:ptCount val="4"/>
                <c:pt idx="0">
                  <c:v>Central Solar</c:v>
                </c:pt>
                <c:pt idx="1">
                  <c:v>Central Hidroeléctrica</c:v>
                </c:pt>
                <c:pt idx="2">
                  <c:v>Turbina de Vapor</c:v>
                </c:pt>
                <c:pt idx="3">
                  <c:v>Central Eólica</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Lbls>
            <c:delete val="1"/>
          </c:dLbls>
          <c:cat>
            <c:strRef>
              <c:f>'2. Oferta de generación'!$L$15:$L$18</c:f>
              <c:strCache>
                <c:ptCount val="4"/>
                <c:pt idx="0">
                  <c:v>Central Solar</c:v>
                </c:pt>
                <c:pt idx="1">
                  <c:v>Central Hidroeléctrica</c:v>
                </c:pt>
                <c:pt idx="2">
                  <c:v>Turbina de Vapor</c:v>
                </c:pt>
                <c:pt idx="3">
                  <c:v>Central Eólica</c:v>
                </c:pt>
              </c:strCache>
            </c:strRef>
          </c:cat>
          <c:val>
            <c:numRef>
              <c:f>'2. Oferta de generación'!$M$15:$M$18</c:f>
              <c:numCache>
                <c:formatCode>#,##0.00</c:formatCode>
                <c:ptCount val="4"/>
                <c:pt idx="0">
                  <c:v>189.01999999999998</c:v>
                </c:pt>
                <c:pt idx="1">
                  <c:v>20</c:v>
                </c:pt>
                <c:pt idx="2">
                  <c:v>103.95113000000001</c:v>
                </c:pt>
                <c:pt idx="3" formatCode="General">
                  <c:v>132.30000000000001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62763061609918"/>
          <c:y val="8.9140691524104934E-2"/>
          <c:w val="0.8659701942606548"/>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10763.62714142585</c:v>
                </c:pt>
                <c:pt idx="1">
                  <c:v>8731.1866457583492</c:v>
                </c:pt>
                <c:pt idx="2">
                  <c:v>365.46447617966561</c:v>
                </c:pt>
                <c:pt idx="3">
                  <c:v>99.255770563499894</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13225.16824544687</c:v>
                </c:pt>
                <c:pt idx="1">
                  <c:v>6726.400939483945</c:v>
                </c:pt>
                <c:pt idx="2">
                  <c:v>374.96234814458205</c:v>
                </c:pt>
                <c:pt idx="3">
                  <c:v>89.412987927938005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14214.307003130001</c:v>
                </c:pt>
                <c:pt idx="1">
                  <c:v>5958.1478500650001</c:v>
                </c:pt>
                <c:pt idx="2">
                  <c:v>529.99127126000008</c:v>
                </c:pt>
                <c:pt idx="3">
                  <c:v>284.09086605249996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4.7930990771615285E-2"/>
              <c:y val="1.1469689702406416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14214.307003130001</c:v>
                </c:pt>
                <c:pt idx="1">
                  <c:v>5542.25852571</c:v>
                </c:pt>
                <c:pt idx="2">
                  <c:v>187.65849131000002</c:v>
                </c:pt>
                <c:pt idx="3">
                  <c:v>91.307857827500015</c:v>
                </c:pt>
                <c:pt idx="4">
                  <c:v>0</c:v>
                </c:pt>
                <c:pt idx="5">
                  <c:v>26.9015129625</c:v>
                </c:pt>
                <c:pt idx="6">
                  <c:v>1.8026657475000003</c:v>
                </c:pt>
                <c:pt idx="7">
                  <c:v>1.4230004125</c:v>
                </c:pt>
                <c:pt idx="8">
                  <c:v>51.402838299999999</c:v>
                </c:pt>
                <c:pt idx="9">
                  <c:v>35.333966939999996</c:v>
                </c:pt>
                <c:pt idx="10">
                  <c:v>20.058990855000001</c:v>
                </c:pt>
                <c:pt idx="11">
                  <c:v>284.09086605249996</c:v>
                </c:pt>
                <c:pt idx="12">
                  <c:v>529.99127126000008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13225.16824544687</c:v>
                </c:pt>
                <c:pt idx="1">
                  <c:v>5931.8336378297199</c:v>
                </c:pt>
                <c:pt idx="2">
                  <c:v>131.64267107700388</c:v>
                </c:pt>
                <c:pt idx="3">
                  <c:v>41.372165856152698</c:v>
                </c:pt>
                <c:pt idx="4">
                  <c:v>9.7034091828799998</c:v>
                </c:pt>
                <c:pt idx="5">
                  <c:v>291.13455554803983</c:v>
                </c:pt>
                <c:pt idx="6">
                  <c:v>49.467667712573338</c:v>
                </c:pt>
                <c:pt idx="7">
                  <c:v>0.24963529262500003</c:v>
                </c:pt>
                <c:pt idx="8">
                  <c:v>223.03041024235966</c:v>
                </c:pt>
                <c:pt idx="9">
                  <c:v>31.258542786893326</c:v>
                </c:pt>
                <c:pt idx="10">
                  <c:v>16.708243955696624</c:v>
                </c:pt>
                <c:pt idx="11">
                  <c:v>89.412987927938005</c:v>
                </c:pt>
                <c:pt idx="12">
                  <c:v>374.96234814458205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10763.62714142585</c:v>
                </c:pt>
                <c:pt idx="1">
                  <c:v>7537.0265474826765</c:v>
                </c:pt>
                <c:pt idx="2">
                  <c:v>222.14548185415148</c:v>
                </c:pt>
                <c:pt idx="3">
                  <c:v>213.8539236322884</c:v>
                </c:pt>
                <c:pt idx="4">
                  <c:v>51.173331304767004</c:v>
                </c:pt>
                <c:pt idx="5">
                  <c:v>249.30279435893581</c:v>
                </c:pt>
                <c:pt idx="6">
                  <c:v>77.296675635096165</c:v>
                </c:pt>
                <c:pt idx="7">
                  <c:v>2.6171268147903697</c:v>
                </c:pt>
                <c:pt idx="8">
                  <c:v>318.67050522982714</c:v>
                </c:pt>
                <c:pt idx="9">
                  <c:v>38.165598833766403</c:v>
                </c:pt>
                <c:pt idx="10">
                  <c:v>20.934660612049999</c:v>
                </c:pt>
                <c:pt idx="11">
                  <c:v>99.255770563499894</c:v>
                </c:pt>
                <c:pt idx="12">
                  <c:v>365.46447617966561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15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0.00</c:formatCode>
                <c:ptCount val="5"/>
                <c:pt idx="0">
                  <c:v>439.61789026668902</c:v>
                </c:pt>
                <c:pt idx="1">
                  <c:v>365.46447617966561</c:v>
                </c:pt>
                <c:pt idx="2">
                  <c:v>99.255770563499894</c:v>
                </c:pt>
                <c:pt idx="3">
                  <c:v>38.165598833766403</c:v>
                </c:pt>
                <c:pt idx="4">
                  <c:v>20.934660612049999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0.00</c:formatCode>
                <c:ptCount val="5"/>
                <c:pt idx="0">
                  <c:v>536.78182263986719</c:v>
                </c:pt>
                <c:pt idx="1">
                  <c:v>374.96234814458205</c:v>
                </c:pt>
                <c:pt idx="2">
                  <c:v>89.412987927938005</c:v>
                </c:pt>
                <c:pt idx="3">
                  <c:v>31.258542786893326</c:v>
                </c:pt>
                <c:pt idx="4">
                  <c:v>16.708243955696624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0.00</c:formatCode>
                <c:ptCount val="5"/>
                <c:pt idx="0">
                  <c:v>583.02939845500009</c:v>
                </c:pt>
                <c:pt idx="1">
                  <c:v>529.99127126000008</c:v>
                </c:pt>
                <c:pt idx="2">
                  <c:v>284.09086605249996</c:v>
                </c:pt>
                <c:pt idx="3">
                  <c:v>35.333966939999996</c:v>
                </c:pt>
                <c:pt idx="4">
                  <c:v>20.058990855000001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0.00" sourceLinked="1"/>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4.4542228260826482E-2"/>
                  <c:y val="-6.97491613066041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7,51%</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0.00</c:formatCode>
                <c:ptCount val="6"/>
                <c:pt idx="0">
                  <c:v>3966.0163284749997</c:v>
                </c:pt>
                <c:pt idx="1">
                  <c:v>110.02161063750002</c:v>
                </c:pt>
                <c:pt idx="2">
                  <c:v>143.30216725</c:v>
                </c:pt>
                <c:pt idx="3">
                  <c:v>57.9052203225</c:v>
                </c:pt>
                <c:pt idx="4">
                  <c:v>7.3377402875</c:v>
                </c:pt>
                <c:pt idx="5">
                  <c:v>3.3924106000000003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RER'!$L$6:$L$24</c:f>
              <c:strCache>
                <c:ptCount val="19"/>
                <c:pt idx="0">
                  <c:v>C.H. RENOVANDES H1</c:v>
                </c:pt>
                <c:pt idx="1">
                  <c:v>C.H. LAS PIZARRAS</c:v>
                </c:pt>
                <c:pt idx="2">
                  <c:v>C.H. RUNATULLO III</c:v>
                </c:pt>
                <c:pt idx="3">
                  <c:v>C.H. POTRERO</c:v>
                </c:pt>
                <c:pt idx="4">
                  <c:v>C.H. YARUCAYA</c:v>
                </c:pt>
                <c:pt idx="5">
                  <c:v>C.H. RUNATULLO II</c:v>
                </c:pt>
                <c:pt idx="6">
                  <c:v>C.H. CARHUAQUERO IV</c:v>
                </c:pt>
                <c:pt idx="7">
                  <c:v>C.H. POECHOS II</c:v>
                </c:pt>
                <c:pt idx="8">
                  <c:v>C.H. HUASAHUASI II</c:v>
                </c:pt>
                <c:pt idx="9">
                  <c:v>C.H. HUASAHUASI I</c:v>
                </c:pt>
                <c:pt idx="10">
                  <c:v>C.H. LA JOYA</c:v>
                </c:pt>
                <c:pt idx="11">
                  <c:v>C.H. CAÑA BRAVA</c:v>
                </c:pt>
                <c:pt idx="12">
                  <c:v>C.H. CANCHAYLLO</c:v>
                </c:pt>
                <c:pt idx="13">
                  <c:v>C.H. SANTA CRUZ II</c:v>
                </c:pt>
                <c:pt idx="14">
                  <c:v>C.H. YANAPAMPA</c:v>
                </c:pt>
                <c:pt idx="15">
                  <c:v>C.H. SANTA CRUZ I</c:v>
                </c:pt>
                <c:pt idx="16">
                  <c:v>C.H. RONCADOR</c:v>
                </c:pt>
                <c:pt idx="17">
                  <c:v>C.H. IMPERIAL</c:v>
                </c:pt>
                <c:pt idx="18">
                  <c:v>C.H. PURMACANA</c:v>
                </c:pt>
              </c:strCache>
            </c:strRef>
          </c:cat>
          <c:val>
            <c:numRef>
              <c:f>'6. FP RER'!$O$6:$O$24</c:f>
              <c:numCache>
                <c:formatCode>0.00</c:formatCode>
                <c:ptCount val="19"/>
                <c:pt idx="0">
                  <c:v>14.75827662</c:v>
                </c:pt>
                <c:pt idx="1">
                  <c:v>13.8014255775</c:v>
                </c:pt>
                <c:pt idx="2">
                  <c:v>10.54332232</c:v>
                </c:pt>
                <c:pt idx="3">
                  <c:v>9.9048579875000016</c:v>
                </c:pt>
                <c:pt idx="4">
                  <c:v>9.218965217500001</c:v>
                </c:pt>
                <c:pt idx="5">
                  <c:v>7.5101144599999996</c:v>
                </c:pt>
                <c:pt idx="6">
                  <c:v>7.2497682824999998</c:v>
                </c:pt>
                <c:pt idx="7">
                  <c:v>6.2237118575000006</c:v>
                </c:pt>
                <c:pt idx="8">
                  <c:v>4.5059907375000003</c:v>
                </c:pt>
                <c:pt idx="9">
                  <c:v>4.1425631025000005</c:v>
                </c:pt>
                <c:pt idx="10">
                  <c:v>4.0501942975</c:v>
                </c:pt>
                <c:pt idx="11">
                  <c:v>3.5728747724999996</c:v>
                </c:pt>
                <c:pt idx="12">
                  <c:v>2.8651935000000002</c:v>
                </c:pt>
                <c:pt idx="13">
                  <c:v>2.6761774650000003</c:v>
                </c:pt>
                <c:pt idx="14">
                  <c:v>2.6515391350000002</c:v>
                </c:pt>
                <c:pt idx="15">
                  <c:v>2.3125861825</c:v>
                </c:pt>
                <c:pt idx="16">
                  <c:v>2.2675752500000002</c:v>
                </c:pt>
                <c:pt idx="17">
                  <c:v>1.5354000000000001</c:v>
                </c:pt>
                <c:pt idx="18">
                  <c:v>0.2310738725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RER'!$L$6:$L$24</c:f>
              <c:strCache>
                <c:ptCount val="19"/>
                <c:pt idx="0">
                  <c:v>C.H. RENOVANDES H1</c:v>
                </c:pt>
                <c:pt idx="1">
                  <c:v>C.H. LAS PIZARRAS</c:v>
                </c:pt>
                <c:pt idx="2">
                  <c:v>C.H. RUNATULLO III</c:v>
                </c:pt>
                <c:pt idx="3">
                  <c:v>C.H. POTRERO</c:v>
                </c:pt>
                <c:pt idx="4">
                  <c:v>C.H. YARUCAYA</c:v>
                </c:pt>
                <c:pt idx="5">
                  <c:v>C.H. RUNATULLO II</c:v>
                </c:pt>
                <c:pt idx="6">
                  <c:v>C.H. CARHUAQUERO IV</c:v>
                </c:pt>
                <c:pt idx="7">
                  <c:v>C.H. POECHOS II</c:v>
                </c:pt>
                <c:pt idx="8">
                  <c:v>C.H. HUASAHUASI II</c:v>
                </c:pt>
                <c:pt idx="9">
                  <c:v>C.H. HUASAHUASI I</c:v>
                </c:pt>
                <c:pt idx="10">
                  <c:v>C.H. LA JOYA</c:v>
                </c:pt>
                <c:pt idx="11">
                  <c:v>C.H. CAÑA BRAVA</c:v>
                </c:pt>
                <c:pt idx="12">
                  <c:v>C.H. CANCHAYLLO</c:v>
                </c:pt>
                <c:pt idx="13">
                  <c:v>C.H. SANTA CRUZ II</c:v>
                </c:pt>
                <c:pt idx="14">
                  <c:v>C.H. YANAPAMPA</c:v>
                </c:pt>
                <c:pt idx="15">
                  <c:v>C.H. SANTA CRUZ I</c:v>
                </c:pt>
                <c:pt idx="16">
                  <c:v>C.H. RONCADOR</c:v>
                </c:pt>
                <c:pt idx="17">
                  <c:v>C.H. IMPERIAL</c:v>
                </c:pt>
                <c:pt idx="18">
                  <c:v>C.H. PURMACANA</c:v>
                </c:pt>
              </c:strCache>
            </c:strRef>
          </c:cat>
          <c:val>
            <c:numRef>
              <c:f>'6. FP RER'!$P$6:$P$24</c:f>
              <c:numCache>
                <c:formatCode>0.00</c:formatCode>
                <c:ptCount val="19"/>
                <c:pt idx="0">
                  <c:v>0.9918196653225807</c:v>
                </c:pt>
                <c:pt idx="1">
                  <c:v>0.96618678588320095</c:v>
                </c:pt>
                <c:pt idx="2">
                  <c:v>0.70976320497533962</c:v>
                </c:pt>
                <c:pt idx="3">
                  <c:v>0.668994028441941</c:v>
                </c:pt>
                <c:pt idx="4">
                  <c:v>0.82607215210573481</c:v>
                </c:pt>
                <c:pt idx="5">
                  <c:v>0.50554614441785939</c:v>
                </c:pt>
                <c:pt idx="6">
                  <c:v>0.97609057474319239</c:v>
                </c:pt>
                <c:pt idx="7">
                  <c:v>0.87447251824618555</c:v>
                </c:pt>
                <c:pt idx="8">
                  <c:v>0.59249062446746747</c:v>
                </c:pt>
                <c:pt idx="9">
                  <c:v>0.56527524459636491</c:v>
                </c:pt>
                <c:pt idx="10">
                  <c:v>0.70288050867017926</c:v>
                </c:pt>
                <c:pt idx="11">
                  <c:v>0.84695785508050303</c:v>
                </c:pt>
                <c:pt idx="12">
                  <c:v>0.74215967089189916</c:v>
                </c:pt>
                <c:pt idx="13">
                  <c:v>0.48451141187691188</c:v>
                </c:pt>
                <c:pt idx="14">
                  <c:v>0.91003717543950835</c:v>
                </c:pt>
                <c:pt idx="15">
                  <c:v>0.44672531782476732</c:v>
                </c:pt>
                <c:pt idx="16">
                  <c:v>0.87580925179211488</c:v>
                </c:pt>
                <c:pt idx="17">
                  <c:v>0.52061293577683021</c:v>
                </c:pt>
                <c:pt idx="18">
                  <c:v>0.18120371176334049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a:extLst/>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MAYO</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(9,83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83568" y="7462905"/>
          <a:ext cx="1027442" cy="369676"/>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(9,71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506732</xdr:colOff>
      <xdr:row>48</xdr:row>
      <xdr:rowOff>89836</xdr:rowOff>
    </xdr:from>
    <xdr:to>
      <xdr:col>11</xdr:col>
      <xdr:colOff>364388</xdr:colOff>
      <xdr:row>51</xdr:row>
      <xdr:rowOff>17773</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9539" y="7138336"/>
          <a:ext cx="1039622" cy="391198"/>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(9,93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82282" y="6125603"/>
          <a:ext cx="1091577" cy="383011"/>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(9,17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(9,58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20</xdr:row>
      <xdr:rowOff>135639</xdr:rowOff>
    </xdr:from>
    <xdr:to>
      <xdr:col>7</xdr:col>
      <xdr:colOff>654327</xdr:colOff>
      <xdr:row>56</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280566</xdr:colOff>
      <xdr:row>16</xdr:row>
      <xdr:rowOff>50695</xdr:rowOff>
    </xdr:from>
    <xdr:to>
      <xdr:col>3</xdr:col>
      <xdr:colOff>236858</xdr:colOff>
      <xdr:row>31</xdr:row>
      <xdr:rowOff>108177</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17</xdr:row>
      <xdr:rowOff>13082</xdr:rowOff>
    </xdr:from>
    <xdr:to>
      <xdr:col>9</xdr:col>
      <xdr:colOff>643958</xdr:colOff>
      <xdr:row>33</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223345</xdr:colOff>
      <xdr:row>41</xdr:row>
      <xdr:rowOff>105103</xdr:rowOff>
    </xdr:from>
    <xdr:to>
      <xdr:col>9</xdr:col>
      <xdr:colOff>381000</xdr:colOff>
      <xdr:row>52</xdr:row>
      <xdr:rowOff>131380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16</xdr:row>
      <xdr:rowOff>100853</xdr:rowOff>
    </xdr:from>
    <xdr:to>
      <xdr:col>8</xdr:col>
      <xdr:colOff>429240</xdr:colOff>
      <xdr:row>28</xdr:row>
      <xdr:rowOff>89647</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681263</xdr:colOff>
      <xdr:row>16</xdr:row>
      <xdr:rowOff>84660</xdr:rowOff>
    </xdr:from>
    <xdr:to>
      <xdr:col>1</xdr:col>
      <xdr:colOff>513961</xdr:colOff>
      <xdr:row>17</xdr:row>
      <xdr:rowOff>118333</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681263" y="3676145"/>
          <a:ext cx="516257" cy="179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108701</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M66"/>
  <sheetViews>
    <sheetView showGridLines="0" tabSelected="1" view="pageBreakPreview" zoomScaleNormal="70" zoomScaleSheetLayoutView="100" zoomScalePageLayoutView="85" workbookViewId="0">
      <selection activeCell="O8" sqref="O8"/>
    </sheetView>
  </sheetViews>
  <sheetFormatPr defaultRowHeight="11.25"/>
  <cols>
    <col min="9" max="9" width="14.6640625" customWidth="1"/>
    <col min="12" max="12" width="20.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1"/>
      <c r="B28" s="1"/>
      <c r="C28" s="1"/>
      <c r="D28" s="1"/>
      <c r="E28" s="1"/>
      <c r="F28" s="1"/>
      <c r="G28" s="1"/>
      <c r="H28" s="1"/>
      <c r="I28" s="1"/>
      <c r="J28" s="1"/>
      <c r="K28" s="1"/>
      <c r="L28" s="1"/>
      <c r="M28" s="1"/>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row r="31" spans="1:13">
      <c r="A31" s="1"/>
      <c r="B31" s="1"/>
      <c r="C31" s="1"/>
      <c r="D31" s="1"/>
      <c r="E31" s="1"/>
      <c r="F31" s="1"/>
      <c r="G31" s="1"/>
      <c r="H31" s="1"/>
      <c r="I31" s="1"/>
      <c r="J31" s="1"/>
      <c r="K31" s="1"/>
      <c r="L31" s="1"/>
      <c r="M31" s="1"/>
    </row>
    <row r="32" spans="1:13">
      <c r="A32" s="1"/>
      <c r="B32" s="1"/>
      <c r="C32" s="1"/>
      <c r="D32" s="1"/>
      <c r="E32" s="1"/>
      <c r="F32" s="1"/>
      <c r="G32" s="1"/>
      <c r="H32" s="1"/>
      <c r="I32" s="1"/>
      <c r="J32" s="1"/>
      <c r="K32" s="1"/>
      <c r="L32" s="1"/>
      <c r="M32" s="1"/>
    </row>
    <row r="33" spans="1:13">
      <c r="A33" s="1"/>
      <c r="B33" s="1"/>
      <c r="C33" s="1"/>
      <c r="D33" s="1"/>
      <c r="E33" s="1"/>
      <c r="F33" s="1"/>
      <c r="G33" s="1"/>
      <c r="H33" s="1"/>
      <c r="I33" s="1"/>
      <c r="J33" s="1"/>
      <c r="K33" s="1"/>
      <c r="L33" s="1"/>
      <c r="M33" s="1"/>
    </row>
    <row r="34" spans="1:13">
      <c r="A34" s="1"/>
      <c r="B34" s="1"/>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40" zoomScaleNormal="100" zoomScaleSheetLayoutView="140" zoomScalePageLayoutView="145" workbookViewId="0">
      <selection activeCell="Q26" sqref="Q26"/>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20" t="s">
        <v>287</v>
      </c>
      <c r="B2" s="920"/>
      <c r="C2" s="920"/>
      <c r="D2" s="920"/>
      <c r="E2" s="920"/>
      <c r="F2" s="920"/>
      <c r="G2" s="920"/>
      <c r="H2" s="920"/>
      <c r="I2" s="920"/>
      <c r="J2" s="920"/>
      <c r="K2" s="920"/>
    </row>
    <row r="3" spans="1:12" ht="11.25" customHeight="1">
      <c r="A3" s="84"/>
      <c r="B3" s="84"/>
      <c r="C3" s="84"/>
      <c r="D3" s="84"/>
      <c r="E3" s="84"/>
      <c r="F3" s="84"/>
      <c r="G3" s="84"/>
      <c r="H3" s="84"/>
      <c r="I3" s="84"/>
      <c r="J3" s="84"/>
      <c r="K3" s="84"/>
      <c r="L3" s="45"/>
    </row>
    <row r="4" spans="1:12" ht="11.25" customHeight="1">
      <c r="A4" s="921" t="s">
        <v>506</v>
      </c>
      <c r="B4" s="921"/>
      <c r="C4" s="921"/>
      <c r="D4" s="921"/>
      <c r="E4" s="921"/>
      <c r="F4" s="921"/>
      <c r="G4" s="921"/>
      <c r="H4" s="921"/>
      <c r="I4" s="921"/>
      <c r="J4" s="921"/>
      <c r="K4" s="921"/>
      <c r="L4" s="45"/>
    </row>
    <row r="5" spans="1:12" ht="11.25" customHeight="1">
      <c r="A5" s="84"/>
      <c r="B5" s="85"/>
      <c r="C5" s="86"/>
      <c r="D5" s="87"/>
      <c r="E5" s="87"/>
      <c r="F5" s="87"/>
      <c r="G5" s="87"/>
      <c r="H5" s="88"/>
      <c r="I5" s="83"/>
      <c r="J5" s="83"/>
      <c r="K5" s="89"/>
      <c r="L5" s="10"/>
    </row>
    <row r="6" spans="1:12" ht="12.75" customHeight="1">
      <c r="A6" s="903" t="s">
        <v>233</v>
      </c>
      <c r="B6" s="900" t="s">
        <v>290</v>
      </c>
      <c r="C6" s="901"/>
      <c r="D6" s="901"/>
      <c r="E6" s="901" t="s">
        <v>34</v>
      </c>
      <c r="F6" s="901"/>
      <c r="G6" s="902" t="s">
        <v>289</v>
      </c>
      <c r="H6" s="902"/>
      <c r="I6" s="902"/>
      <c r="J6" s="902"/>
      <c r="K6" s="902"/>
      <c r="L6" s="20"/>
    </row>
    <row r="7" spans="1:12" ht="12.75" customHeight="1">
      <c r="A7" s="903"/>
      <c r="B7" s="390">
        <f>+'5. RER'!B5</f>
        <v>43163</v>
      </c>
      <c r="C7" s="390">
        <f>+'5. RER'!C5</f>
        <v>43193</v>
      </c>
      <c r="D7" s="390">
        <f>+'5. RER'!D5</f>
        <v>43221</v>
      </c>
      <c r="E7" s="390">
        <f>+'5. RER'!E5</f>
        <v>42856</v>
      </c>
      <c r="F7" s="922" t="s">
        <v>133</v>
      </c>
      <c r="G7" s="391">
        <v>2018</v>
      </c>
      <c r="H7" s="391">
        <v>2017</v>
      </c>
      <c r="I7" s="922" t="s">
        <v>43</v>
      </c>
      <c r="J7" s="391">
        <v>2016</v>
      </c>
      <c r="K7" s="922" t="s">
        <v>36</v>
      </c>
      <c r="L7" s="17"/>
    </row>
    <row r="8" spans="1:12" ht="12.75" customHeight="1">
      <c r="A8" s="903"/>
      <c r="B8" s="392">
        <v>43176.791666666664</v>
      </c>
      <c r="C8" s="392">
        <v>43214.78125</v>
      </c>
      <c r="D8" s="392">
        <v>43228.78125</v>
      </c>
      <c r="E8" s="392">
        <v>42864.791666666664</v>
      </c>
      <c r="F8" s="923"/>
      <c r="G8" s="393">
        <v>43214.78125</v>
      </c>
      <c r="H8" s="393">
        <v>42801.8125</v>
      </c>
      <c r="I8" s="923"/>
      <c r="J8" s="393">
        <v>42459.791666666664</v>
      </c>
      <c r="K8" s="923"/>
      <c r="L8" s="19"/>
    </row>
    <row r="9" spans="1:12" ht="12.75" customHeight="1">
      <c r="A9" s="903"/>
      <c r="B9" s="394">
        <v>43176.791666666664</v>
      </c>
      <c r="C9" s="394">
        <v>43214.78125</v>
      </c>
      <c r="D9" s="394">
        <v>43228.78125</v>
      </c>
      <c r="E9" s="394">
        <v>42864.791666666664</v>
      </c>
      <c r="F9" s="923"/>
      <c r="G9" s="394">
        <v>43214.78125</v>
      </c>
      <c r="H9" s="395">
        <v>42801.8125</v>
      </c>
      <c r="I9" s="923"/>
      <c r="J9" s="396">
        <v>42459.791666666664</v>
      </c>
      <c r="K9" s="923"/>
      <c r="L9" s="18"/>
    </row>
    <row r="10" spans="1:12" ht="12.75" customHeight="1">
      <c r="A10" s="397" t="s">
        <v>37</v>
      </c>
      <c r="B10" s="549">
        <v>4472.9233000000013</v>
      </c>
      <c r="C10" s="550">
        <v>4457.8647499999988</v>
      </c>
      <c r="D10" s="551">
        <v>4251.6648000000005</v>
      </c>
      <c r="E10" s="549">
        <v>4055.2344599999997</v>
      </c>
      <c r="F10" s="398">
        <f>+IF(E10=0,"",D10/E10-1)</f>
        <v>4.8438713454807436E-2</v>
      </c>
      <c r="G10" s="549">
        <v>4457.8647499999988</v>
      </c>
      <c r="H10" s="550">
        <v>4181.7234999999982</v>
      </c>
      <c r="I10" s="398">
        <f>+IF(H10=0,"",G10/H10-1)</f>
        <v>6.6035272298611059E-2</v>
      </c>
      <c r="J10" s="549">
        <v>3527.2958100000001</v>
      </c>
      <c r="K10" s="398">
        <f t="shared" ref="K10:K20" si="0">+IF(J10=0,"",H10/J10-1)</f>
        <v>0.18553240931613213</v>
      </c>
      <c r="L10" s="18"/>
    </row>
    <row r="11" spans="1:12" ht="12.75" customHeight="1">
      <c r="A11" s="193" t="s">
        <v>38</v>
      </c>
      <c r="B11" s="552">
        <v>1961.6245200000005</v>
      </c>
      <c r="C11" s="360">
        <v>1943.7948299999998</v>
      </c>
      <c r="D11" s="553">
        <v>2130.1075900000001</v>
      </c>
      <c r="E11" s="552">
        <v>2337.2467799999995</v>
      </c>
      <c r="F11" s="183">
        <f>+IF(E11=0,"",D11/E11-1)</f>
        <v>-8.8625296982973945E-2</v>
      </c>
      <c r="G11" s="552">
        <v>1943.7948299999998</v>
      </c>
      <c r="H11" s="360">
        <v>2286.1302900000001</v>
      </c>
      <c r="I11" s="183">
        <f>+IF(H11=0,"",G11/H11-1)</f>
        <v>-0.14974450996841493</v>
      </c>
      <c r="J11" s="552">
        <v>2770.9643299999998</v>
      </c>
      <c r="K11" s="183">
        <f t="shared" si="0"/>
        <v>-0.1749694266183498</v>
      </c>
      <c r="L11" s="18"/>
    </row>
    <row r="12" spans="1:12" ht="12.75" customHeight="1">
      <c r="A12" s="194" t="s">
        <v>39</v>
      </c>
      <c r="B12" s="554">
        <v>205.14547000000002</v>
      </c>
      <c r="C12" s="361">
        <v>309.01528000000002</v>
      </c>
      <c r="D12" s="555">
        <v>234.90339</v>
      </c>
      <c r="E12" s="554">
        <v>34.979100000000003</v>
      </c>
      <c r="F12" s="184">
        <f>+IF(E12=0,"",D12/E12-1)</f>
        <v>5.7155355626645621</v>
      </c>
      <c r="G12" s="554">
        <v>309.01528000000002</v>
      </c>
      <c r="H12" s="361">
        <v>91.209550000000007</v>
      </c>
      <c r="I12" s="184">
        <f>+IF(H12=0,"",G12/H12-1)</f>
        <v>2.3879706675452295</v>
      </c>
      <c r="J12" s="554">
        <v>146.64738</v>
      </c>
      <c r="K12" s="184">
        <f t="shared" si="0"/>
        <v>-0.37803491613692652</v>
      </c>
      <c r="L12" s="17"/>
    </row>
    <row r="13" spans="1:12" ht="12.75" customHeight="1">
      <c r="A13" s="195" t="s">
        <v>30</v>
      </c>
      <c r="B13" s="556">
        <v>0</v>
      </c>
      <c r="C13" s="557">
        <v>0</v>
      </c>
      <c r="D13" s="558">
        <v>0</v>
      </c>
      <c r="E13" s="556">
        <v>0</v>
      </c>
      <c r="F13" s="185" t="str">
        <f>+IF(E13=0,"",D13/E13-1)</f>
        <v/>
      </c>
      <c r="G13" s="556">
        <v>0</v>
      </c>
      <c r="H13" s="557">
        <v>0</v>
      </c>
      <c r="I13" s="185" t="str">
        <f>+IF(H13=0,"",G13/H13-1)</f>
        <v/>
      </c>
      <c r="J13" s="556">
        <v>0</v>
      </c>
      <c r="K13" s="185" t="str">
        <f t="shared" si="0"/>
        <v/>
      </c>
      <c r="L13" s="19"/>
    </row>
    <row r="14" spans="1:12" ht="12.75" customHeight="1">
      <c r="A14" s="196" t="s">
        <v>44</v>
      </c>
      <c r="B14" s="559">
        <f>+SUM(B10:B13)</f>
        <v>6639.693290000002</v>
      </c>
      <c r="C14" s="560">
        <f>+SUM(C10:C13)</f>
        <v>6710.6748599999983</v>
      </c>
      <c r="D14" s="561">
        <f>+SUM(D10:D13)</f>
        <v>6616.6757800000005</v>
      </c>
      <c r="E14" s="559">
        <f>+SUM(E10:E13)</f>
        <v>6427.4603399999987</v>
      </c>
      <c r="F14" s="186">
        <f>+IF(E14=0,"",D14/E14-1)</f>
        <v>2.9438600938921144E-2</v>
      </c>
      <c r="G14" s="559">
        <f>+SUM(G10:G13)</f>
        <v>6710.6748599999983</v>
      </c>
      <c r="H14" s="560">
        <f>+SUM(H10:H13)</f>
        <v>6559.0633399999979</v>
      </c>
      <c r="I14" s="186">
        <f>+IF(H14=0,"",G14/H14-1)</f>
        <v>2.3114812609813962E-2</v>
      </c>
      <c r="J14" s="559">
        <f>+SUM(J10:J13)</f>
        <v>6444.9075200000007</v>
      </c>
      <c r="K14" s="186">
        <f t="shared" si="0"/>
        <v>1.7712561374348068E-2</v>
      </c>
      <c r="L14" s="18"/>
    </row>
    <row r="15" spans="1:12" ht="6.75" customHeight="1">
      <c r="A15" s="367"/>
      <c r="B15" s="367"/>
      <c r="C15" s="367"/>
      <c r="D15" s="367"/>
      <c r="E15" s="367"/>
      <c r="F15" s="367"/>
      <c r="G15" s="367"/>
      <c r="H15" s="367"/>
      <c r="I15" s="367"/>
      <c r="J15" s="367"/>
      <c r="K15" s="367"/>
      <c r="L15" s="18"/>
    </row>
    <row r="16" spans="1:12" ht="12.75" customHeight="1">
      <c r="A16" s="399" t="s">
        <v>40</v>
      </c>
      <c r="B16" s="400">
        <v>0</v>
      </c>
      <c r="C16" s="401">
        <v>0</v>
      </c>
      <c r="D16" s="402">
        <v>0</v>
      </c>
      <c r="E16" s="400">
        <v>0</v>
      </c>
      <c r="F16" s="403" t="str">
        <f>+IF(E16=0,"",D16/E16-1)</f>
        <v/>
      </c>
      <c r="G16" s="400">
        <v>0</v>
      </c>
      <c r="H16" s="401">
        <v>36.515999999999998</v>
      </c>
      <c r="I16" s="403">
        <f>+IF(H16=0,"",G16/H16-1)</f>
        <v>-1</v>
      </c>
      <c r="J16" s="400">
        <v>0</v>
      </c>
      <c r="K16" s="403" t="str">
        <f t="shared" si="0"/>
        <v/>
      </c>
      <c r="L16" s="20"/>
    </row>
    <row r="17" spans="1:12" ht="12.75" customHeight="1">
      <c r="A17" s="404" t="s">
        <v>41</v>
      </c>
      <c r="B17" s="362">
        <v>0</v>
      </c>
      <c r="C17" s="344">
        <v>0</v>
      </c>
      <c r="D17" s="363">
        <v>0</v>
      </c>
      <c r="E17" s="362">
        <v>0</v>
      </c>
      <c r="F17" s="168" t="str">
        <f>+IF(E17=0,"",D17/E17-1)</f>
        <v/>
      </c>
      <c r="G17" s="362">
        <v>0</v>
      </c>
      <c r="H17" s="344">
        <v>0</v>
      </c>
      <c r="I17" s="168" t="str">
        <f>+IF(H17=0,"",G17/H17-1)</f>
        <v/>
      </c>
      <c r="J17" s="362">
        <v>0</v>
      </c>
      <c r="K17" s="168" t="str">
        <f t="shared" si="0"/>
        <v/>
      </c>
      <c r="L17" s="20"/>
    </row>
    <row r="18" spans="1:12" ht="24" customHeight="1">
      <c r="A18" s="405" t="s">
        <v>42</v>
      </c>
      <c r="B18" s="406">
        <f>+B17-B16</f>
        <v>0</v>
      </c>
      <c r="C18" s="407">
        <f>+C17-C16</f>
        <v>0</v>
      </c>
      <c r="D18" s="408">
        <f>+D17-D16</f>
        <v>0</v>
      </c>
      <c r="E18" s="406">
        <f>+E17-E16</f>
        <v>0</v>
      </c>
      <c r="F18" s="409"/>
      <c r="G18" s="406">
        <f>+G17-G16</f>
        <v>0</v>
      </c>
      <c r="H18" s="407">
        <f>+H17-H16</f>
        <v>-36.515999999999998</v>
      </c>
      <c r="I18" s="409">
        <f>+IF(H18=0,"",G18/H18-1)</f>
        <v>-1</v>
      </c>
      <c r="J18" s="406">
        <f>+J17-J16</f>
        <v>0</v>
      </c>
      <c r="K18" s="409" t="str">
        <f t="shared" si="0"/>
        <v/>
      </c>
      <c r="L18" s="20"/>
    </row>
    <row r="19" spans="1:12" ht="6" customHeight="1">
      <c r="A19" s="29"/>
      <c r="B19" s="29"/>
      <c r="C19" s="29"/>
      <c r="D19" s="29"/>
      <c r="E19" s="29"/>
      <c r="F19" s="29"/>
      <c r="G19" s="29"/>
      <c r="H19" s="29"/>
      <c r="I19" s="29"/>
      <c r="J19" s="29"/>
      <c r="K19" s="29"/>
      <c r="L19" s="20"/>
    </row>
    <row r="20" spans="1:12" ht="24" customHeight="1">
      <c r="A20" s="410" t="s">
        <v>288</v>
      </c>
      <c r="B20" s="562">
        <f t="shared" ref="B20:E20" si="1">+B14-B18</f>
        <v>6639.693290000002</v>
      </c>
      <c r="C20" s="563">
        <f t="shared" si="1"/>
        <v>6710.6748599999983</v>
      </c>
      <c r="D20" s="564">
        <f t="shared" si="1"/>
        <v>6616.6757800000005</v>
      </c>
      <c r="E20" s="562">
        <f t="shared" si="1"/>
        <v>6427.4603399999987</v>
      </c>
      <c r="F20" s="411">
        <f>+IF(E20=0,"",D20/E20-1)</f>
        <v>2.9438600938921144E-2</v>
      </c>
      <c r="G20" s="562">
        <f>+G14-G18</f>
        <v>6710.6748599999983</v>
      </c>
      <c r="H20" s="562">
        <f>+H14-H18</f>
        <v>6595.5793399999975</v>
      </c>
      <c r="I20" s="411">
        <f>+IF(H20=0,"",G20/H20-1)</f>
        <v>1.7450403378818313E-2</v>
      </c>
      <c r="J20" s="562">
        <f>+J14-J18</f>
        <v>6444.9075200000007</v>
      </c>
      <c r="K20" s="779">
        <f t="shared" si="0"/>
        <v>2.3378430106627324E-2</v>
      </c>
      <c r="L20" s="20"/>
    </row>
    <row r="21" spans="1:12" ht="11.25" customHeight="1">
      <c r="A21" s="385" t="s">
        <v>536</v>
      </c>
      <c r="B21" s="159"/>
      <c r="C21" s="159"/>
      <c r="D21" s="159"/>
      <c r="E21" s="159"/>
      <c r="F21" s="159"/>
      <c r="G21" s="159"/>
      <c r="H21" s="159"/>
      <c r="I21" s="159"/>
      <c r="J21" s="159"/>
      <c r="K21" s="159"/>
      <c r="L21" s="22"/>
    </row>
    <row r="22" spans="1:12" ht="17.25" customHeight="1">
      <c r="A22" s="918" t="s">
        <v>528</v>
      </c>
      <c r="B22" s="918"/>
      <c r="C22" s="918"/>
      <c r="D22" s="918"/>
      <c r="E22" s="918"/>
      <c r="F22" s="918"/>
      <c r="G22" s="918"/>
      <c r="H22" s="918"/>
      <c r="I22" s="918"/>
      <c r="J22" s="918"/>
      <c r="K22" s="918"/>
      <c r="L22" s="20"/>
    </row>
    <row r="23" spans="1:12" ht="11.25" customHeight="1">
      <c r="A23" s="187"/>
      <c r="B23" s="187"/>
      <c r="C23" s="187"/>
      <c r="D23" s="187"/>
      <c r="E23" s="187"/>
      <c r="F23" s="187"/>
      <c r="G23" s="187"/>
      <c r="H23" s="187"/>
      <c r="I23" s="187"/>
      <c r="J23" s="187"/>
      <c r="K23" s="187"/>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8"/>
      <c r="B52" s="188"/>
      <c r="C52" s="188"/>
      <c r="D52" s="188"/>
      <c r="E52" s="188"/>
      <c r="F52" s="188"/>
      <c r="G52" s="188"/>
      <c r="H52" s="188"/>
      <c r="I52" s="188"/>
      <c r="J52" s="188"/>
      <c r="K52" s="188"/>
      <c r="L52" s="20"/>
    </row>
    <row r="53" spans="1:12" ht="11.25" customHeight="1">
      <c r="L53" s="15"/>
    </row>
    <row r="54" spans="1:12" ht="11.25" customHeight="1">
      <c r="A54" s="189"/>
      <c r="B54" s="159"/>
      <c r="C54" s="159"/>
      <c r="D54" s="159"/>
      <c r="E54" s="159"/>
      <c r="F54" s="159"/>
      <c r="G54" s="159"/>
      <c r="H54" s="159"/>
      <c r="I54" s="159"/>
      <c r="J54" s="159"/>
      <c r="K54" s="159"/>
      <c r="L54" s="14"/>
    </row>
    <row r="55" spans="1:12" ht="11.25" customHeight="1">
      <c r="A55" s="189"/>
      <c r="B55" s="190"/>
      <c r="C55" s="190"/>
      <c r="D55" s="190"/>
      <c r="E55" s="190"/>
      <c r="F55" s="190"/>
      <c r="G55" s="159"/>
      <c r="H55" s="159"/>
      <c r="I55" s="159"/>
      <c r="J55" s="159"/>
      <c r="K55" s="159"/>
      <c r="L55" s="14"/>
    </row>
    <row r="56" spans="1:12" ht="11.25" customHeight="1">
      <c r="A56" s="179"/>
      <c r="B56" s="191"/>
      <c r="C56" s="191"/>
      <c r="D56" s="192"/>
      <c r="E56" s="192"/>
      <c r="F56" s="192"/>
      <c r="G56" s="159"/>
      <c r="H56" s="159"/>
      <c r="I56" s="159"/>
      <c r="J56" s="159"/>
      <c r="K56" s="159"/>
      <c r="L56" s="14"/>
    </row>
    <row r="57" spans="1:12" ht="11.25" customHeight="1">
      <c r="L57" s="14"/>
    </row>
    <row r="58" spans="1:12" ht="12">
      <c r="A58" s="919" t="str">
        <f>"Gráfico N° 11: Comparación de la máxima potencia coincidente de potencia (MW) por tipo de generación en el SEIN en "&amp;'1. Resumen'!Q4</f>
        <v>Gráfico N° 11: Comparación de la máxima potencia coincidente de potencia (MW) por tipo de generación en el SEIN en mayo</v>
      </c>
      <c r="B58" s="919"/>
      <c r="C58" s="919"/>
      <c r="D58" s="919"/>
      <c r="E58" s="919"/>
      <c r="F58" s="919"/>
      <c r="G58" s="919"/>
      <c r="H58" s="919"/>
      <c r="I58" s="919"/>
      <c r="J58" s="919"/>
      <c r="K58" s="919"/>
      <c r="L58" s="14"/>
    </row>
    <row r="59" spans="1:12" ht="12">
      <c r="A59" s="179"/>
      <c r="B59" s="191"/>
      <c r="C59" s="191"/>
      <c r="D59" s="192"/>
      <c r="E59" s="192"/>
      <c r="F59" s="192"/>
      <c r="G59" s="159"/>
      <c r="H59" s="159"/>
      <c r="I59" s="159"/>
      <c r="J59" s="159"/>
      <c r="K59" s="159"/>
      <c r="L59" s="14"/>
    </row>
    <row r="60" spans="1:12" ht="12">
      <c r="A60" s="179"/>
      <c r="B60" s="191"/>
      <c r="C60" s="191"/>
      <c r="D60" s="192"/>
      <c r="E60" s="192"/>
      <c r="F60" s="192"/>
      <c r="G60" s="159"/>
      <c r="H60" s="159"/>
      <c r="I60" s="159"/>
      <c r="J60" s="159"/>
      <c r="K60" s="159"/>
      <c r="L60" s="14"/>
    </row>
    <row r="61" spans="1:12" ht="12.75">
      <c r="A61" s="23"/>
      <c r="B61" s="181"/>
      <c r="C61" s="181"/>
      <c r="D61" s="182"/>
      <c r="E61" s="182"/>
      <c r="F61" s="182"/>
      <c r="G61" s="91"/>
      <c r="H61" s="91"/>
      <c r="I61" s="91"/>
      <c r="J61" s="91"/>
      <c r="K61" s="91"/>
      <c r="L61" s="14"/>
    </row>
    <row r="62" spans="1:12" ht="12.75">
      <c r="A62" s="23"/>
      <c r="B62" s="181"/>
      <c r="C62" s="181"/>
      <c r="D62" s="182"/>
      <c r="E62" s="182"/>
      <c r="F62" s="182"/>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Mayo 2018
INFSGI-MES-05-2018
07/06/2018
Versión: 01</oddHeader>
    <oddFooter>&amp;L&amp;7COES SINAC, 2018
&amp;C8&amp;R&amp;7Dirección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zoomScale="145" zoomScaleNormal="100" zoomScaleSheetLayoutView="145" zoomScalePageLayoutView="145" workbookViewId="0">
      <selection activeCell="Q26" sqref="Q26"/>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24" t="s">
        <v>293</v>
      </c>
      <c r="B1" s="924"/>
      <c r="C1" s="924"/>
      <c r="D1" s="924"/>
      <c r="E1" s="924"/>
      <c r="F1" s="924"/>
      <c r="G1" s="924"/>
      <c r="H1" s="924"/>
      <c r="I1" s="924"/>
      <c r="J1" s="924"/>
    </row>
    <row r="2" spans="1:15" ht="7.5" customHeight="1">
      <c r="A2" s="92"/>
      <c r="B2" s="91"/>
      <c r="C2" s="91"/>
      <c r="D2" s="91"/>
      <c r="E2" s="91"/>
      <c r="F2" s="91"/>
      <c r="G2" s="91"/>
      <c r="H2" s="91"/>
      <c r="I2" s="91"/>
      <c r="J2" s="91"/>
      <c r="K2" s="45"/>
      <c r="L2" s="45"/>
    </row>
    <row r="3" spans="1:15" ht="11.25" customHeight="1">
      <c r="A3" s="925" t="s">
        <v>134</v>
      </c>
      <c r="B3" s="927" t="str">
        <f>+'1. Resumen'!Q4</f>
        <v>mayo</v>
      </c>
      <c r="C3" s="928"/>
      <c r="D3" s="929"/>
      <c r="E3" s="159"/>
      <c r="F3" s="159"/>
      <c r="G3" s="930" t="s">
        <v>292</v>
      </c>
      <c r="H3" s="930"/>
      <c r="I3" s="930"/>
      <c r="J3" s="159"/>
      <c r="K3" s="175"/>
      <c r="L3" s="175"/>
    </row>
    <row r="4" spans="1:15" ht="11.25" customHeight="1">
      <c r="A4" s="925"/>
      <c r="B4" s="197">
        <v>2018</v>
      </c>
      <c r="C4" s="198">
        <v>2017</v>
      </c>
      <c r="D4" s="931" t="s">
        <v>35</v>
      </c>
      <c r="E4" s="159"/>
      <c r="F4" s="159"/>
      <c r="G4" s="159"/>
      <c r="H4" s="159"/>
      <c r="I4" s="159"/>
      <c r="J4" s="159"/>
      <c r="K4" s="31"/>
      <c r="L4" s="152"/>
    </row>
    <row r="5" spans="1:15" ht="11.25" customHeight="1">
      <c r="A5" s="925"/>
      <c r="B5" s="199">
        <f>+'8. Max Potencia'!D8</f>
        <v>43228.78125</v>
      </c>
      <c r="C5" s="199">
        <f>+'8. Max Potencia'!E8</f>
        <v>42864.791666666664</v>
      </c>
      <c r="D5" s="931"/>
      <c r="E5" s="159"/>
      <c r="F5" s="159"/>
      <c r="G5" s="159"/>
      <c r="H5" s="159"/>
      <c r="I5" s="159"/>
      <c r="J5" s="159"/>
      <c r="K5" s="31"/>
      <c r="L5" s="26"/>
    </row>
    <row r="6" spans="1:15" ht="11.25" customHeight="1" thickBot="1">
      <c r="A6" s="926"/>
      <c r="B6" s="417">
        <f>+'8. Max Potencia'!D9</f>
        <v>43228.78125</v>
      </c>
      <c r="C6" s="417">
        <f>+'8. Max Potencia'!E9</f>
        <v>42864.791666666664</v>
      </c>
      <c r="D6" s="932"/>
      <c r="E6" s="159"/>
      <c r="F6" s="159"/>
      <c r="G6" s="159"/>
      <c r="H6" s="159"/>
      <c r="I6" s="159"/>
      <c r="J6" s="159"/>
      <c r="K6" s="32"/>
      <c r="L6" s="302" t="s">
        <v>291</v>
      </c>
      <c r="M6" s="3">
        <v>2018</v>
      </c>
      <c r="N6" s="3">
        <v>2017</v>
      </c>
    </row>
    <row r="7" spans="1:15" ht="9.75" customHeight="1">
      <c r="A7" s="701" t="s">
        <v>93</v>
      </c>
      <c r="B7" s="702">
        <v>964.9787399999999</v>
      </c>
      <c r="C7" s="702">
        <v>1059.69</v>
      </c>
      <c r="D7" s="703">
        <f>IF(C7=0,"",B7/C7-1)</f>
        <v>-8.9376383659372172E-2</v>
      </c>
      <c r="E7" s="159"/>
      <c r="F7" s="159"/>
      <c r="G7" s="159"/>
      <c r="H7" s="159"/>
      <c r="I7" s="159"/>
      <c r="J7" s="159"/>
      <c r="K7" s="30"/>
      <c r="L7" s="418" t="s">
        <v>130</v>
      </c>
      <c r="N7" s="3">
        <v>0</v>
      </c>
      <c r="O7" s="413"/>
    </row>
    <row r="8" spans="1:15" ht="9.75" customHeight="1">
      <c r="A8" s="704" t="s">
        <v>706</v>
      </c>
      <c r="B8" s="705">
        <v>851.2829099999999</v>
      </c>
      <c r="C8" s="705">
        <v>457.25670000000002</v>
      </c>
      <c r="D8" s="706">
        <f t="shared" ref="D8:D63" si="0">IF(C8=0,"",B8/C8-1)</f>
        <v>0.8617177397291278</v>
      </c>
      <c r="E8" s="159"/>
      <c r="F8" s="159"/>
      <c r="G8" s="159"/>
      <c r="H8" s="159"/>
      <c r="I8" s="159"/>
      <c r="J8" s="159"/>
      <c r="K8" s="33"/>
      <c r="L8" s="418" t="s">
        <v>124</v>
      </c>
      <c r="N8" s="3">
        <v>1.4998100000000001</v>
      </c>
      <c r="O8" s="413"/>
    </row>
    <row r="9" spans="1:15" ht="9.75" customHeight="1">
      <c r="A9" s="707" t="s">
        <v>95</v>
      </c>
      <c r="B9" s="708">
        <v>843.25728000000004</v>
      </c>
      <c r="C9" s="708">
        <v>810.22559999999987</v>
      </c>
      <c r="D9" s="709">
        <f t="shared" si="0"/>
        <v>4.076849707044583E-2</v>
      </c>
      <c r="E9" s="789"/>
      <c r="F9" s="159"/>
      <c r="G9" s="159"/>
      <c r="H9" s="159"/>
      <c r="I9" s="159"/>
      <c r="J9" s="159"/>
      <c r="K9" s="32"/>
      <c r="L9" s="418" t="s">
        <v>132</v>
      </c>
      <c r="N9" s="3">
        <v>268.36696999999998</v>
      </c>
      <c r="O9" s="413"/>
    </row>
    <row r="10" spans="1:15" ht="9.75" customHeight="1">
      <c r="A10" s="704" t="s">
        <v>94</v>
      </c>
      <c r="B10" s="705">
        <v>646.27022000000011</v>
      </c>
      <c r="C10" s="705">
        <v>598.33106000000021</v>
      </c>
      <c r="D10" s="706">
        <f t="shared" si="0"/>
        <v>8.0121463191297204E-2</v>
      </c>
      <c r="E10" s="159"/>
      <c r="F10" s="159"/>
      <c r="G10" s="159"/>
      <c r="H10" s="159"/>
      <c r="I10" s="159"/>
      <c r="J10" s="159"/>
      <c r="K10" s="32"/>
      <c r="L10" s="413" t="s">
        <v>131</v>
      </c>
      <c r="M10" s="416"/>
      <c r="N10" s="416">
        <v>11.765000000000001</v>
      </c>
      <c r="O10" s="413"/>
    </row>
    <row r="11" spans="1:15" ht="9.75" customHeight="1">
      <c r="A11" s="707" t="s">
        <v>273</v>
      </c>
      <c r="B11" s="708">
        <v>465.54184999999995</v>
      </c>
      <c r="C11" s="708">
        <v>448.60810000000004</v>
      </c>
      <c r="D11" s="709">
        <f t="shared" si="0"/>
        <v>3.7747312186293458E-2</v>
      </c>
      <c r="E11" s="159"/>
      <c r="F11" s="159"/>
      <c r="G11" s="159"/>
      <c r="H11" s="159"/>
      <c r="I11" s="159"/>
      <c r="J11" s="159"/>
      <c r="K11" s="32"/>
      <c r="L11" s="369" t="s">
        <v>111</v>
      </c>
      <c r="M11" s="416">
        <v>0</v>
      </c>
      <c r="N11" s="416">
        <v>0</v>
      </c>
      <c r="O11" s="413"/>
    </row>
    <row r="12" spans="1:15" ht="9.75" customHeight="1">
      <c r="A12" s="704" t="s">
        <v>96</v>
      </c>
      <c r="B12" s="705">
        <v>388.75036</v>
      </c>
      <c r="C12" s="705">
        <v>359.51152000000002</v>
      </c>
      <c r="D12" s="706">
        <f t="shared" si="0"/>
        <v>8.1329354898001638E-2</v>
      </c>
      <c r="E12" s="159"/>
      <c r="F12" s="159"/>
      <c r="G12" s="159"/>
      <c r="H12" s="159"/>
      <c r="I12" s="159"/>
      <c r="J12" s="159"/>
      <c r="K12" s="30"/>
      <c r="L12" s="418" t="s">
        <v>115</v>
      </c>
      <c r="M12" s="388">
        <v>0</v>
      </c>
      <c r="N12" s="3">
        <v>0</v>
      </c>
      <c r="O12" s="413"/>
    </row>
    <row r="13" spans="1:15" ht="9.75" customHeight="1">
      <c r="A13" s="707" t="s">
        <v>279</v>
      </c>
      <c r="B13" s="708">
        <v>325.89578999999998</v>
      </c>
      <c r="C13" s="708">
        <v>354.04401000000001</v>
      </c>
      <c r="D13" s="709">
        <f t="shared" si="0"/>
        <v>-7.95048615566184E-2</v>
      </c>
      <c r="E13" s="159"/>
      <c r="F13" s="159"/>
      <c r="G13" s="159"/>
      <c r="H13" s="159"/>
      <c r="I13" s="159"/>
      <c r="J13" s="159"/>
      <c r="K13" s="33"/>
      <c r="L13" s="369" t="s">
        <v>127</v>
      </c>
      <c r="M13" s="416">
        <v>0</v>
      </c>
      <c r="N13" s="416">
        <v>0</v>
      </c>
      <c r="O13" s="413"/>
    </row>
    <row r="14" spans="1:15" ht="9.75" customHeight="1">
      <c r="A14" s="704" t="s">
        <v>106</v>
      </c>
      <c r="B14" s="705">
        <v>286.74772000000002</v>
      </c>
      <c r="C14" s="705">
        <v>0</v>
      </c>
      <c r="D14" s="706" t="str">
        <f t="shared" si="0"/>
        <v/>
      </c>
      <c r="E14" s="159"/>
      <c r="F14" s="159"/>
      <c r="G14" s="159"/>
      <c r="H14" s="159"/>
      <c r="I14" s="159"/>
      <c r="J14" s="159"/>
      <c r="K14" s="33"/>
      <c r="L14" s="369" t="s">
        <v>283</v>
      </c>
      <c r="M14" s="416">
        <v>0</v>
      </c>
      <c r="N14" s="416">
        <v>149.13802999999999</v>
      </c>
      <c r="O14" s="413"/>
    </row>
    <row r="15" spans="1:15" ht="9.75" customHeight="1">
      <c r="A15" s="707" t="s">
        <v>276</v>
      </c>
      <c r="B15" s="708">
        <v>275.80000999999999</v>
      </c>
      <c r="C15" s="708">
        <v>550.49736000000007</v>
      </c>
      <c r="D15" s="709">
        <f t="shared" si="0"/>
        <v>-0.49899848747685194</v>
      </c>
      <c r="E15" s="159"/>
      <c r="F15" s="159"/>
      <c r="G15" s="159"/>
      <c r="H15" s="159"/>
      <c r="I15" s="159"/>
      <c r="J15" s="159"/>
      <c r="K15" s="33"/>
      <c r="L15" s="369" t="s">
        <v>282</v>
      </c>
      <c r="M15" s="416">
        <v>0</v>
      </c>
      <c r="N15" s="416">
        <v>0</v>
      </c>
      <c r="O15" s="413"/>
    </row>
    <row r="16" spans="1:15" ht="9.75" customHeight="1">
      <c r="A16" s="704" t="s">
        <v>100</v>
      </c>
      <c r="B16" s="705">
        <v>206.37013000000002</v>
      </c>
      <c r="C16" s="705">
        <v>216.07526999999999</v>
      </c>
      <c r="D16" s="706">
        <f t="shared" si="0"/>
        <v>-4.4915551881527072E-2</v>
      </c>
      <c r="E16" s="159"/>
      <c r="F16" s="159"/>
      <c r="G16" s="159"/>
      <c r="H16" s="159"/>
      <c r="I16" s="159"/>
      <c r="J16" s="159"/>
      <c r="K16" s="33"/>
      <c r="L16" s="413" t="s">
        <v>113</v>
      </c>
      <c r="M16" s="416">
        <v>0</v>
      </c>
      <c r="N16" s="416">
        <v>0</v>
      </c>
      <c r="O16" s="413"/>
    </row>
    <row r="17" spans="1:15" ht="9.75" customHeight="1">
      <c r="A17" s="707" t="s">
        <v>97</v>
      </c>
      <c r="B17" s="708">
        <v>202.8955</v>
      </c>
      <c r="C17" s="708">
        <v>217.92993000000001</v>
      </c>
      <c r="D17" s="709">
        <f t="shared" si="0"/>
        <v>-6.8987449314557248E-2</v>
      </c>
      <c r="E17" s="159"/>
      <c r="F17" s="159"/>
      <c r="G17" s="159"/>
      <c r="H17" s="159"/>
      <c r="I17" s="159"/>
      <c r="J17" s="159"/>
      <c r="K17" s="33"/>
      <c r="L17" s="418" t="s">
        <v>116</v>
      </c>
      <c r="M17" s="3">
        <v>0</v>
      </c>
      <c r="N17" s="3">
        <v>0</v>
      </c>
      <c r="O17" s="413"/>
    </row>
    <row r="18" spans="1:15" ht="9.75" customHeight="1">
      <c r="A18" s="704" t="s">
        <v>99</v>
      </c>
      <c r="B18" s="705">
        <v>193.26515000000001</v>
      </c>
      <c r="C18" s="705">
        <v>187.30499</v>
      </c>
      <c r="D18" s="706">
        <f t="shared" si="0"/>
        <v>3.1820615136841868E-2</v>
      </c>
      <c r="E18" s="159"/>
      <c r="F18" s="159"/>
      <c r="G18" s="159"/>
      <c r="H18" s="159"/>
      <c r="I18" s="159"/>
      <c r="J18" s="159"/>
      <c r="K18" s="33"/>
      <c r="L18" s="413" t="s">
        <v>125</v>
      </c>
      <c r="M18" s="416">
        <v>0</v>
      </c>
      <c r="N18" s="416">
        <v>0</v>
      </c>
      <c r="O18" s="413"/>
    </row>
    <row r="19" spans="1:15" ht="9.75" customHeight="1">
      <c r="A19" s="707" t="s">
        <v>98</v>
      </c>
      <c r="B19" s="708">
        <v>162.96295000000001</v>
      </c>
      <c r="C19" s="708">
        <v>166.33135999999999</v>
      </c>
      <c r="D19" s="709">
        <f t="shared" si="0"/>
        <v>-2.0251202178590888E-2</v>
      </c>
      <c r="E19" s="159"/>
      <c r="F19" s="159"/>
      <c r="G19" s="159"/>
      <c r="H19" s="159"/>
      <c r="I19" s="159"/>
      <c r="J19" s="159"/>
      <c r="K19" s="33"/>
      <c r="L19" s="415" t="s">
        <v>277</v>
      </c>
      <c r="M19" s="416">
        <v>0</v>
      </c>
      <c r="N19" s="416"/>
      <c r="O19" s="413"/>
    </row>
    <row r="20" spans="1:15" ht="9.75" customHeight="1">
      <c r="A20" s="704" t="s">
        <v>104</v>
      </c>
      <c r="B20" s="705">
        <v>125.70907</v>
      </c>
      <c r="C20" s="705"/>
      <c r="D20" s="706" t="str">
        <f t="shared" si="0"/>
        <v/>
      </c>
      <c r="E20" s="159"/>
      <c r="F20" s="159"/>
      <c r="G20" s="159"/>
      <c r="H20" s="159"/>
      <c r="I20" s="159"/>
      <c r="J20" s="159"/>
      <c r="K20" s="38"/>
      <c r="L20" s="413" t="s">
        <v>118</v>
      </c>
      <c r="M20" s="416">
        <v>0</v>
      </c>
      <c r="N20" s="416">
        <v>0</v>
      </c>
      <c r="O20" s="413"/>
    </row>
    <row r="21" spans="1:15" ht="9.75" customHeight="1">
      <c r="A21" s="707" t="s">
        <v>101</v>
      </c>
      <c r="B21" s="708">
        <v>111.20417</v>
      </c>
      <c r="C21" s="708">
        <v>110.94408</v>
      </c>
      <c r="D21" s="709">
        <f t="shared" si="0"/>
        <v>2.3443341907023463E-3</v>
      </c>
      <c r="E21" s="159"/>
      <c r="F21" s="159"/>
      <c r="G21" s="159"/>
      <c r="H21" s="159"/>
      <c r="I21" s="159"/>
      <c r="J21" s="159"/>
      <c r="K21" s="33"/>
      <c r="L21" s="418" t="s">
        <v>117</v>
      </c>
      <c r="M21" s="3">
        <v>0</v>
      </c>
      <c r="N21" s="3">
        <v>0</v>
      </c>
      <c r="O21" s="413"/>
    </row>
    <row r="22" spans="1:15" ht="9.75" customHeight="1">
      <c r="A22" s="704" t="s">
        <v>750</v>
      </c>
      <c r="B22" s="705">
        <v>88.915989999999994</v>
      </c>
      <c r="C22" s="705">
        <v>90.332329999999999</v>
      </c>
      <c r="D22" s="706">
        <f t="shared" si="0"/>
        <v>-1.5679214739617642E-2</v>
      </c>
      <c r="E22" s="159"/>
      <c r="F22" s="159"/>
      <c r="G22" s="159"/>
      <c r="H22" s="159"/>
      <c r="I22" s="159"/>
      <c r="J22" s="159"/>
      <c r="K22" s="33"/>
      <c r="L22" s="418" t="s">
        <v>272</v>
      </c>
      <c r="M22" s="3">
        <v>0</v>
      </c>
      <c r="N22" s="3">
        <v>0</v>
      </c>
      <c r="O22" s="413"/>
    </row>
    <row r="23" spans="1:15" ht="9.75" customHeight="1">
      <c r="A23" s="707" t="s">
        <v>274</v>
      </c>
      <c r="B23" s="708">
        <v>88.467460000000003</v>
      </c>
      <c r="C23" s="708">
        <v>75.962189999999993</v>
      </c>
      <c r="D23" s="709">
        <f t="shared" si="0"/>
        <v>0.16462492721708011</v>
      </c>
      <c r="E23" s="159"/>
      <c r="F23" s="159"/>
      <c r="G23" s="159"/>
      <c r="H23" s="159"/>
      <c r="I23" s="159"/>
      <c r="J23" s="159"/>
      <c r="K23" s="33"/>
      <c r="L23" s="413" t="s">
        <v>112</v>
      </c>
      <c r="M23" s="416">
        <v>0</v>
      </c>
      <c r="N23" s="416">
        <v>14.05716</v>
      </c>
      <c r="O23" s="413"/>
    </row>
    <row r="24" spans="1:15" ht="9.75" customHeight="1">
      <c r="A24" s="704" t="s">
        <v>103</v>
      </c>
      <c r="B24" s="705">
        <v>53.427619999999997</v>
      </c>
      <c r="C24" s="705">
        <v>34.979100000000003</v>
      </c>
      <c r="D24" s="706">
        <f t="shared" si="0"/>
        <v>0.52741551383540441</v>
      </c>
      <c r="E24" s="159"/>
      <c r="F24" s="159"/>
      <c r="G24" s="159"/>
      <c r="H24" s="159"/>
      <c r="I24" s="159"/>
      <c r="J24" s="159"/>
      <c r="K24" s="38"/>
      <c r="L24" s="413" t="s">
        <v>128</v>
      </c>
      <c r="M24" s="416">
        <v>0</v>
      </c>
      <c r="N24" s="416">
        <v>20.39</v>
      </c>
      <c r="O24" s="413"/>
    </row>
    <row r="25" spans="1:15" ht="9.75" customHeight="1">
      <c r="A25" s="707" t="s">
        <v>102</v>
      </c>
      <c r="B25" s="708">
        <v>49.256149999999998</v>
      </c>
      <c r="C25" s="708">
        <v>29.515610000000002</v>
      </c>
      <c r="D25" s="709">
        <f t="shared" si="0"/>
        <v>0.66881694127277047</v>
      </c>
      <c r="E25" s="159"/>
      <c r="F25" s="159"/>
      <c r="G25" s="159"/>
      <c r="H25" s="159"/>
      <c r="I25" s="159"/>
      <c r="J25" s="159"/>
      <c r="K25" s="33"/>
      <c r="L25" s="418" t="s">
        <v>129</v>
      </c>
      <c r="M25" s="388">
        <v>0</v>
      </c>
      <c r="N25" s="3">
        <v>0</v>
      </c>
      <c r="O25" s="413"/>
    </row>
    <row r="26" spans="1:15" ht="9.75" customHeight="1">
      <c r="A26" s="704" t="s">
        <v>107</v>
      </c>
      <c r="B26" s="705">
        <v>47.472270000000002</v>
      </c>
      <c r="C26" s="705">
        <v>43.419270000000004</v>
      </c>
      <c r="D26" s="706">
        <f t="shared" si="0"/>
        <v>9.3345650445067374E-2</v>
      </c>
      <c r="E26" s="159"/>
      <c r="F26" s="159"/>
      <c r="G26" s="159"/>
      <c r="H26" s="159"/>
      <c r="I26" s="159"/>
      <c r="J26" s="159"/>
      <c r="K26" s="33"/>
      <c r="L26" s="413" t="s">
        <v>126</v>
      </c>
      <c r="M26" s="416">
        <v>0.2039</v>
      </c>
      <c r="N26" s="416">
        <v>0.73899999999999999</v>
      </c>
      <c r="O26" s="413"/>
    </row>
    <row r="27" spans="1:15" ht="9.75" customHeight="1">
      <c r="A27" s="707" t="s">
        <v>105</v>
      </c>
      <c r="B27" s="708">
        <v>43.124569999999999</v>
      </c>
      <c r="C27" s="708">
        <v>0</v>
      </c>
      <c r="D27" s="709" t="str">
        <f t="shared" si="0"/>
        <v/>
      </c>
      <c r="E27" s="159"/>
      <c r="F27" s="159"/>
      <c r="G27" s="159"/>
      <c r="H27" s="159"/>
      <c r="I27" s="159"/>
      <c r="J27" s="159"/>
      <c r="K27" s="33"/>
      <c r="L27" s="413" t="s">
        <v>281</v>
      </c>
      <c r="M27" s="416">
        <v>3.1875</v>
      </c>
      <c r="N27" s="416">
        <v>4.5192999999999994</v>
      </c>
      <c r="O27" s="413"/>
    </row>
    <row r="28" spans="1:15" ht="9.75" customHeight="1">
      <c r="A28" s="704" t="s">
        <v>275</v>
      </c>
      <c r="B28" s="705">
        <v>31.014800000000001</v>
      </c>
      <c r="C28" s="705">
        <v>37.293800000000005</v>
      </c>
      <c r="D28" s="706">
        <f t="shared" si="0"/>
        <v>-0.16836578734266827</v>
      </c>
      <c r="E28" s="159"/>
      <c r="F28" s="159"/>
      <c r="G28" s="159"/>
      <c r="H28" s="159"/>
      <c r="I28" s="159"/>
      <c r="J28" s="159"/>
      <c r="K28" s="33"/>
      <c r="L28" s="413" t="s">
        <v>121</v>
      </c>
      <c r="M28" s="416">
        <v>3.5541299999999998</v>
      </c>
      <c r="N28" s="416">
        <v>3.7515499999999999</v>
      </c>
      <c r="O28" s="413"/>
    </row>
    <row r="29" spans="1:15" ht="9.75" customHeight="1">
      <c r="A29" s="710" t="s">
        <v>108</v>
      </c>
      <c r="B29" s="711">
        <v>27.398900000000001</v>
      </c>
      <c r="C29" s="711">
        <v>26.42136</v>
      </c>
      <c r="D29" s="712">
        <f t="shared" si="0"/>
        <v>3.6998095480323512E-2</v>
      </c>
      <c r="E29" s="159"/>
      <c r="F29" s="159"/>
      <c r="G29" s="159"/>
      <c r="H29" s="159"/>
      <c r="I29" s="159"/>
      <c r="J29" s="159"/>
      <c r="K29" s="33"/>
      <c r="L29" s="414" t="s">
        <v>122</v>
      </c>
      <c r="M29" s="416">
        <v>3.6</v>
      </c>
      <c r="N29" s="416">
        <v>3.0147300000000001</v>
      </c>
      <c r="O29" s="413"/>
    </row>
    <row r="30" spans="1:15" ht="9.75" customHeight="1">
      <c r="A30" s="713" t="s">
        <v>284</v>
      </c>
      <c r="B30" s="714">
        <v>23.092769999999998</v>
      </c>
      <c r="C30" s="714">
        <v>19.575500000000002</v>
      </c>
      <c r="D30" s="715">
        <f t="shared" si="0"/>
        <v>0.17967714745472629</v>
      </c>
      <c r="E30" s="159"/>
      <c r="F30" s="159"/>
      <c r="G30" s="159"/>
      <c r="H30" s="159"/>
      <c r="I30" s="159"/>
      <c r="J30" s="159"/>
      <c r="K30" s="33"/>
      <c r="L30" s="369" t="s">
        <v>123</v>
      </c>
      <c r="M30" s="416">
        <v>3.8170000000000002</v>
      </c>
      <c r="N30" s="416">
        <v>3.3679999999999999</v>
      </c>
      <c r="O30" s="413"/>
    </row>
    <row r="31" spans="1:15" ht="9.75" customHeight="1">
      <c r="A31" s="716" t="s">
        <v>532</v>
      </c>
      <c r="B31" s="717">
        <v>19.94556</v>
      </c>
      <c r="C31" s="717"/>
      <c r="D31" s="718" t="str">
        <f t="shared" si="0"/>
        <v/>
      </c>
      <c r="E31" s="159"/>
      <c r="F31" s="159"/>
      <c r="G31" s="159"/>
      <c r="H31" s="159"/>
      <c r="I31" s="159"/>
      <c r="J31" s="159"/>
      <c r="K31" s="33"/>
      <c r="L31" s="369" t="s">
        <v>120</v>
      </c>
      <c r="M31" s="416">
        <v>4.45</v>
      </c>
      <c r="N31" s="416">
        <v>0</v>
      </c>
      <c r="O31" s="413"/>
    </row>
    <row r="32" spans="1:15" ht="9.75" customHeight="1">
      <c r="A32" s="713" t="s">
        <v>749</v>
      </c>
      <c r="B32" s="714">
        <v>19.524169999999998</v>
      </c>
      <c r="C32" s="714">
        <v>0</v>
      </c>
      <c r="D32" s="715" t="str">
        <f t="shared" si="0"/>
        <v/>
      </c>
      <c r="E32" s="159"/>
      <c r="F32" s="159"/>
      <c r="G32" s="159"/>
      <c r="H32" s="159"/>
      <c r="I32" s="159"/>
      <c r="J32" s="159"/>
      <c r="K32" s="33"/>
      <c r="L32" s="413" t="s">
        <v>114</v>
      </c>
      <c r="M32" s="416">
        <v>5.5061999999999998</v>
      </c>
      <c r="N32" s="416">
        <v>4.8769099999999996</v>
      </c>
      <c r="O32" s="413"/>
    </row>
    <row r="33" spans="1:15" ht="9.75" customHeight="1">
      <c r="A33" s="716" t="s">
        <v>110</v>
      </c>
      <c r="B33" s="717">
        <v>19.292819999999999</v>
      </c>
      <c r="C33" s="717">
        <v>19.383990000000001</v>
      </c>
      <c r="D33" s="718">
        <f t="shared" si="0"/>
        <v>-4.7033660252611131E-3</v>
      </c>
      <c r="E33" s="159"/>
      <c r="F33" s="159"/>
      <c r="G33" s="159"/>
      <c r="H33" s="159"/>
      <c r="I33" s="159"/>
      <c r="J33" s="159"/>
      <c r="K33" s="33"/>
      <c r="L33" s="369" t="s">
        <v>119</v>
      </c>
      <c r="M33" s="416">
        <v>8.4739900000000006</v>
      </c>
      <c r="N33" s="416">
        <v>9.1927500000000002</v>
      </c>
      <c r="O33" s="413"/>
    </row>
    <row r="34" spans="1:15" ht="9.75" customHeight="1">
      <c r="A34" s="713" t="s">
        <v>280</v>
      </c>
      <c r="B34" s="714">
        <v>12.64213</v>
      </c>
      <c r="C34" s="714">
        <v>0</v>
      </c>
      <c r="D34" s="715" t="str">
        <f t="shared" si="0"/>
        <v/>
      </c>
      <c r="E34" s="159"/>
      <c r="F34" s="159"/>
      <c r="G34" s="159"/>
      <c r="H34" s="159"/>
      <c r="I34" s="159"/>
      <c r="J34" s="159"/>
      <c r="K34" s="33"/>
      <c r="L34" s="413" t="s">
        <v>109</v>
      </c>
      <c r="M34" s="416">
        <v>9.3759999999999994</v>
      </c>
      <c r="N34" s="416">
        <v>19.148</v>
      </c>
      <c r="O34" s="413"/>
    </row>
    <row r="35" spans="1:15" ht="9.75" customHeight="1">
      <c r="A35" s="716" t="s">
        <v>109</v>
      </c>
      <c r="B35" s="717">
        <v>9.3759999999999994</v>
      </c>
      <c r="C35" s="717">
        <v>19.148</v>
      </c>
      <c r="D35" s="718">
        <f t="shared" si="0"/>
        <v>-0.51034050553582622</v>
      </c>
      <c r="E35" s="159"/>
      <c r="F35" s="159"/>
      <c r="G35" s="159"/>
      <c r="H35" s="159"/>
      <c r="I35" s="159"/>
      <c r="J35" s="159"/>
      <c r="K35" s="33"/>
      <c r="L35" s="414" t="s">
        <v>280</v>
      </c>
      <c r="M35" s="416">
        <v>12.64213</v>
      </c>
      <c r="N35" s="416">
        <v>0</v>
      </c>
      <c r="O35" s="413"/>
    </row>
    <row r="36" spans="1:15" ht="9.75" customHeight="1">
      <c r="A36" s="713" t="s">
        <v>119</v>
      </c>
      <c r="B36" s="714">
        <v>8.4739900000000006</v>
      </c>
      <c r="C36" s="714">
        <v>9.1927500000000002</v>
      </c>
      <c r="D36" s="715">
        <f t="shared" si="0"/>
        <v>-7.8187702265372083E-2</v>
      </c>
      <c r="E36" s="159"/>
      <c r="F36" s="159"/>
      <c r="G36" s="159"/>
      <c r="H36" s="159"/>
      <c r="I36" s="159"/>
      <c r="J36" s="159"/>
      <c r="K36" s="43"/>
      <c r="L36" s="369" t="s">
        <v>110</v>
      </c>
      <c r="M36" s="416">
        <v>19.292819999999999</v>
      </c>
      <c r="N36" s="416">
        <v>19.383990000000001</v>
      </c>
      <c r="O36" s="413"/>
    </row>
    <row r="37" spans="1:15" ht="9.75" customHeight="1">
      <c r="A37" s="716" t="s">
        <v>114</v>
      </c>
      <c r="B37" s="717">
        <v>5.5061999999999998</v>
      </c>
      <c r="C37" s="717">
        <v>4.8769099999999996</v>
      </c>
      <c r="D37" s="718">
        <f t="shared" si="0"/>
        <v>0.12903457312109512</v>
      </c>
      <c r="E37" s="159"/>
      <c r="F37" s="159"/>
      <c r="G37" s="159"/>
      <c r="H37" s="159"/>
      <c r="I37" s="159"/>
      <c r="J37" s="159"/>
      <c r="K37" s="43"/>
      <c r="L37" s="418" t="s">
        <v>592</v>
      </c>
      <c r="M37" s="388">
        <v>19.524169999999998</v>
      </c>
      <c r="N37" s="3">
        <v>0</v>
      </c>
      <c r="O37" s="413"/>
    </row>
    <row r="38" spans="1:15" ht="9.75" customHeight="1">
      <c r="A38" s="713" t="s">
        <v>120</v>
      </c>
      <c r="B38" s="714">
        <v>4.45</v>
      </c>
      <c r="C38" s="714">
        <v>0</v>
      </c>
      <c r="D38" s="715" t="str">
        <f t="shared" si="0"/>
        <v/>
      </c>
      <c r="E38" s="159"/>
      <c r="F38" s="159"/>
      <c r="G38" s="159"/>
      <c r="H38" s="159"/>
      <c r="I38" s="159"/>
      <c r="J38" s="159"/>
      <c r="K38" s="38"/>
      <c r="L38" s="369" t="s">
        <v>532</v>
      </c>
      <c r="M38" s="416">
        <v>19.94556</v>
      </c>
      <c r="N38" s="416"/>
      <c r="O38" s="413"/>
    </row>
    <row r="39" spans="1:15" ht="9.75" customHeight="1">
      <c r="A39" s="716" t="s">
        <v>123</v>
      </c>
      <c r="B39" s="717">
        <v>3.8170000000000002</v>
      </c>
      <c r="C39" s="717">
        <v>3.3679999999999999</v>
      </c>
      <c r="D39" s="718">
        <f t="shared" si="0"/>
        <v>0.13331353919239919</v>
      </c>
      <c r="E39" s="159"/>
      <c r="F39" s="159"/>
      <c r="G39" s="159"/>
      <c r="H39" s="159"/>
      <c r="I39" s="159"/>
      <c r="J39" s="159"/>
      <c r="K39" s="38"/>
      <c r="L39" s="369" t="s">
        <v>284</v>
      </c>
      <c r="M39" s="416">
        <v>23.092769999999998</v>
      </c>
      <c r="N39" s="416">
        <v>19.575500000000002</v>
      </c>
      <c r="O39" s="413"/>
    </row>
    <row r="40" spans="1:15" ht="9.75" customHeight="1">
      <c r="A40" s="713" t="s">
        <v>122</v>
      </c>
      <c r="B40" s="714">
        <v>3.6</v>
      </c>
      <c r="C40" s="714">
        <v>3.0147300000000001</v>
      </c>
      <c r="D40" s="715">
        <f t="shared" si="0"/>
        <v>0.19413678836910764</v>
      </c>
      <c r="E40" s="159"/>
      <c r="F40" s="159"/>
      <c r="G40" s="159"/>
      <c r="H40" s="159"/>
      <c r="I40" s="159"/>
      <c r="J40" s="159"/>
      <c r="K40" s="38"/>
      <c r="L40" s="369" t="s">
        <v>108</v>
      </c>
      <c r="M40" s="416">
        <v>27.398900000000001</v>
      </c>
      <c r="N40" s="416">
        <v>26.42136</v>
      </c>
      <c r="O40" s="413"/>
    </row>
    <row r="41" spans="1:15" ht="9.75" customHeight="1">
      <c r="A41" s="716" t="s">
        <v>121</v>
      </c>
      <c r="B41" s="717">
        <v>3.5541299999999998</v>
      </c>
      <c r="C41" s="717">
        <v>3.7515499999999999</v>
      </c>
      <c r="D41" s="718">
        <f t="shared" si="0"/>
        <v>-5.2623582252668943E-2</v>
      </c>
      <c r="E41" s="159"/>
      <c r="F41" s="159"/>
      <c r="G41" s="159"/>
      <c r="H41" s="159"/>
      <c r="I41" s="159"/>
      <c r="J41" s="159"/>
      <c r="K41" s="43"/>
      <c r="L41" s="369" t="s">
        <v>275</v>
      </c>
      <c r="M41" s="416">
        <v>31.014800000000001</v>
      </c>
      <c r="N41" s="416">
        <v>37.293800000000005</v>
      </c>
      <c r="O41" s="413"/>
    </row>
    <row r="42" spans="1:15" ht="9.75" customHeight="1">
      <c r="A42" s="713" t="s">
        <v>752</v>
      </c>
      <c r="B42" s="714">
        <v>3.1875</v>
      </c>
      <c r="C42" s="714">
        <v>4.5192999999999994</v>
      </c>
      <c r="D42" s="715">
        <f t="shared" si="0"/>
        <v>-0.29469165578740064</v>
      </c>
      <c r="E42" s="159"/>
      <c r="F42" s="159"/>
      <c r="G42" s="159"/>
      <c r="H42" s="159"/>
      <c r="I42" s="159"/>
      <c r="J42" s="159"/>
      <c r="K42" s="43"/>
      <c r="L42" s="413" t="s">
        <v>105</v>
      </c>
      <c r="M42" s="416">
        <v>43.124569999999999</v>
      </c>
      <c r="N42" s="416">
        <v>0</v>
      </c>
      <c r="O42" s="413"/>
    </row>
    <row r="43" spans="1:15" ht="9.75" customHeight="1">
      <c r="A43" s="716" t="s">
        <v>126</v>
      </c>
      <c r="B43" s="717">
        <v>0.2039</v>
      </c>
      <c r="C43" s="717">
        <v>0.73899999999999999</v>
      </c>
      <c r="D43" s="718">
        <f t="shared" si="0"/>
        <v>-0.72408660351826792</v>
      </c>
      <c r="E43" s="159"/>
      <c r="F43" s="159"/>
      <c r="G43" s="159"/>
      <c r="H43" s="159"/>
      <c r="I43" s="159"/>
      <c r="J43" s="159"/>
      <c r="K43" s="43"/>
      <c r="L43" s="369" t="s">
        <v>107</v>
      </c>
      <c r="M43" s="416">
        <v>47.472270000000002</v>
      </c>
      <c r="N43" s="416">
        <v>43.419270000000004</v>
      </c>
      <c r="O43" s="413"/>
    </row>
    <row r="44" spans="1:15" ht="9.75" customHeight="1">
      <c r="A44" s="713" t="s">
        <v>129</v>
      </c>
      <c r="B44" s="714">
        <v>0</v>
      </c>
      <c r="C44" s="714">
        <v>0</v>
      </c>
      <c r="D44" s="715" t="str">
        <f t="shared" si="0"/>
        <v/>
      </c>
      <c r="E44" s="159"/>
      <c r="F44" s="159"/>
      <c r="G44" s="159"/>
      <c r="H44" s="159"/>
      <c r="I44" s="159"/>
      <c r="J44" s="159"/>
      <c r="K44" s="160"/>
      <c r="L44" s="369" t="s">
        <v>102</v>
      </c>
      <c r="M44" s="416">
        <v>49.256149999999998</v>
      </c>
      <c r="N44" s="416">
        <v>29.515610000000002</v>
      </c>
      <c r="O44" s="413"/>
    </row>
    <row r="45" spans="1:15" ht="9.75" customHeight="1">
      <c r="A45" s="716" t="s">
        <v>128</v>
      </c>
      <c r="B45" s="717">
        <v>0</v>
      </c>
      <c r="C45" s="717">
        <v>20.39</v>
      </c>
      <c r="D45" s="718">
        <f t="shared" si="0"/>
        <v>-1</v>
      </c>
      <c r="E45" s="159"/>
      <c r="F45" s="159"/>
      <c r="G45" s="159"/>
      <c r="H45" s="159"/>
      <c r="I45" s="159"/>
      <c r="J45" s="159"/>
      <c r="L45" s="413" t="s">
        <v>103</v>
      </c>
      <c r="M45" s="416">
        <v>53.427619999999997</v>
      </c>
      <c r="N45" s="416">
        <v>34.979100000000003</v>
      </c>
      <c r="O45" s="413"/>
    </row>
    <row r="46" spans="1:15" ht="9.75" customHeight="1">
      <c r="A46" s="713" t="s">
        <v>112</v>
      </c>
      <c r="B46" s="714">
        <v>0</v>
      </c>
      <c r="C46" s="714">
        <v>14.05716</v>
      </c>
      <c r="D46" s="715">
        <f t="shared" si="0"/>
        <v>-1</v>
      </c>
      <c r="E46" s="159"/>
      <c r="F46" s="159"/>
      <c r="G46" s="159"/>
      <c r="H46" s="159"/>
      <c r="I46" s="159"/>
      <c r="J46" s="159"/>
      <c r="L46" s="415" t="s">
        <v>274</v>
      </c>
      <c r="M46" s="416">
        <v>88.467460000000003</v>
      </c>
      <c r="N46" s="416">
        <v>75.962189999999993</v>
      </c>
      <c r="O46" s="413"/>
    </row>
    <row r="47" spans="1:15" ht="9.75" customHeight="1">
      <c r="A47" s="716" t="s">
        <v>272</v>
      </c>
      <c r="B47" s="717">
        <v>0</v>
      </c>
      <c r="C47" s="717">
        <v>0</v>
      </c>
      <c r="D47" s="718" t="str">
        <f t="shared" si="0"/>
        <v/>
      </c>
      <c r="E47" s="159"/>
      <c r="F47" s="159"/>
      <c r="G47" s="159"/>
      <c r="H47" s="159"/>
      <c r="I47" s="159"/>
      <c r="J47" s="159"/>
      <c r="L47" s="413" t="s">
        <v>549</v>
      </c>
      <c r="M47" s="416">
        <v>88.915989999999994</v>
      </c>
      <c r="N47" s="416">
        <v>90.332329999999999</v>
      </c>
      <c r="O47" s="413"/>
    </row>
    <row r="48" spans="1:15" ht="9.75" customHeight="1">
      <c r="A48" s="713" t="s">
        <v>117</v>
      </c>
      <c r="B48" s="714">
        <v>0</v>
      </c>
      <c r="C48" s="714">
        <v>0</v>
      </c>
      <c r="D48" s="715" t="str">
        <f t="shared" si="0"/>
        <v/>
      </c>
      <c r="E48" s="159"/>
      <c r="F48" s="159"/>
      <c r="G48" s="159"/>
      <c r="H48" s="159"/>
      <c r="I48" s="159"/>
      <c r="J48" s="159"/>
      <c r="L48" s="413" t="s">
        <v>101</v>
      </c>
      <c r="M48" s="416">
        <v>111.20417</v>
      </c>
      <c r="N48" s="416">
        <v>110.94408</v>
      </c>
      <c r="O48" s="413"/>
    </row>
    <row r="49" spans="1:15" ht="9.75" customHeight="1">
      <c r="A49" s="716" t="s">
        <v>118</v>
      </c>
      <c r="B49" s="717">
        <v>0</v>
      </c>
      <c r="C49" s="717">
        <v>0</v>
      </c>
      <c r="D49" s="718" t="str">
        <f t="shared" si="0"/>
        <v/>
      </c>
      <c r="E49" s="159"/>
      <c r="F49" s="159"/>
      <c r="G49" s="159"/>
      <c r="H49" s="159"/>
      <c r="I49" s="159"/>
      <c r="J49" s="159"/>
      <c r="L49" s="369" t="s">
        <v>104</v>
      </c>
      <c r="M49" s="416">
        <v>125.70907</v>
      </c>
      <c r="N49" s="416"/>
      <c r="O49" s="413"/>
    </row>
    <row r="50" spans="1:15" ht="9.75" customHeight="1">
      <c r="A50" s="713" t="s">
        <v>277</v>
      </c>
      <c r="B50" s="714">
        <v>0</v>
      </c>
      <c r="C50" s="714"/>
      <c r="D50" s="715" t="str">
        <f t="shared" si="0"/>
        <v/>
      </c>
      <c r="E50" s="159"/>
      <c r="F50" s="159"/>
      <c r="G50" s="159"/>
      <c r="H50" s="159"/>
      <c r="I50" s="159"/>
      <c r="J50" s="159"/>
      <c r="L50" s="369" t="s">
        <v>98</v>
      </c>
      <c r="M50" s="416">
        <v>162.96295000000001</v>
      </c>
      <c r="N50" s="416">
        <v>166.33135999999999</v>
      </c>
      <c r="O50" s="413"/>
    </row>
    <row r="51" spans="1:15" ht="9.75" customHeight="1">
      <c r="A51" s="716" t="s">
        <v>125</v>
      </c>
      <c r="B51" s="717">
        <v>0</v>
      </c>
      <c r="C51" s="717">
        <v>0</v>
      </c>
      <c r="D51" s="718" t="str">
        <f t="shared" si="0"/>
        <v/>
      </c>
      <c r="E51" s="159"/>
      <c r="F51" s="159"/>
      <c r="G51" s="159"/>
      <c r="H51" s="159"/>
      <c r="I51" s="159"/>
      <c r="J51" s="159"/>
      <c r="L51" s="369" t="s">
        <v>99</v>
      </c>
      <c r="M51" s="416">
        <v>193.26515000000001</v>
      </c>
      <c r="N51" s="416">
        <v>187.30499</v>
      </c>
      <c r="O51" s="413"/>
    </row>
    <row r="52" spans="1:15" ht="9.75" customHeight="1">
      <c r="A52" s="713" t="s">
        <v>116</v>
      </c>
      <c r="B52" s="714">
        <v>0</v>
      </c>
      <c r="C52" s="714">
        <v>0</v>
      </c>
      <c r="D52" s="715" t="str">
        <f t="shared" si="0"/>
        <v/>
      </c>
      <c r="E52" s="159"/>
      <c r="F52" s="159"/>
      <c r="G52" s="159"/>
      <c r="H52" s="159"/>
      <c r="I52" s="159"/>
      <c r="J52" s="159"/>
      <c r="L52" s="369" t="s">
        <v>97</v>
      </c>
      <c r="M52" s="416">
        <v>202.8955</v>
      </c>
      <c r="N52" s="416">
        <v>217.92993000000001</v>
      </c>
      <c r="O52" s="413"/>
    </row>
    <row r="53" spans="1:15" ht="9.75" customHeight="1">
      <c r="A53" s="716" t="s">
        <v>113</v>
      </c>
      <c r="B53" s="717">
        <v>0</v>
      </c>
      <c r="C53" s="717">
        <v>0</v>
      </c>
      <c r="D53" s="718" t="str">
        <f t="shared" si="0"/>
        <v/>
      </c>
      <c r="E53" s="159"/>
      <c r="F53" s="159"/>
      <c r="G53" s="159"/>
      <c r="H53" s="159"/>
      <c r="I53" s="159"/>
      <c r="J53" s="159"/>
      <c r="L53" s="369" t="s">
        <v>100</v>
      </c>
      <c r="M53" s="416">
        <v>206.37013000000002</v>
      </c>
      <c r="N53" s="416">
        <v>216.07526999999999</v>
      </c>
      <c r="O53" s="413"/>
    </row>
    <row r="54" spans="1:15" ht="9.75" customHeight="1">
      <c r="A54" s="713" t="s">
        <v>282</v>
      </c>
      <c r="B54" s="714">
        <v>0</v>
      </c>
      <c r="C54" s="714">
        <v>0</v>
      </c>
      <c r="D54" s="715" t="str">
        <f t="shared" si="0"/>
        <v/>
      </c>
      <c r="E54" s="159"/>
      <c r="F54" s="159"/>
      <c r="G54" s="159"/>
      <c r="H54" s="159"/>
      <c r="I54" s="159"/>
      <c r="J54" s="159"/>
      <c r="L54" s="369" t="s">
        <v>276</v>
      </c>
      <c r="M54" s="416">
        <v>275.80000999999999</v>
      </c>
      <c r="N54" s="416">
        <v>550.49736000000007</v>
      </c>
      <c r="O54" s="413"/>
    </row>
    <row r="55" spans="1:15" ht="9.75" customHeight="1">
      <c r="A55" s="716" t="s">
        <v>283</v>
      </c>
      <c r="B55" s="717">
        <v>0</v>
      </c>
      <c r="C55" s="717">
        <v>149.13802999999999</v>
      </c>
      <c r="D55" s="718">
        <f t="shared" si="0"/>
        <v>-1</v>
      </c>
      <c r="E55" s="159"/>
      <c r="F55" s="159"/>
      <c r="G55" s="159"/>
      <c r="H55" s="159"/>
      <c r="I55" s="159"/>
      <c r="J55" s="159"/>
      <c r="L55" s="369" t="s">
        <v>106</v>
      </c>
      <c r="M55" s="416">
        <v>286.74772000000002</v>
      </c>
      <c r="N55" s="416">
        <v>0</v>
      </c>
      <c r="O55" s="413"/>
    </row>
    <row r="56" spans="1:15" ht="9.75" customHeight="1">
      <c r="A56" s="713" t="s">
        <v>127</v>
      </c>
      <c r="B56" s="714">
        <v>0</v>
      </c>
      <c r="C56" s="714">
        <v>0</v>
      </c>
      <c r="D56" s="715" t="str">
        <f t="shared" si="0"/>
        <v/>
      </c>
      <c r="E56" s="159"/>
      <c r="F56" s="159"/>
      <c r="G56" s="159"/>
      <c r="H56" s="159"/>
      <c r="I56" s="159"/>
      <c r="J56" s="159"/>
      <c r="L56" s="369" t="s">
        <v>279</v>
      </c>
      <c r="M56" s="416">
        <v>325.89578999999998</v>
      </c>
      <c r="N56" s="416">
        <v>354.04401000000001</v>
      </c>
      <c r="O56" s="413"/>
    </row>
    <row r="57" spans="1:15" ht="9.75" customHeight="1">
      <c r="A57" s="716" t="s">
        <v>115</v>
      </c>
      <c r="B57" s="717">
        <v>0</v>
      </c>
      <c r="C57" s="717">
        <v>0</v>
      </c>
      <c r="D57" s="718" t="str">
        <f t="shared" si="0"/>
        <v/>
      </c>
      <c r="E57" s="159"/>
      <c r="F57" s="159"/>
      <c r="G57" s="159"/>
      <c r="H57" s="159"/>
      <c r="I57" s="159"/>
      <c r="J57" s="159"/>
      <c r="L57" s="369" t="s">
        <v>96</v>
      </c>
      <c r="M57" s="416">
        <v>388.75036</v>
      </c>
      <c r="N57" s="416">
        <v>359.51152000000002</v>
      </c>
      <c r="O57" s="413"/>
    </row>
    <row r="58" spans="1:15" ht="9.75" customHeight="1">
      <c r="A58" s="713" t="s">
        <v>111</v>
      </c>
      <c r="B58" s="714">
        <v>0</v>
      </c>
      <c r="C58" s="714">
        <v>0</v>
      </c>
      <c r="D58" s="715" t="str">
        <f t="shared" si="0"/>
        <v/>
      </c>
      <c r="E58" s="159"/>
      <c r="F58" s="159"/>
      <c r="G58" s="159"/>
      <c r="H58" s="159"/>
      <c r="I58" s="159"/>
      <c r="J58" s="159"/>
      <c r="L58" s="369" t="s">
        <v>273</v>
      </c>
      <c r="M58" s="416">
        <v>465.54184999999995</v>
      </c>
      <c r="N58" s="416">
        <v>448.60810000000004</v>
      </c>
      <c r="O58" s="413"/>
    </row>
    <row r="59" spans="1:15" ht="9.75" customHeight="1">
      <c r="A59" s="696" t="s">
        <v>131</v>
      </c>
      <c r="B59" s="697"/>
      <c r="C59" s="697">
        <v>11.765000000000001</v>
      </c>
      <c r="D59" s="718">
        <f t="shared" si="0"/>
        <v>-1</v>
      </c>
      <c r="E59" s="159"/>
      <c r="F59" s="159"/>
      <c r="G59" s="159"/>
      <c r="H59" s="159"/>
      <c r="I59" s="159"/>
      <c r="J59" s="159"/>
      <c r="L59" s="413" t="s">
        <v>94</v>
      </c>
      <c r="M59" s="416">
        <v>646.27022000000011</v>
      </c>
      <c r="N59" s="416">
        <v>598.33106000000021</v>
      </c>
      <c r="O59" s="413"/>
    </row>
    <row r="60" spans="1:15" ht="9.75" customHeight="1">
      <c r="A60" s="719" t="s">
        <v>707</v>
      </c>
      <c r="B60" s="720"/>
      <c r="C60" s="720">
        <v>268.36696999999998</v>
      </c>
      <c r="D60" s="721">
        <f t="shared" si="0"/>
        <v>-1</v>
      </c>
      <c r="E60" s="159"/>
      <c r="F60" s="159"/>
      <c r="G60" s="159"/>
      <c r="H60" s="159"/>
      <c r="I60" s="159"/>
      <c r="J60" s="159"/>
      <c r="L60" s="369" t="s">
        <v>95</v>
      </c>
      <c r="M60" s="416">
        <v>843.25728000000004</v>
      </c>
      <c r="N60" s="416">
        <v>810.22559999999987</v>
      </c>
      <c r="O60" s="413"/>
    </row>
    <row r="61" spans="1:15" ht="9.75" customHeight="1">
      <c r="A61" s="696" t="s">
        <v>753</v>
      </c>
      <c r="B61" s="697"/>
      <c r="C61" s="697">
        <v>1.4998100000000001</v>
      </c>
      <c r="D61" s="709">
        <f t="shared" si="0"/>
        <v>-1</v>
      </c>
      <c r="E61" s="159"/>
      <c r="F61" s="159"/>
      <c r="G61" s="159"/>
      <c r="H61" s="159"/>
      <c r="I61" s="159"/>
      <c r="J61" s="159"/>
      <c r="L61" s="369" t="s">
        <v>278</v>
      </c>
      <c r="M61" s="416">
        <v>851.2829099999999</v>
      </c>
      <c r="N61" s="416">
        <v>457.25670000000002</v>
      </c>
      <c r="O61" s="413"/>
    </row>
    <row r="62" spans="1:15" ht="9.75" customHeight="1">
      <c r="A62" s="704" t="s">
        <v>130</v>
      </c>
      <c r="B62" s="705"/>
      <c r="C62" s="705">
        <v>0</v>
      </c>
      <c r="D62" s="706" t="str">
        <f t="shared" si="0"/>
        <v/>
      </c>
      <c r="E62" s="159"/>
      <c r="F62" s="159"/>
      <c r="G62" s="159"/>
      <c r="H62" s="159"/>
      <c r="I62" s="159"/>
      <c r="J62" s="159"/>
      <c r="L62" s="369" t="s">
        <v>93</v>
      </c>
      <c r="M62" s="416">
        <v>964.9787399999999</v>
      </c>
      <c r="N62" s="416">
        <v>1059.69</v>
      </c>
      <c r="O62" s="413"/>
    </row>
    <row r="63" spans="1:15" ht="9.75" customHeight="1">
      <c r="A63" s="698" t="s">
        <v>44</v>
      </c>
      <c r="B63" s="699">
        <f>SUM(B7:B62)</f>
        <v>6616.6757800000023</v>
      </c>
      <c r="C63" s="699">
        <f>SUM(C7:C62)</f>
        <v>6427.4603400000033</v>
      </c>
      <c r="D63" s="700">
        <f t="shared" si="0"/>
        <v>2.94386009389207E-2</v>
      </c>
      <c r="E63" s="200"/>
      <c r="F63" s="200"/>
      <c r="G63" s="200"/>
      <c r="H63" s="201"/>
      <c r="I63" s="201"/>
      <c r="J63" s="201"/>
      <c r="L63" s="369"/>
      <c r="M63" s="416"/>
      <c r="N63" s="416"/>
    </row>
    <row r="64" spans="1:15" ht="32.25" customHeight="1">
      <c r="A64" s="915" t="str">
        <f>"Cuadro N° 8: Participación de las empresas generadoras del COES en la máxima potencia coincidente (MW) en "&amp;'1. Resumen'!Q4</f>
        <v>Cuadro N° 8: Participación de las empresas generadoras del COES en la máxima potencia coincidente (MW) en mayo</v>
      </c>
      <c r="B64" s="915"/>
      <c r="C64" s="915"/>
      <c r="D64" s="915"/>
      <c r="E64" s="180"/>
      <c r="F64" s="915" t="str">
        <f>"Gráfico N° 12: Comparación de la máxima potencia coincidente  (MW) de las empresas generadoras del COES en "&amp;'1. Resumen'!Q4</f>
        <v>Gráfico N° 12: Comparación de la máxima potencia coincidente  (MW) de las empresas generadoras del COES en mayo</v>
      </c>
      <c r="G64" s="915"/>
      <c r="H64" s="915"/>
      <c r="I64" s="915"/>
      <c r="J64" s="915"/>
    </row>
    <row r="65" spans="1:10" ht="7.5" customHeight="1">
      <c r="A65" s="692"/>
      <c r="B65" s="692"/>
      <c r="C65" s="692"/>
      <c r="D65" s="692"/>
      <c r="E65" s="180"/>
      <c r="F65" s="692"/>
      <c r="G65" s="692"/>
      <c r="H65" s="692"/>
      <c r="I65" s="692"/>
      <c r="J65" s="692"/>
    </row>
    <row r="66" spans="1:10" ht="12.75" customHeight="1">
      <c r="A66" s="917" t="s">
        <v>705</v>
      </c>
      <c r="B66" s="917"/>
      <c r="C66" s="917"/>
      <c r="D66" s="917"/>
      <c r="E66" s="917"/>
      <c r="F66" s="917"/>
      <c r="G66" s="917"/>
      <c r="H66" s="917"/>
      <c r="I66" s="917"/>
      <c r="J66" s="917"/>
    </row>
    <row r="67" spans="1:10" ht="12.75" customHeight="1">
      <c r="A67" s="917" t="s">
        <v>754</v>
      </c>
      <c r="B67" s="917"/>
      <c r="C67" s="917"/>
      <c r="D67" s="917"/>
      <c r="E67" s="917"/>
      <c r="F67" s="917"/>
      <c r="G67" s="917"/>
      <c r="H67" s="917"/>
      <c r="I67" s="917"/>
      <c r="J67" s="917"/>
    </row>
    <row r="68" spans="1:10" ht="12.75" customHeight="1">
      <c r="A68" s="917" t="s">
        <v>747</v>
      </c>
      <c r="B68" s="917"/>
      <c r="C68" s="917"/>
      <c r="D68" s="917"/>
      <c r="E68" s="917"/>
      <c r="F68" s="917"/>
      <c r="G68" s="917"/>
      <c r="H68" s="917"/>
      <c r="I68" s="917"/>
      <c r="J68" s="917"/>
    </row>
    <row r="69" spans="1:10">
      <c r="A69" s="917" t="s">
        <v>748</v>
      </c>
      <c r="B69" s="917"/>
      <c r="C69" s="917"/>
      <c r="D69" s="917"/>
      <c r="E69" s="917"/>
      <c r="F69" s="917"/>
      <c r="G69" s="917"/>
      <c r="H69" s="917"/>
      <c r="I69" s="917"/>
      <c r="J69" s="917"/>
    </row>
    <row r="70" spans="1:10">
      <c r="A70" s="910"/>
      <c r="B70" s="910"/>
      <c r="C70" s="910"/>
      <c r="D70" s="910"/>
      <c r="E70" s="910"/>
      <c r="F70" s="910"/>
      <c r="G70" s="910"/>
      <c r="H70" s="910"/>
      <c r="I70" s="910"/>
      <c r="J70" s="910"/>
    </row>
    <row r="71" spans="1:10">
      <c r="A71" s="909"/>
      <c r="B71" s="909"/>
      <c r="C71" s="909"/>
      <c r="D71" s="909"/>
      <c r="E71" s="909"/>
      <c r="F71" s="909"/>
      <c r="G71" s="909"/>
      <c r="H71" s="909"/>
      <c r="I71" s="909"/>
      <c r="J71" s="909"/>
    </row>
    <row r="72" spans="1:10">
      <c r="A72" s="933"/>
      <c r="B72" s="933"/>
      <c r="C72" s="933"/>
      <c r="D72" s="933"/>
      <c r="E72" s="933"/>
      <c r="F72" s="933"/>
      <c r="G72" s="933"/>
      <c r="H72" s="933"/>
      <c r="I72" s="933"/>
      <c r="J72" s="933"/>
    </row>
    <row r="73" spans="1:10">
      <c r="A73" s="934"/>
      <c r="B73" s="934"/>
      <c r="C73" s="934"/>
      <c r="D73" s="934"/>
      <c r="E73" s="934"/>
      <c r="F73" s="934"/>
      <c r="G73" s="934"/>
      <c r="H73" s="934"/>
      <c r="I73" s="934"/>
      <c r="J73" s="934"/>
    </row>
  </sheetData>
  <autoFilter ref="L6:N62" xr:uid="{51C3E269-94FB-4FDB-993A-26794E6E080A}">
    <sortState ref="L7:N62">
      <sortCondition ref="M6:M62"/>
    </sortState>
  </autoFilter>
  <mergeCells count="15">
    <mergeCell ref="A69:J69"/>
    <mergeCell ref="A70:J70"/>
    <mergeCell ref="A71:J71"/>
    <mergeCell ref="A72:J72"/>
    <mergeCell ref="A73:J73"/>
    <mergeCell ref="A68:J68"/>
    <mergeCell ref="A66:J66"/>
    <mergeCell ref="A64:D64"/>
    <mergeCell ref="F64:J64"/>
    <mergeCell ref="A1:J1"/>
    <mergeCell ref="A3:A6"/>
    <mergeCell ref="B3:D3"/>
    <mergeCell ref="G3:I3"/>
    <mergeCell ref="D4:D6"/>
    <mergeCell ref="A67:J67"/>
  </mergeCells>
  <pageMargins left="0.7" right="0.5892857142857143" top="0.86956521739130432" bottom="0.61458333333333337" header="0.3" footer="0.3"/>
  <pageSetup orientation="portrait" r:id="rId1"/>
  <headerFooter>
    <oddHeader>&amp;R&amp;7Informe de la Operación Mensual - Mayo 2018
INFSGI-MES-05-2018
07/06/2018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Q26" sqref="Q26"/>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592" customWidth="1"/>
    <col min="12" max="31" width="9.33203125" style="592"/>
    <col min="32" max="16384" width="9.33203125" style="95"/>
  </cols>
  <sheetData>
    <row r="1" spans="1:38" ht="11.25" customHeight="1"/>
    <row r="2" spans="1:38" ht="17.25" customHeight="1">
      <c r="A2" s="920" t="s">
        <v>294</v>
      </c>
      <c r="B2" s="920"/>
      <c r="C2" s="920"/>
      <c r="D2" s="920"/>
      <c r="E2" s="920"/>
      <c r="F2" s="920"/>
      <c r="G2" s="920"/>
      <c r="H2" s="920"/>
    </row>
    <row r="3" spans="1:38" ht="11.25" customHeight="1">
      <c r="A3" s="207"/>
      <c r="B3" s="207"/>
      <c r="C3" s="207"/>
      <c r="D3" s="207"/>
      <c r="E3" s="207"/>
      <c r="F3" s="102"/>
      <c r="G3" s="102"/>
      <c r="H3" s="102"/>
      <c r="I3" s="45"/>
      <c r="J3" s="593"/>
    </row>
    <row r="4" spans="1:38" ht="11.25" customHeight="1">
      <c r="A4" s="935" t="s">
        <v>295</v>
      </c>
      <c r="B4" s="935"/>
      <c r="C4" s="935"/>
      <c r="D4" s="935"/>
      <c r="E4" s="935"/>
      <c r="F4" s="935"/>
      <c r="G4" s="935"/>
      <c r="H4" s="935"/>
      <c r="I4" s="45"/>
      <c r="J4" s="593"/>
    </row>
    <row r="5" spans="1:38" ht="11.25" customHeight="1">
      <c r="A5" s="97"/>
      <c r="B5" s="208"/>
      <c r="C5" s="99"/>
      <c r="D5" s="99"/>
      <c r="E5" s="100"/>
      <c r="F5" s="96"/>
      <c r="G5" s="96"/>
      <c r="H5" s="101"/>
      <c r="I5" s="209"/>
      <c r="J5" s="594"/>
    </row>
    <row r="6" spans="1:38" ht="42.75" customHeight="1">
      <c r="A6" s="97"/>
      <c r="C6" s="216" t="s">
        <v>135</v>
      </c>
      <c r="D6" s="217" t="s">
        <v>741</v>
      </c>
      <c r="E6" s="217" t="s">
        <v>742</v>
      </c>
      <c r="F6" s="218" t="s">
        <v>136</v>
      </c>
      <c r="G6" s="219"/>
      <c r="H6" s="220"/>
    </row>
    <row r="7" spans="1:38" ht="11.25" customHeight="1">
      <c r="A7" s="97"/>
      <c r="C7" s="221" t="s">
        <v>137</v>
      </c>
      <c r="D7" s="222">
        <v>19.291000369999999</v>
      </c>
      <c r="E7" s="222">
        <v>18.913999560000001</v>
      </c>
      <c r="F7" s="223">
        <f>IF(E7=0,"",(D7-E7)/E7)</f>
        <v>1.9932368550821644E-2</v>
      </c>
      <c r="G7" s="219"/>
      <c r="H7" s="220"/>
    </row>
    <row r="8" spans="1:38" ht="11.25" customHeight="1">
      <c r="A8" s="97"/>
      <c r="C8" s="224" t="s">
        <v>138</v>
      </c>
      <c r="D8" s="225">
        <v>115.939003</v>
      </c>
      <c r="E8" s="225">
        <v>125.88200380000001</v>
      </c>
      <c r="F8" s="226">
        <f t="shared" ref="F8:F28" si="0">IF(E8=0,"",(D8-E8)/E8)</f>
        <v>-7.8986674026871553E-2</v>
      </c>
      <c r="G8" s="219"/>
      <c r="H8" s="220"/>
    </row>
    <row r="9" spans="1:38" ht="11.25" customHeight="1">
      <c r="A9" s="97"/>
      <c r="C9" s="221" t="s">
        <v>139</v>
      </c>
      <c r="D9" s="222">
        <v>98.713996890000004</v>
      </c>
      <c r="E9" s="222">
        <v>93.328002929999997</v>
      </c>
      <c r="F9" s="223">
        <f t="shared" si="0"/>
        <v>5.7710374066824659E-2</v>
      </c>
      <c r="G9" s="219"/>
      <c r="H9" s="220"/>
      <c r="M9" s="595" t="s">
        <v>302</v>
      </c>
      <c r="N9" s="596"/>
      <c r="O9" s="596"/>
      <c r="P9" s="596"/>
      <c r="Q9" s="596"/>
      <c r="R9" s="596"/>
      <c r="S9" s="596"/>
      <c r="T9" s="596"/>
      <c r="U9" s="596"/>
      <c r="V9" s="596"/>
      <c r="W9" s="596"/>
      <c r="X9" s="596"/>
      <c r="Y9" s="596"/>
      <c r="Z9" s="596"/>
      <c r="AA9" s="596"/>
      <c r="AB9" s="596"/>
      <c r="AC9" s="596"/>
      <c r="AD9" s="596"/>
      <c r="AE9" s="596"/>
      <c r="AF9" s="422"/>
      <c r="AG9" s="422"/>
      <c r="AH9" s="422"/>
      <c r="AI9" s="422"/>
      <c r="AJ9" s="422"/>
      <c r="AK9" s="422"/>
      <c r="AL9" s="422"/>
    </row>
    <row r="10" spans="1:38" ht="11.25" customHeight="1">
      <c r="A10" s="97"/>
      <c r="C10" s="224" t="s">
        <v>140</v>
      </c>
      <c r="D10" s="225">
        <v>79.174003600000006</v>
      </c>
      <c r="E10" s="225">
        <v>79.918998720000005</v>
      </c>
      <c r="F10" s="226">
        <f t="shared" si="0"/>
        <v>-9.3218775501695706E-3</v>
      </c>
      <c r="G10" s="219"/>
      <c r="H10" s="220"/>
      <c r="M10" s="595" t="s">
        <v>303</v>
      </c>
      <c r="N10" s="596"/>
      <c r="O10" s="596"/>
      <c r="P10" s="596"/>
      <c r="Q10" s="596"/>
      <c r="R10" s="596"/>
      <c r="S10" s="596"/>
      <c r="T10" s="596"/>
      <c r="AD10" s="596"/>
      <c r="AE10" s="596"/>
      <c r="AF10" s="422"/>
      <c r="AG10" s="422"/>
      <c r="AH10" s="422"/>
      <c r="AI10" s="422"/>
      <c r="AJ10" s="422"/>
      <c r="AK10" s="422"/>
      <c r="AL10" s="422"/>
    </row>
    <row r="11" spans="1:38" ht="11.25" customHeight="1">
      <c r="A11" s="97"/>
      <c r="C11" s="221" t="s">
        <v>141</v>
      </c>
      <c r="D11" s="222">
        <v>36.772998809999997</v>
      </c>
      <c r="E11" s="222">
        <v>33.965000150000002</v>
      </c>
      <c r="F11" s="223">
        <f>IF(E11=0,"",(D11-E11)/E11)</f>
        <v>8.2673300385661716E-2</v>
      </c>
      <c r="G11" s="219"/>
      <c r="H11" s="220"/>
      <c r="M11" s="596"/>
      <c r="N11" s="597">
        <v>2016</v>
      </c>
      <c r="O11" s="597">
        <v>2017</v>
      </c>
      <c r="P11" s="597">
        <v>2018</v>
      </c>
      <c r="Q11" s="596"/>
      <c r="R11" s="596"/>
      <c r="S11" s="596"/>
      <c r="T11" s="596"/>
      <c r="AD11" s="596"/>
      <c r="AE11" s="596"/>
      <c r="AF11" s="422"/>
      <c r="AG11" s="422"/>
      <c r="AH11" s="422"/>
      <c r="AI11" s="422"/>
      <c r="AJ11" s="422"/>
      <c r="AK11" s="422"/>
      <c r="AL11" s="422"/>
    </row>
    <row r="12" spans="1:38" ht="11.25" customHeight="1">
      <c r="A12" s="97"/>
      <c r="C12" s="224" t="s">
        <v>142</v>
      </c>
      <c r="D12" s="225">
        <v>25.75</v>
      </c>
      <c r="E12" s="225">
        <v>22.30500031</v>
      </c>
      <c r="F12" s="226">
        <f t="shared" si="0"/>
        <v>0.15444965891596527</v>
      </c>
      <c r="G12" s="219"/>
      <c r="H12" s="220"/>
      <c r="M12" s="598">
        <v>1</v>
      </c>
      <c r="N12" s="599">
        <v>138.54</v>
      </c>
      <c r="O12" s="599">
        <v>93.1</v>
      </c>
      <c r="P12" s="599">
        <v>104.46</v>
      </c>
      <c r="Q12" s="596"/>
      <c r="R12" s="596"/>
      <c r="S12" s="596"/>
      <c r="T12" s="596"/>
      <c r="AD12" s="596"/>
      <c r="AE12" s="596"/>
      <c r="AF12" s="422"/>
      <c r="AG12" s="422"/>
      <c r="AH12" s="422"/>
      <c r="AI12" s="422"/>
      <c r="AJ12" s="422"/>
      <c r="AK12" s="422"/>
      <c r="AL12" s="422"/>
    </row>
    <row r="13" spans="1:38" ht="11.25" customHeight="1">
      <c r="A13" s="97"/>
      <c r="C13" s="221" t="s">
        <v>143</v>
      </c>
      <c r="D13" s="222">
        <v>101.01000209999999</v>
      </c>
      <c r="E13" s="222">
        <v>91.983001709999996</v>
      </c>
      <c r="F13" s="223">
        <f t="shared" si="0"/>
        <v>9.8137701772985531E-2</v>
      </c>
      <c r="G13" s="219"/>
      <c r="H13" s="220"/>
      <c r="M13" s="598">
        <v>2</v>
      </c>
      <c r="N13" s="599">
        <v>140.53</v>
      </c>
      <c r="O13" s="599">
        <v>93.1</v>
      </c>
      <c r="P13" s="599">
        <v>103.4720001</v>
      </c>
      <c r="Q13" s="596"/>
      <c r="R13" s="596"/>
      <c r="S13" s="596"/>
      <c r="T13" s="596"/>
      <c r="AD13" s="596"/>
      <c r="AE13" s="596"/>
      <c r="AF13" s="422"/>
      <c r="AG13" s="422"/>
      <c r="AH13" s="422"/>
      <c r="AI13" s="422"/>
      <c r="AJ13" s="422"/>
      <c r="AK13" s="422"/>
      <c r="AL13" s="422"/>
    </row>
    <row r="14" spans="1:38" ht="11.25" customHeight="1">
      <c r="A14" s="97"/>
      <c r="C14" s="224" t="s">
        <v>144</v>
      </c>
      <c r="D14" s="225">
        <v>223.63699339999999</v>
      </c>
      <c r="E14" s="225">
        <v>232.40499879999999</v>
      </c>
      <c r="F14" s="226">
        <f t="shared" si="0"/>
        <v>-3.7727266819873553E-2</v>
      </c>
      <c r="G14" s="219"/>
      <c r="H14" s="220"/>
      <c r="M14" s="598">
        <v>3</v>
      </c>
      <c r="N14" s="599">
        <v>140.53</v>
      </c>
      <c r="O14" s="599">
        <v>98.74</v>
      </c>
      <c r="P14" s="599">
        <v>106.08699799999999</v>
      </c>
      <c r="Q14" s="596"/>
      <c r="R14" s="596"/>
      <c r="S14" s="596"/>
      <c r="T14" s="596"/>
      <c r="AD14" s="596"/>
      <c r="AE14" s="596"/>
      <c r="AF14" s="422"/>
      <c r="AG14" s="422"/>
      <c r="AH14" s="422"/>
      <c r="AI14" s="422"/>
      <c r="AJ14" s="422"/>
      <c r="AK14" s="422"/>
      <c r="AL14" s="422"/>
    </row>
    <row r="15" spans="1:38" ht="11.25" customHeight="1">
      <c r="A15" s="97"/>
      <c r="C15" s="221" t="s">
        <v>145</v>
      </c>
      <c r="D15" s="222">
        <v>31.739999770000001</v>
      </c>
      <c r="E15" s="222">
        <v>21.469999309999999</v>
      </c>
      <c r="F15" s="223">
        <f t="shared" si="0"/>
        <v>0.47834190917819841</v>
      </c>
      <c r="G15" s="219"/>
      <c r="H15" s="220"/>
      <c r="M15" s="598">
        <v>4</v>
      </c>
      <c r="N15" s="599">
        <v>137.43800000000002</v>
      </c>
      <c r="O15" s="599">
        <v>98.74</v>
      </c>
      <c r="P15" s="599">
        <v>112.7200012</v>
      </c>
      <c r="Q15" s="596"/>
      <c r="R15" s="596"/>
      <c r="S15" s="596"/>
      <c r="T15" s="596"/>
      <c r="AD15" s="596"/>
      <c r="AE15" s="596"/>
      <c r="AF15" s="422"/>
      <c r="AG15" s="422"/>
      <c r="AH15" s="422"/>
      <c r="AI15" s="422"/>
      <c r="AJ15" s="422"/>
      <c r="AK15" s="422"/>
      <c r="AL15" s="422"/>
    </row>
    <row r="16" spans="1:38" ht="11.25" customHeight="1">
      <c r="A16" s="97"/>
      <c r="C16" s="224" t="s">
        <v>146</v>
      </c>
      <c r="D16" s="225">
        <v>314.7409973</v>
      </c>
      <c r="E16" s="225">
        <v>344.881012</v>
      </c>
      <c r="F16" s="226">
        <f t="shared" si="0"/>
        <v>-8.7392502490105176E-2</v>
      </c>
      <c r="G16" s="219"/>
      <c r="H16" s="220"/>
      <c r="M16" s="598">
        <v>5</v>
      </c>
      <c r="N16" s="599">
        <v>137.43800000000002</v>
      </c>
      <c r="O16" s="599">
        <v>125.15</v>
      </c>
      <c r="P16" s="599">
        <v>122.3190002</v>
      </c>
      <c r="Q16" s="596"/>
      <c r="R16" s="596"/>
      <c r="S16" s="596"/>
      <c r="T16" s="596"/>
      <c r="AD16" s="596"/>
      <c r="AE16" s="596"/>
      <c r="AF16" s="422"/>
      <c r="AG16" s="422"/>
      <c r="AH16" s="422"/>
      <c r="AI16" s="422"/>
      <c r="AJ16" s="422"/>
      <c r="AK16" s="422"/>
      <c r="AL16" s="422"/>
    </row>
    <row r="17" spans="1:38" ht="11.25" customHeight="1">
      <c r="A17" s="97"/>
      <c r="C17" s="221" t="s">
        <v>147</v>
      </c>
      <c r="D17" s="222">
        <v>214.08000179999999</v>
      </c>
      <c r="E17" s="222">
        <v>204.3999939</v>
      </c>
      <c r="F17" s="223">
        <f t="shared" si="0"/>
        <v>4.7358161393761138E-2</v>
      </c>
      <c r="G17" s="219"/>
      <c r="H17" s="220"/>
      <c r="M17" s="598">
        <v>6</v>
      </c>
      <c r="N17" s="599">
        <v>137.43800000000002</v>
      </c>
      <c r="O17" s="599">
        <v>125.15</v>
      </c>
      <c r="P17" s="599">
        <v>126.1559982</v>
      </c>
      <c r="Q17" s="596"/>
      <c r="R17" s="596"/>
      <c r="S17" s="596"/>
      <c r="T17" s="596"/>
      <c r="AD17" s="596"/>
      <c r="AE17" s="596"/>
      <c r="AF17" s="422"/>
      <c r="AG17" s="422"/>
      <c r="AH17" s="422"/>
      <c r="AI17" s="422"/>
      <c r="AJ17" s="422"/>
      <c r="AK17" s="422"/>
      <c r="AL17" s="422"/>
    </row>
    <row r="18" spans="1:38" ht="11.25" customHeight="1">
      <c r="A18" s="97"/>
      <c r="C18" s="224" t="s">
        <v>148</v>
      </c>
      <c r="D18" s="225">
        <v>26.978000640000001</v>
      </c>
      <c r="E18" s="225">
        <v>29.68000031</v>
      </c>
      <c r="F18" s="226">
        <f t="shared" si="0"/>
        <v>-9.1037723779592489E-2</v>
      </c>
      <c r="G18" s="219"/>
      <c r="H18" s="220"/>
      <c r="M18" s="598">
        <v>7</v>
      </c>
      <c r="N18" s="599">
        <v>151.05499267578099</v>
      </c>
      <c r="O18" s="599">
        <v>142.99</v>
      </c>
      <c r="P18" s="599">
        <v>142.9900055</v>
      </c>
      <c r="Q18" s="596"/>
      <c r="R18" s="596"/>
      <c r="S18" s="596"/>
      <c r="T18" s="596"/>
      <c r="AD18" s="596"/>
      <c r="AE18" s="596"/>
      <c r="AF18" s="422"/>
      <c r="AG18" s="422"/>
      <c r="AH18" s="422"/>
      <c r="AI18" s="422"/>
      <c r="AJ18" s="422"/>
      <c r="AK18" s="422"/>
      <c r="AL18" s="422"/>
    </row>
    <row r="19" spans="1:38" ht="11.25" customHeight="1">
      <c r="A19" s="97"/>
      <c r="C19" s="221" t="s">
        <v>149</v>
      </c>
      <c r="D19" s="222">
        <v>58.445381159999997</v>
      </c>
      <c r="E19" s="222">
        <v>54.543418879999997</v>
      </c>
      <c r="F19" s="223">
        <f t="shared" si="0"/>
        <v>7.1538644993718439E-2</v>
      </c>
      <c r="G19" s="219"/>
      <c r="H19" s="220"/>
      <c r="M19" s="598">
        <v>8</v>
      </c>
      <c r="N19" s="599">
        <v>151.05499267578099</v>
      </c>
      <c r="O19" s="599">
        <v>142.99</v>
      </c>
      <c r="P19" s="599">
        <v>134.13600159999999</v>
      </c>
      <c r="Q19" s="596"/>
      <c r="R19" s="596"/>
      <c r="S19" s="596"/>
      <c r="T19" s="596"/>
      <c r="AD19" s="596"/>
      <c r="AE19" s="596"/>
      <c r="AF19" s="422"/>
      <c r="AG19" s="422"/>
      <c r="AH19" s="422"/>
      <c r="AI19" s="422"/>
      <c r="AJ19" s="422"/>
      <c r="AK19" s="422"/>
      <c r="AL19" s="422"/>
    </row>
    <row r="20" spans="1:38" ht="11.25" customHeight="1">
      <c r="A20" s="97"/>
      <c r="C20" s="224" t="s">
        <v>150</v>
      </c>
      <c r="D20" s="225">
        <v>26.266790390000001</v>
      </c>
      <c r="E20" s="225">
        <v>27.81631088</v>
      </c>
      <c r="F20" s="226">
        <f t="shared" si="0"/>
        <v>-5.5705463484523689E-2</v>
      </c>
      <c r="G20" s="219"/>
      <c r="H20" s="220"/>
      <c r="M20" s="598">
        <v>9</v>
      </c>
      <c r="N20" s="599">
        <v>165.00500489999999</v>
      </c>
      <c r="O20" s="599">
        <v>159.53</v>
      </c>
      <c r="P20" s="599">
        <v>153.34500120000001</v>
      </c>
      <c r="Q20" s="596"/>
      <c r="R20" s="596"/>
      <c r="S20" s="596"/>
      <c r="T20" s="596"/>
      <c r="AD20" s="596"/>
      <c r="AE20" s="596"/>
      <c r="AF20" s="422"/>
      <c r="AG20" s="422"/>
      <c r="AH20" s="422"/>
      <c r="AI20" s="422"/>
      <c r="AJ20" s="422"/>
      <c r="AK20" s="422"/>
      <c r="AL20" s="422"/>
    </row>
    <row r="21" spans="1:38" ht="11.25" customHeight="1">
      <c r="A21" s="97"/>
      <c r="C21" s="221" t="s">
        <v>151</v>
      </c>
      <c r="D21" s="435" t="s">
        <v>319</v>
      </c>
      <c r="E21" s="435" t="s">
        <v>319</v>
      </c>
      <c r="F21" s="223"/>
      <c r="G21" s="219"/>
      <c r="H21" s="220"/>
      <c r="M21" s="598">
        <v>10</v>
      </c>
      <c r="N21" s="599">
        <v>165.00500489999999</v>
      </c>
      <c r="O21" s="599">
        <v>159.53</v>
      </c>
      <c r="P21" s="599">
        <v>153.0590057</v>
      </c>
      <c r="Q21" s="596"/>
      <c r="R21" s="596"/>
      <c r="S21" s="596"/>
      <c r="T21" s="596"/>
      <c r="AD21" s="596"/>
      <c r="AE21" s="596"/>
      <c r="AF21" s="422"/>
      <c r="AG21" s="422"/>
      <c r="AH21" s="422"/>
      <c r="AI21" s="422"/>
      <c r="AJ21" s="422"/>
      <c r="AK21" s="422"/>
      <c r="AL21" s="422"/>
    </row>
    <row r="22" spans="1:38" ht="11.25" customHeight="1">
      <c r="A22" s="97"/>
      <c r="C22" s="224" t="s">
        <v>152</v>
      </c>
      <c r="D22" s="225">
        <v>6.5370001789999996</v>
      </c>
      <c r="E22" s="225">
        <v>8.3229999540000001</v>
      </c>
      <c r="F22" s="226">
        <f t="shared" si="0"/>
        <v>-0.21458606090003116</v>
      </c>
      <c r="G22" s="219"/>
      <c r="H22" s="220"/>
      <c r="M22" s="598">
        <v>11</v>
      </c>
      <c r="N22" s="599">
        <v>186.45199584960901</v>
      </c>
      <c r="O22" s="599">
        <v>184.94</v>
      </c>
      <c r="P22" s="599">
        <v>162.93200680000001</v>
      </c>
      <c r="Q22" s="600"/>
      <c r="R22" s="600"/>
      <c r="S22" s="600"/>
      <c r="T22" s="600"/>
      <c r="AD22" s="600"/>
      <c r="AE22" s="600"/>
      <c r="AF22" s="423"/>
      <c r="AG22" s="423"/>
      <c r="AH22" s="423"/>
      <c r="AI22" s="423"/>
      <c r="AJ22" s="423"/>
      <c r="AK22" s="423"/>
      <c r="AL22" s="423"/>
    </row>
    <row r="23" spans="1:38" ht="11.25" customHeight="1">
      <c r="A23" s="97"/>
      <c r="C23" s="221" t="s">
        <v>153</v>
      </c>
      <c r="D23" s="222">
        <v>7.3909997939999998</v>
      </c>
      <c r="E23" s="222">
        <v>8.3020000459999999</v>
      </c>
      <c r="F23" s="223">
        <f t="shared" si="0"/>
        <v>-0.10973262430165012</v>
      </c>
      <c r="G23" s="219"/>
      <c r="H23" s="220"/>
      <c r="M23" s="598">
        <v>12</v>
      </c>
      <c r="N23" s="599">
        <v>186.45199584960901</v>
      </c>
      <c r="O23" s="599">
        <v>184.94</v>
      </c>
      <c r="P23" s="599">
        <v>172.76199339999999</v>
      </c>
      <c r="Q23" s="600"/>
      <c r="R23" s="600"/>
      <c r="S23" s="600"/>
      <c r="T23" s="600"/>
      <c r="AD23" s="600"/>
      <c r="AE23" s="600"/>
      <c r="AF23" s="423"/>
      <c r="AG23" s="423"/>
      <c r="AH23" s="423"/>
      <c r="AI23" s="423"/>
      <c r="AJ23" s="423"/>
      <c r="AK23" s="423"/>
      <c r="AL23" s="423"/>
    </row>
    <row r="24" spans="1:38" ht="11.25" customHeight="1">
      <c r="A24" s="97"/>
      <c r="C24" s="224" t="s">
        <v>296</v>
      </c>
      <c r="D24" s="225">
        <v>0.165000007</v>
      </c>
      <c r="E24" s="225">
        <v>10.93500042</v>
      </c>
      <c r="F24" s="226">
        <f t="shared" si="0"/>
        <v>-0.98491083670209867</v>
      </c>
      <c r="G24" s="219"/>
      <c r="H24" s="220"/>
      <c r="M24" s="598">
        <v>13</v>
      </c>
      <c r="N24" s="599">
        <v>195.64999389648401</v>
      </c>
      <c r="O24" s="599">
        <v>203.73</v>
      </c>
      <c r="P24" s="599">
        <v>182.13900760000001</v>
      </c>
      <c r="Q24" s="600"/>
      <c r="R24" s="600"/>
      <c r="S24" s="600"/>
      <c r="T24" s="600"/>
      <c r="AD24" s="600"/>
      <c r="AE24" s="600"/>
      <c r="AF24" s="423"/>
      <c r="AG24" s="423"/>
      <c r="AH24" s="423"/>
      <c r="AI24" s="423"/>
      <c r="AJ24" s="423"/>
      <c r="AK24" s="423"/>
      <c r="AL24" s="423"/>
    </row>
    <row r="25" spans="1:38" ht="11.25" customHeight="1">
      <c r="A25" s="97"/>
      <c r="C25" s="221" t="s">
        <v>154</v>
      </c>
      <c r="D25" s="222">
        <v>218.89799500000001</v>
      </c>
      <c r="E25" s="222">
        <v>227.41999820000001</v>
      </c>
      <c r="F25" s="223">
        <f t="shared" si="0"/>
        <v>-3.7472532175932452E-2</v>
      </c>
      <c r="G25" s="219"/>
      <c r="H25" s="220"/>
      <c r="M25" s="598">
        <v>14</v>
      </c>
      <c r="N25" s="599">
        <v>195.64999389648401</v>
      </c>
      <c r="O25" s="599">
        <v>203.73</v>
      </c>
      <c r="P25" s="599">
        <v>191.4750061</v>
      </c>
      <c r="Q25" s="600"/>
      <c r="R25" s="600"/>
      <c r="S25" s="600"/>
      <c r="T25" s="600"/>
      <c r="AD25" s="600"/>
      <c r="AE25" s="600"/>
      <c r="AF25" s="423"/>
      <c r="AG25" s="423"/>
      <c r="AH25" s="423"/>
      <c r="AI25" s="423"/>
      <c r="AJ25" s="423"/>
      <c r="AK25" s="423"/>
      <c r="AL25" s="423"/>
    </row>
    <row r="26" spans="1:38" ht="11.25" customHeight="1">
      <c r="A26" s="97"/>
      <c r="C26" s="224" t="s">
        <v>155</v>
      </c>
      <c r="D26" s="225">
        <v>48.661998750000002</v>
      </c>
      <c r="E26" s="225">
        <v>48.979999540000001</v>
      </c>
      <c r="F26" s="226">
        <f t="shared" si="0"/>
        <v>-6.4924620862909718E-3</v>
      </c>
      <c r="G26" s="227"/>
      <c r="H26" s="227"/>
      <c r="M26" s="598">
        <v>15</v>
      </c>
      <c r="N26" s="599">
        <v>201.93600463867099</v>
      </c>
      <c r="O26" s="599">
        <v>203.73</v>
      </c>
      <c r="P26" s="599">
        <v>198.43899540000001</v>
      </c>
      <c r="Q26" s="600"/>
      <c r="R26" s="600"/>
      <c r="S26" s="600"/>
      <c r="T26" s="600"/>
      <c r="AD26" s="600"/>
      <c r="AE26" s="600"/>
      <c r="AF26" s="423"/>
      <c r="AG26" s="423"/>
      <c r="AH26" s="423"/>
      <c r="AI26" s="423"/>
      <c r="AJ26" s="423"/>
      <c r="AK26" s="423"/>
      <c r="AL26" s="423"/>
    </row>
    <row r="27" spans="1:38" ht="11.25" customHeight="1">
      <c r="A27" s="97"/>
      <c r="C27" s="221" t="s">
        <v>156</v>
      </c>
      <c r="D27" s="222">
        <v>67.224000000000004</v>
      </c>
      <c r="E27" s="222">
        <v>67.040000000000006</v>
      </c>
      <c r="F27" s="223">
        <f t="shared" si="0"/>
        <v>2.7446300715990076E-3</v>
      </c>
      <c r="G27" s="227"/>
      <c r="H27" s="227"/>
      <c r="M27" s="598">
        <v>16</v>
      </c>
      <c r="N27" s="599">
        <v>201.93600463867099</v>
      </c>
      <c r="O27" s="599">
        <v>222.8</v>
      </c>
      <c r="P27" s="599">
        <v>201.52999879999999</v>
      </c>
      <c r="Q27" s="600"/>
      <c r="R27" s="600"/>
      <c r="S27" s="600"/>
      <c r="T27" s="600"/>
      <c r="AD27" s="600"/>
      <c r="AE27" s="600"/>
      <c r="AF27" s="423"/>
      <c r="AG27" s="423"/>
      <c r="AH27" s="423"/>
      <c r="AI27" s="423"/>
      <c r="AJ27" s="423"/>
      <c r="AK27" s="423"/>
      <c r="AL27" s="423"/>
    </row>
    <row r="28" spans="1:38" ht="11.25" customHeight="1">
      <c r="A28" s="97"/>
      <c r="C28" s="224" t="s">
        <v>157</v>
      </c>
      <c r="D28" s="225">
        <v>379.85501099999999</v>
      </c>
      <c r="E28" s="225">
        <v>379.85501099999999</v>
      </c>
      <c r="F28" s="226">
        <f t="shared" si="0"/>
        <v>0</v>
      </c>
      <c r="G28" s="227"/>
      <c r="H28" s="227"/>
      <c r="M28" s="598">
        <v>17</v>
      </c>
      <c r="N28" s="599">
        <v>201.93600463867099</v>
      </c>
      <c r="O28" s="599">
        <v>222.8</v>
      </c>
      <c r="P28" s="599">
        <v>206.03700259999999</v>
      </c>
      <c r="Q28" s="600"/>
      <c r="R28" s="600"/>
      <c r="S28" s="600"/>
      <c r="T28" s="600"/>
      <c r="AD28" s="600"/>
      <c r="AE28" s="600"/>
      <c r="AF28" s="423"/>
      <c r="AG28" s="423"/>
      <c r="AH28" s="423"/>
      <c r="AI28" s="423"/>
      <c r="AJ28" s="423"/>
      <c r="AK28" s="423"/>
      <c r="AL28" s="423"/>
    </row>
    <row r="29" spans="1:38" ht="35.25" customHeight="1">
      <c r="A29" s="94"/>
      <c r="C29" s="936"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mayo) </v>
      </c>
      <c r="D29" s="936"/>
      <c r="E29" s="936"/>
      <c r="F29" s="936"/>
      <c r="G29" s="227"/>
      <c r="H29" s="227"/>
      <c r="I29" s="212"/>
      <c r="J29" s="601"/>
      <c r="M29" s="598">
        <v>18</v>
      </c>
      <c r="N29" s="599">
        <v>207.58900451660099</v>
      </c>
      <c r="O29" s="599">
        <v>225.58</v>
      </c>
      <c r="P29" s="599">
        <v>213.67399599999999</v>
      </c>
      <c r="Q29" s="600"/>
      <c r="R29" s="600"/>
      <c r="S29" s="600"/>
      <c r="T29" s="600"/>
      <c r="AD29" s="600"/>
      <c r="AE29" s="600"/>
      <c r="AF29" s="423"/>
      <c r="AG29" s="423"/>
      <c r="AH29" s="423"/>
      <c r="AI29" s="423"/>
      <c r="AJ29" s="423"/>
      <c r="AK29" s="423"/>
      <c r="AL29" s="423"/>
    </row>
    <row r="30" spans="1:38" ht="11.25" customHeight="1">
      <c r="A30" s="94"/>
      <c r="B30" s="229"/>
      <c r="C30" s="229" t="s">
        <v>320</v>
      </c>
      <c r="D30" s="229"/>
      <c r="E30" s="229"/>
      <c r="F30" s="227"/>
      <c r="G30" s="227"/>
      <c r="H30" s="227"/>
      <c r="M30" s="598">
        <v>19</v>
      </c>
      <c r="N30" s="599">
        <v>207.58900451660099</v>
      </c>
      <c r="O30" s="599">
        <v>225.58</v>
      </c>
      <c r="P30" s="599">
        <v>216.75700380000001</v>
      </c>
      <c r="Q30" s="600"/>
      <c r="R30" s="600"/>
      <c r="S30" s="600"/>
      <c r="T30" s="600"/>
      <c r="AD30" s="600"/>
      <c r="AE30" s="600"/>
      <c r="AF30" s="423"/>
      <c r="AG30" s="423"/>
      <c r="AH30" s="423"/>
      <c r="AI30" s="423"/>
      <c r="AJ30" s="423"/>
      <c r="AK30" s="423"/>
      <c r="AL30" s="423"/>
    </row>
    <row r="31" spans="1:38" ht="11.25" customHeight="1">
      <c r="A31" s="94"/>
      <c r="B31" s="229"/>
      <c r="C31" s="229"/>
      <c r="D31" s="229"/>
      <c r="E31" s="229"/>
      <c r="F31" s="227"/>
      <c r="G31" s="227"/>
      <c r="H31" s="227"/>
      <c r="I31" s="212"/>
      <c r="J31" s="601"/>
      <c r="M31" s="598">
        <v>20</v>
      </c>
      <c r="N31" s="599">
        <v>205.7</v>
      </c>
      <c r="O31" s="599">
        <v>226.61</v>
      </c>
      <c r="P31" s="599">
        <v>217.29400630000001</v>
      </c>
      <c r="Q31" s="600"/>
      <c r="R31" s="600"/>
      <c r="S31" s="600"/>
      <c r="T31" s="600"/>
      <c r="AD31" s="600"/>
      <c r="AE31" s="600"/>
      <c r="AF31" s="423"/>
      <c r="AG31" s="423"/>
      <c r="AH31" s="423"/>
      <c r="AI31" s="423"/>
      <c r="AJ31" s="423"/>
      <c r="AK31" s="423"/>
      <c r="AL31" s="423"/>
    </row>
    <row r="32" spans="1:38" ht="11.25" customHeight="1">
      <c r="A32" s="935" t="s">
        <v>507</v>
      </c>
      <c r="B32" s="935"/>
      <c r="C32" s="935"/>
      <c r="D32" s="935"/>
      <c r="E32" s="935"/>
      <c r="F32" s="935"/>
      <c r="G32" s="935"/>
      <c r="H32" s="935"/>
      <c r="I32" s="211"/>
      <c r="J32" s="601"/>
      <c r="M32" s="598">
        <v>21</v>
      </c>
      <c r="N32" s="599">
        <v>205.7</v>
      </c>
      <c r="O32" s="599">
        <v>226.61</v>
      </c>
      <c r="P32" s="599">
        <v>218.3190002</v>
      </c>
      <c r="Q32" s="600"/>
      <c r="R32" s="600"/>
      <c r="S32" s="600"/>
      <c r="T32" s="600"/>
      <c r="AD32" s="600"/>
      <c r="AE32" s="600"/>
      <c r="AF32" s="423"/>
      <c r="AG32" s="423"/>
      <c r="AH32" s="423"/>
      <c r="AI32" s="423"/>
      <c r="AJ32" s="423"/>
      <c r="AK32" s="423"/>
      <c r="AL32" s="423"/>
    </row>
    <row r="33" spans="1:38" ht="11.25" customHeight="1">
      <c r="A33" s="94"/>
      <c r="B33" s="102"/>
      <c r="C33" s="102"/>
      <c r="D33" s="102"/>
      <c r="E33" s="102"/>
      <c r="F33" s="102"/>
      <c r="G33" s="102"/>
      <c r="H33" s="102"/>
      <c r="I33" s="211"/>
      <c r="J33" s="601"/>
      <c r="M33" s="598">
        <v>22</v>
      </c>
      <c r="N33" s="599">
        <v>204.65</v>
      </c>
      <c r="O33" s="599">
        <v>227.42</v>
      </c>
      <c r="P33" s="599">
        <v>218.79899599999999</v>
      </c>
      <c r="Q33" s="600"/>
      <c r="R33" s="600"/>
      <c r="S33" s="600"/>
      <c r="T33" s="600"/>
      <c r="AD33" s="600"/>
      <c r="AE33" s="600"/>
      <c r="AF33" s="423"/>
      <c r="AG33" s="423"/>
      <c r="AH33" s="423"/>
      <c r="AI33" s="423"/>
      <c r="AJ33" s="423"/>
      <c r="AK33" s="423"/>
      <c r="AL33" s="423"/>
    </row>
    <row r="34" spans="1:38" ht="11.25" customHeight="1">
      <c r="A34" s="94"/>
      <c r="B34" s="102"/>
      <c r="C34" s="102"/>
      <c r="D34" s="102"/>
      <c r="E34" s="102"/>
      <c r="F34" s="102"/>
      <c r="G34" s="102"/>
      <c r="H34" s="102"/>
      <c r="I34" s="211"/>
      <c r="J34" s="601"/>
      <c r="M34" s="598">
        <v>23</v>
      </c>
      <c r="N34" s="599">
        <v>204.65</v>
      </c>
      <c r="O34" s="599">
        <v>227.42</v>
      </c>
      <c r="P34" s="599"/>
      <c r="Q34" s="600"/>
      <c r="R34" s="600"/>
      <c r="S34" s="600"/>
      <c r="T34" s="600"/>
      <c r="AD34" s="600"/>
      <c r="AE34" s="600"/>
      <c r="AF34" s="423"/>
      <c r="AG34" s="423"/>
      <c r="AH34" s="423"/>
      <c r="AI34" s="423"/>
      <c r="AJ34" s="423"/>
      <c r="AK34" s="423"/>
      <c r="AL34" s="423"/>
    </row>
    <row r="35" spans="1:38" ht="11.25" customHeight="1">
      <c r="A35" s="94"/>
      <c r="B35" s="102"/>
      <c r="C35" s="102"/>
      <c r="D35" s="102"/>
      <c r="E35" s="102"/>
      <c r="F35" s="102"/>
      <c r="G35" s="102"/>
      <c r="H35" s="102"/>
      <c r="I35" s="213"/>
      <c r="J35" s="601"/>
      <c r="M35" s="598">
        <v>24</v>
      </c>
      <c r="N35" s="599">
        <v>200.38</v>
      </c>
      <c r="O35" s="599">
        <v>227.45</v>
      </c>
      <c r="P35" s="599"/>
      <c r="Q35" s="600"/>
      <c r="R35" s="600"/>
      <c r="S35" s="600"/>
      <c r="T35" s="600"/>
      <c r="AD35" s="600"/>
      <c r="AE35" s="600"/>
      <c r="AF35" s="423"/>
      <c r="AG35" s="423"/>
      <c r="AH35" s="423"/>
      <c r="AI35" s="423"/>
      <c r="AJ35" s="423"/>
      <c r="AK35" s="423"/>
      <c r="AL35" s="423"/>
    </row>
    <row r="36" spans="1:38" ht="11.25" customHeight="1">
      <c r="A36" s="94"/>
      <c r="B36" s="102"/>
      <c r="C36" s="102"/>
      <c r="D36" s="102"/>
      <c r="E36" s="102"/>
      <c r="F36" s="102"/>
      <c r="G36" s="102"/>
      <c r="H36" s="102"/>
      <c r="I36" s="211"/>
      <c r="J36" s="601"/>
      <c r="M36" s="598">
        <v>25</v>
      </c>
      <c r="N36" s="599">
        <v>200.38</v>
      </c>
      <c r="O36" s="599">
        <v>227.45</v>
      </c>
      <c r="P36" s="599"/>
      <c r="Q36" s="600"/>
      <c r="R36" s="600"/>
      <c r="S36" s="600"/>
      <c r="T36" s="600"/>
      <c r="AD36" s="600"/>
      <c r="AE36" s="600"/>
      <c r="AF36" s="423"/>
      <c r="AG36" s="423"/>
      <c r="AH36" s="423"/>
      <c r="AI36" s="423"/>
      <c r="AJ36" s="423"/>
      <c r="AK36" s="423"/>
      <c r="AL36" s="423"/>
    </row>
    <row r="37" spans="1:38" ht="11.25" customHeight="1">
      <c r="A37" s="94"/>
      <c r="B37" s="102"/>
      <c r="C37" s="102"/>
      <c r="D37" s="102"/>
      <c r="E37" s="102"/>
      <c r="F37" s="102"/>
      <c r="G37" s="102"/>
      <c r="H37" s="102"/>
      <c r="I37" s="211"/>
      <c r="J37" s="602"/>
      <c r="M37" s="598">
        <v>26</v>
      </c>
      <c r="N37" s="599">
        <v>193.55099487304599</v>
      </c>
      <c r="O37" s="599">
        <v>225.56</v>
      </c>
      <c r="P37" s="599"/>
      <c r="Q37" s="600"/>
      <c r="R37" s="600"/>
      <c r="S37" s="600"/>
      <c r="T37" s="600"/>
      <c r="AD37" s="600"/>
      <c r="AE37" s="600"/>
      <c r="AF37" s="423"/>
      <c r="AG37" s="423"/>
      <c r="AH37" s="423"/>
      <c r="AI37" s="423"/>
      <c r="AJ37" s="423"/>
      <c r="AK37" s="423"/>
      <c r="AL37" s="423"/>
    </row>
    <row r="38" spans="1:38" ht="11.25" customHeight="1">
      <c r="A38" s="94"/>
      <c r="B38" s="102"/>
      <c r="C38" s="102"/>
      <c r="D38" s="102"/>
      <c r="E38" s="102"/>
      <c r="F38" s="102"/>
      <c r="G38" s="102"/>
      <c r="H38" s="102"/>
      <c r="I38" s="211"/>
      <c r="J38" s="602"/>
      <c r="M38" s="598">
        <v>27</v>
      </c>
      <c r="N38" s="599">
        <v>193.55099487304599</v>
      </c>
      <c r="O38" s="599">
        <v>225.56</v>
      </c>
      <c r="P38" s="599"/>
      <c r="Q38" s="600"/>
      <c r="R38" s="600"/>
      <c r="S38" s="600"/>
      <c r="T38" s="600"/>
      <c r="AD38" s="600"/>
      <c r="AE38" s="600"/>
      <c r="AF38" s="423"/>
      <c r="AG38" s="423"/>
      <c r="AH38" s="423"/>
      <c r="AI38" s="423"/>
      <c r="AJ38" s="423"/>
      <c r="AK38" s="423"/>
      <c r="AL38" s="423"/>
    </row>
    <row r="39" spans="1:38" ht="11.25" customHeight="1">
      <c r="A39" s="94"/>
      <c r="B39" s="102"/>
      <c r="C39" s="102"/>
      <c r="D39" s="102"/>
      <c r="E39" s="102"/>
      <c r="F39" s="102"/>
      <c r="G39" s="102"/>
      <c r="H39" s="102"/>
      <c r="I39" s="211"/>
      <c r="J39" s="603"/>
      <c r="M39" s="598">
        <v>28</v>
      </c>
      <c r="N39" s="599">
        <v>186.01199339999999</v>
      </c>
      <c r="O39" s="604">
        <v>225.56</v>
      </c>
      <c r="P39" s="604"/>
      <c r="Q39" s="600"/>
      <c r="R39" s="600"/>
      <c r="S39" s="600"/>
      <c r="T39" s="600"/>
      <c r="AD39" s="600"/>
      <c r="AE39" s="600"/>
      <c r="AF39" s="423"/>
      <c r="AG39" s="423"/>
      <c r="AH39" s="423"/>
      <c r="AI39" s="423"/>
      <c r="AJ39" s="423"/>
      <c r="AK39" s="423"/>
      <c r="AL39" s="423"/>
    </row>
    <row r="40" spans="1:38" ht="11.25" customHeight="1">
      <c r="A40" s="94"/>
      <c r="B40" s="102"/>
      <c r="C40" s="102"/>
      <c r="D40" s="102"/>
      <c r="E40" s="102"/>
      <c r="F40" s="102"/>
      <c r="G40" s="102"/>
      <c r="H40" s="102"/>
      <c r="I40" s="211"/>
      <c r="J40" s="603"/>
      <c r="M40" s="598">
        <v>29</v>
      </c>
      <c r="N40" s="599">
        <v>186.01199339999999</v>
      </c>
      <c r="O40" s="599">
        <v>222.04</v>
      </c>
      <c r="P40" s="599"/>
      <c r="Q40" s="600"/>
      <c r="R40" s="600"/>
      <c r="S40" s="600"/>
      <c r="T40" s="600"/>
      <c r="AD40" s="600"/>
      <c r="AE40" s="600"/>
      <c r="AF40" s="423"/>
      <c r="AG40" s="423"/>
      <c r="AH40" s="423"/>
      <c r="AI40" s="423"/>
      <c r="AJ40" s="423"/>
      <c r="AK40" s="423"/>
      <c r="AL40" s="423"/>
    </row>
    <row r="41" spans="1:38" ht="11.25" customHeight="1">
      <c r="A41" s="94"/>
      <c r="B41" s="102"/>
      <c r="C41" s="102"/>
      <c r="D41" s="102"/>
      <c r="E41" s="102"/>
      <c r="F41" s="102"/>
      <c r="G41" s="102"/>
      <c r="H41" s="102"/>
      <c r="I41" s="211"/>
      <c r="J41" s="603"/>
      <c r="M41" s="598">
        <v>30</v>
      </c>
      <c r="N41" s="599">
        <v>186.01199339999999</v>
      </c>
      <c r="O41" s="599">
        <v>222.04</v>
      </c>
      <c r="P41" s="599"/>
      <c r="Q41" s="600"/>
      <c r="R41" s="600"/>
      <c r="S41" s="600"/>
      <c r="T41" s="600"/>
      <c r="AD41" s="600"/>
      <c r="AE41" s="600"/>
      <c r="AF41" s="423"/>
      <c r="AG41" s="423"/>
      <c r="AH41" s="423"/>
      <c r="AI41" s="423"/>
      <c r="AJ41" s="423"/>
      <c r="AK41" s="423"/>
      <c r="AL41" s="423"/>
    </row>
    <row r="42" spans="1:38" ht="11.25" customHeight="1">
      <c r="A42" s="94"/>
      <c r="B42" s="102"/>
      <c r="C42" s="102"/>
      <c r="D42" s="102"/>
      <c r="E42" s="102"/>
      <c r="F42" s="102"/>
      <c r="G42" s="102"/>
      <c r="H42" s="102"/>
      <c r="I42" s="213"/>
      <c r="J42" s="602"/>
      <c r="M42" s="598">
        <v>31</v>
      </c>
      <c r="N42" s="599">
        <v>178.58200070000001</v>
      </c>
      <c r="O42" s="599">
        <v>213.13</v>
      </c>
      <c r="P42" s="599"/>
      <c r="Q42" s="600"/>
      <c r="R42" s="600"/>
      <c r="S42" s="600"/>
      <c r="T42" s="600"/>
      <c r="AD42" s="600"/>
      <c r="AE42" s="600"/>
      <c r="AF42" s="423"/>
      <c r="AG42" s="423"/>
      <c r="AH42" s="423"/>
      <c r="AI42" s="423"/>
      <c r="AJ42" s="423"/>
      <c r="AK42" s="423"/>
      <c r="AL42" s="423"/>
    </row>
    <row r="43" spans="1:38" ht="11.25" customHeight="1">
      <c r="A43" s="94"/>
      <c r="B43" s="102"/>
      <c r="C43" s="102"/>
      <c r="D43" s="102"/>
      <c r="E43" s="102"/>
      <c r="F43" s="102"/>
      <c r="G43" s="102"/>
      <c r="H43" s="102"/>
      <c r="I43" s="211"/>
      <c r="J43" s="602"/>
      <c r="M43" s="598">
        <v>32</v>
      </c>
      <c r="N43" s="599">
        <v>178.58200070000001</v>
      </c>
      <c r="O43" s="599">
        <v>213.13</v>
      </c>
      <c r="P43" s="599"/>
      <c r="Q43" s="600"/>
      <c r="R43" s="600"/>
      <c r="S43" s="600"/>
      <c r="T43" s="600"/>
      <c r="AD43" s="600"/>
      <c r="AE43" s="600"/>
      <c r="AF43" s="423"/>
      <c r="AG43" s="423"/>
      <c r="AH43" s="423"/>
      <c r="AI43" s="423"/>
      <c r="AJ43" s="423"/>
      <c r="AK43" s="423"/>
      <c r="AL43" s="423"/>
    </row>
    <row r="44" spans="1:38" ht="11.25" customHeight="1">
      <c r="A44" s="94"/>
      <c r="B44" s="102"/>
      <c r="C44" s="102"/>
      <c r="D44" s="102"/>
      <c r="E44" s="102"/>
      <c r="F44" s="102"/>
      <c r="G44" s="102"/>
      <c r="H44" s="102"/>
      <c r="I44" s="211"/>
      <c r="J44" s="602"/>
      <c r="M44" s="598">
        <v>33</v>
      </c>
      <c r="N44" s="599">
        <v>169.01100159999999</v>
      </c>
      <c r="O44" s="599">
        <v>205.97</v>
      </c>
      <c r="P44" s="599"/>
      <c r="Q44" s="600"/>
      <c r="R44" s="600"/>
      <c r="S44" s="600"/>
      <c r="T44" s="600"/>
      <c r="AD44" s="600"/>
      <c r="AE44" s="600"/>
      <c r="AF44" s="423"/>
      <c r="AG44" s="423"/>
      <c r="AH44" s="423"/>
      <c r="AI44" s="423"/>
      <c r="AJ44" s="423"/>
      <c r="AK44" s="423"/>
      <c r="AL44" s="423"/>
    </row>
    <row r="45" spans="1:38" ht="11.25" customHeight="1">
      <c r="A45" s="94"/>
      <c r="B45" s="102"/>
      <c r="C45" s="102"/>
      <c r="D45" s="102"/>
      <c r="E45" s="102"/>
      <c r="F45" s="102"/>
      <c r="G45" s="102"/>
      <c r="H45" s="102"/>
      <c r="I45" s="214"/>
      <c r="J45" s="605"/>
      <c r="M45" s="598">
        <v>34</v>
      </c>
      <c r="N45" s="599">
        <v>169.01100159999999</v>
      </c>
      <c r="O45" s="599">
        <v>199.49</v>
      </c>
      <c r="P45" s="599"/>
      <c r="Q45" s="600"/>
      <c r="R45" s="600"/>
      <c r="S45" s="600"/>
      <c r="T45" s="600"/>
      <c r="AD45" s="600"/>
      <c r="AE45" s="600"/>
      <c r="AF45" s="423"/>
      <c r="AG45" s="423"/>
      <c r="AH45" s="423"/>
      <c r="AI45" s="423"/>
      <c r="AJ45" s="423"/>
      <c r="AK45" s="423"/>
      <c r="AL45" s="423"/>
    </row>
    <row r="46" spans="1:38" ht="11.25" customHeight="1">
      <c r="A46" s="94"/>
      <c r="B46" s="102"/>
      <c r="C46" s="102"/>
      <c r="D46" s="102"/>
      <c r="E46" s="102"/>
      <c r="F46" s="102"/>
      <c r="G46" s="102"/>
      <c r="H46" s="102"/>
      <c r="I46" s="215"/>
      <c r="J46" s="606"/>
      <c r="M46" s="598">
        <v>35</v>
      </c>
      <c r="N46" s="607">
        <v>158.09199523925699</v>
      </c>
      <c r="O46" s="599">
        <v>193.4</v>
      </c>
      <c r="P46" s="599"/>
      <c r="Q46" s="600"/>
      <c r="R46" s="600"/>
      <c r="S46" s="600"/>
      <c r="T46" s="600"/>
      <c r="AD46" s="600"/>
      <c r="AE46" s="600"/>
      <c r="AF46" s="423"/>
      <c r="AG46" s="423"/>
      <c r="AH46" s="423"/>
      <c r="AI46" s="423"/>
      <c r="AJ46" s="423"/>
      <c r="AK46" s="423"/>
      <c r="AL46" s="423"/>
    </row>
    <row r="47" spans="1:38" ht="11.25" customHeight="1">
      <c r="A47" s="94"/>
      <c r="B47" s="102"/>
      <c r="C47" s="102"/>
      <c r="D47" s="102"/>
      <c r="E47" s="102"/>
      <c r="F47" s="102"/>
      <c r="G47" s="102"/>
      <c r="H47" s="102"/>
      <c r="I47" s="215"/>
      <c r="J47" s="606"/>
      <c r="M47" s="598">
        <v>36</v>
      </c>
      <c r="N47" s="607">
        <v>158.09199523925699</v>
      </c>
      <c r="O47" s="599">
        <v>187.93</v>
      </c>
      <c r="P47" s="599"/>
      <c r="Q47" s="600"/>
      <c r="R47" s="600"/>
      <c r="S47" s="600"/>
      <c r="T47" s="600"/>
      <c r="AD47" s="600"/>
      <c r="AE47" s="600"/>
      <c r="AF47" s="423"/>
      <c r="AG47" s="423"/>
      <c r="AH47" s="423"/>
      <c r="AI47" s="423"/>
      <c r="AJ47" s="423"/>
      <c r="AK47" s="423"/>
      <c r="AL47" s="423"/>
    </row>
    <row r="48" spans="1:38" ht="11.25" customHeight="1">
      <c r="A48" s="94"/>
      <c r="B48" s="102"/>
      <c r="C48" s="102"/>
      <c r="D48" s="102"/>
      <c r="E48" s="102"/>
      <c r="F48" s="102"/>
      <c r="G48" s="102"/>
      <c r="H48" s="102"/>
      <c r="I48" s="215"/>
      <c r="J48" s="606"/>
      <c r="M48" s="598">
        <v>37</v>
      </c>
      <c r="N48" s="599">
        <v>147.0650024</v>
      </c>
      <c r="O48" s="599">
        <v>182.85</v>
      </c>
      <c r="P48" s="599"/>
      <c r="Q48" s="600"/>
      <c r="R48" s="600"/>
      <c r="S48" s="600"/>
      <c r="T48" s="600"/>
      <c r="AD48" s="600"/>
      <c r="AE48" s="600"/>
      <c r="AF48" s="423"/>
      <c r="AG48" s="423"/>
      <c r="AH48" s="423"/>
      <c r="AI48" s="423"/>
      <c r="AJ48" s="423"/>
      <c r="AK48" s="423"/>
      <c r="AL48" s="423"/>
    </row>
    <row r="49" spans="1:38" ht="11.25" customHeight="1">
      <c r="A49" s="94"/>
      <c r="B49" s="102"/>
      <c r="C49" s="102"/>
      <c r="D49" s="102"/>
      <c r="E49" s="102"/>
      <c r="F49" s="102"/>
      <c r="G49" s="102"/>
      <c r="H49" s="102"/>
      <c r="I49" s="215"/>
      <c r="J49" s="606"/>
      <c r="M49" s="598">
        <v>38</v>
      </c>
      <c r="N49" s="599">
        <v>147.0650024</v>
      </c>
      <c r="O49" s="599">
        <v>179.77</v>
      </c>
      <c r="P49" s="599"/>
      <c r="Q49" s="600"/>
      <c r="R49" s="600"/>
      <c r="S49" s="600"/>
      <c r="T49" s="600"/>
      <c r="AD49" s="600"/>
      <c r="AE49" s="600"/>
      <c r="AF49" s="423"/>
      <c r="AG49" s="423"/>
      <c r="AH49" s="423"/>
      <c r="AI49" s="423"/>
      <c r="AJ49" s="423"/>
      <c r="AK49" s="423"/>
      <c r="AL49" s="423"/>
    </row>
    <row r="50" spans="1:38" ht="12.75">
      <c r="A50" s="94"/>
      <c r="B50" s="102"/>
      <c r="C50" s="102"/>
      <c r="D50" s="102"/>
      <c r="E50" s="102"/>
      <c r="F50" s="102"/>
      <c r="G50" s="102"/>
      <c r="H50" s="102"/>
      <c r="I50" s="215"/>
      <c r="J50" s="606"/>
      <c r="M50" s="598">
        <v>39</v>
      </c>
      <c r="N50" s="599">
        <v>139.11000060000001</v>
      </c>
      <c r="O50" s="599">
        <v>173.62</v>
      </c>
      <c r="P50" s="599"/>
      <c r="Q50" s="600"/>
      <c r="R50" s="600"/>
      <c r="S50" s="600"/>
      <c r="T50" s="600"/>
      <c r="AD50" s="600"/>
      <c r="AE50" s="600"/>
      <c r="AF50" s="423"/>
      <c r="AG50" s="423"/>
      <c r="AH50" s="423"/>
      <c r="AI50" s="423"/>
      <c r="AJ50" s="423"/>
      <c r="AK50" s="423"/>
      <c r="AL50" s="423"/>
    </row>
    <row r="51" spans="1:38" ht="12.75">
      <c r="A51" s="94"/>
      <c r="B51" s="102"/>
      <c r="C51" s="102"/>
      <c r="D51" s="102"/>
      <c r="E51" s="102"/>
      <c r="F51" s="102"/>
      <c r="G51" s="102"/>
      <c r="H51" s="102"/>
      <c r="I51" s="215"/>
      <c r="J51" s="606"/>
      <c r="M51" s="598">
        <v>40</v>
      </c>
      <c r="N51" s="599">
        <v>139.11000060000001</v>
      </c>
      <c r="O51" s="599">
        <v>163</v>
      </c>
      <c r="P51" s="599"/>
      <c r="Q51" s="600"/>
      <c r="R51" s="600"/>
      <c r="S51" s="600"/>
      <c r="T51" s="600"/>
      <c r="AD51" s="600"/>
      <c r="AE51" s="600"/>
      <c r="AF51" s="423"/>
      <c r="AG51" s="423"/>
      <c r="AH51" s="423"/>
      <c r="AI51" s="423"/>
      <c r="AJ51" s="423"/>
      <c r="AK51" s="423"/>
      <c r="AL51" s="423"/>
    </row>
    <row r="52" spans="1:38" ht="12.75">
      <c r="A52" s="94"/>
      <c r="B52" s="102"/>
      <c r="C52" s="102"/>
      <c r="D52" s="102"/>
      <c r="E52" s="102"/>
      <c r="F52" s="102"/>
      <c r="G52" s="102"/>
      <c r="H52" s="102"/>
      <c r="I52" s="215"/>
      <c r="J52" s="606"/>
      <c r="M52" s="598">
        <v>41</v>
      </c>
      <c r="N52" s="599">
        <v>139.11000060000001</v>
      </c>
      <c r="O52" s="599">
        <v>156.5</v>
      </c>
      <c r="P52" s="599"/>
      <c r="Q52" s="600"/>
      <c r="R52" s="600"/>
      <c r="S52" s="600"/>
      <c r="T52" s="600"/>
      <c r="AD52" s="600"/>
      <c r="AE52" s="600"/>
      <c r="AF52" s="423"/>
      <c r="AG52" s="423"/>
      <c r="AH52" s="423"/>
      <c r="AI52" s="423"/>
      <c r="AJ52" s="423"/>
      <c r="AK52" s="423"/>
      <c r="AL52" s="423"/>
    </row>
    <row r="53" spans="1:38" ht="12.75">
      <c r="A53" s="94"/>
      <c r="B53" s="102"/>
      <c r="C53" s="102"/>
      <c r="D53" s="102"/>
      <c r="E53" s="102"/>
      <c r="F53" s="102"/>
      <c r="G53" s="102"/>
      <c r="H53" s="102"/>
      <c r="I53" s="215"/>
      <c r="J53" s="606"/>
      <c r="M53" s="598">
        <v>42</v>
      </c>
      <c r="N53" s="599">
        <v>128.34500120000001</v>
      </c>
      <c r="O53" s="599">
        <v>152.78</v>
      </c>
      <c r="P53" s="599"/>
      <c r="Q53" s="600"/>
      <c r="R53" s="600"/>
      <c r="S53" s="600"/>
      <c r="T53" s="600"/>
      <c r="AD53" s="600"/>
      <c r="AE53" s="600"/>
      <c r="AF53" s="423"/>
      <c r="AG53" s="423"/>
      <c r="AH53" s="423"/>
      <c r="AI53" s="423"/>
      <c r="AJ53" s="423"/>
      <c r="AK53" s="423"/>
      <c r="AL53" s="423"/>
    </row>
    <row r="54" spans="1:38" ht="12.75">
      <c r="A54" s="94"/>
      <c r="B54" s="102"/>
      <c r="C54" s="102"/>
      <c r="D54" s="102"/>
      <c r="E54" s="102"/>
      <c r="F54" s="102"/>
      <c r="G54" s="102"/>
      <c r="H54" s="102"/>
      <c r="I54" s="215"/>
      <c r="J54" s="606"/>
      <c r="M54" s="598">
        <v>43</v>
      </c>
      <c r="N54" s="599">
        <v>128.34500120000001</v>
      </c>
      <c r="O54" s="599">
        <v>148.63</v>
      </c>
      <c r="P54" s="599"/>
      <c r="Q54" s="600"/>
      <c r="R54" s="600"/>
      <c r="S54" s="600"/>
      <c r="T54" s="600"/>
      <c r="AD54" s="600"/>
      <c r="AE54" s="600"/>
      <c r="AF54" s="423"/>
      <c r="AG54" s="423"/>
      <c r="AH54" s="423"/>
      <c r="AI54" s="423"/>
      <c r="AJ54" s="423"/>
      <c r="AK54" s="423"/>
      <c r="AL54" s="423"/>
    </row>
    <row r="55" spans="1:38" ht="12.75">
      <c r="A55" s="94"/>
      <c r="B55" s="102"/>
      <c r="C55" s="102"/>
      <c r="D55" s="102"/>
      <c r="E55" s="102"/>
      <c r="F55" s="102"/>
      <c r="G55" s="102"/>
      <c r="H55" s="102"/>
      <c r="I55" s="215"/>
      <c r="J55" s="606"/>
      <c r="M55" s="598">
        <v>44</v>
      </c>
      <c r="N55" s="599">
        <v>121.20099639999999</v>
      </c>
      <c r="O55" s="599">
        <v>142.91</v>
      </c>
      <c r="P55" s="599"/>
      <c r="Q55" s="600"/>
      <c r="R55" s="600"/>
      <c r="S55" s="600"/>
      <c r="T55" s="600"/>
      <c r="AD55" s="600"/>
      <c r="AE55" s="600"/>
      <c r="AF55" s="423"/>
      <c r="AG55" s="423"/>
      <c r="AH55" s="423"/>
      <c r="AI55" s="423"/>
      <c r="AJ55" s="423"/>
      <c r="AK55" s="423"/>
      <c r="AL55" s="423"/>
    </row>
    <row r="56" spans="1:38" ht="12.75">
      <c r="A56" s="94"/>
      <c r="B56" s="102"/>
      <c r="C56" s="102"/>
      <c r="D56" s="102"/>
      <c r="E56" s="102"/>
      <c r="F56" s="102"/>
      <c r="G56" s="102"/>
      <c r="H56" s="102"/>
      <c r="I56" s="215"/>
      <c r="J56" s="606"/>
      <c r="M56" s="598">
        <v>45</v>
      </c>
      <c r="N56" s="599">
        <v>121.20099639999999</v>
      </c>
      <c r="O56" s="599">
        <v>137.04</v>
      </c>
      <c r="P56" s="599"/>
      <c r="Q56" s="600"/>
      <c r="R56" s="600"/>
      <c r="S56" s="600"/>
      <c r="T56" s="600"/>
      <c r="AD56" s="600"/>
      <c r="AE56" s="600"/>
      <c r="AF56" s="423"/>
      <c r="AG56" s="423"/>
      <c r="AH56" s="423"/>
      <c r="AI56" s="423"/>
      <c r="AJ56" s="423"/>
      <c r="AK56" s="423"/>
      <c r="AL56" s="423"/>
    </row>
    <row r="57" spans="1:38" ht="12.75">
      <c r="A57" s="94"/>
      <c r="B57" s="102"/>
      <c r="C57" s="102"/>
      <c r="D57" s="102"/>
      <c r="E57" s="102"/>
      <c r="F57" s="102"/>
      <c r="G57" s="102"/>
      <c r="H57" s="102"/>
      <c r="M57" s="598">
        <v>46</v>
      </c>
      <c r="N57" s="599">
        <v>112.1429977</v>
      </c>
      <c r="O57" s="599">
        <v>131.22999999999999</v>
      </c>
      <c r="P57" s="599"/>
      <c r="Q57" s="600"/>
      <c r="R57" s="600"/>
      <c r="S57" s="600"/>
      <c r="T57" s="600"/>
      <c r="AD57" s="600"/>
      <c r="AE57" s="600"/>
      <c r="AF57" s="423"/>
      <c r="AG57" s="423"/>
      <c r="AH57" s="423"/>
      <c r="AI57" s="423"/>
      <c r="AJ57" s="423"/>
      <c r="AK57" s="423"/>
      <c r="AL57" s="423"/>
    </row>
    <row r="58" spans="1:38" ht="12.75">
      <c r="A58" s="94"/>
      <c r="B58" s="102"/>
      <c r="C58" s="102"/>
      <c r="D58" s="102"/>
      <c r="E58" s="102"/>
      <c r="F58" s="102"/>
      <c r="G58" s="102"/>
      <c r="H58" s="102"/>
      <c r="M58" s="598">
        <v>47</v>
      </c>
      <c r="N58" s="599">
        <v>112.1429977</v>
      </c>
      <c r="O58" s="599">
        <v>125.5</v>
      </c>
      <c r="P58" s="599"/>
      <c r="Q58" s="600"/>
      <c r="R58" s="600"/>
      <c r="S58" s="600"/>
      <c r="T58" s="600"/>
      <c r="AD58" s="600"/>
      <c r="AE58" s="600"/>
      <c r="AF58" s="423"/>
      <c r="AG58" s="423"/>
      <c r="AH58" s="423"/>
      <c r="AI58" s="423"/>
      <c r="AJ58" s="423"/>
      <c r="AK58" s="423"/>
      <c r="AL58" s="423"/>
    </row>
    <row r="59" spans="1:38" ht="12.75">
      <c r="A59" s="419" t="s">
        <v>565</v>
      </c>
      <c r="B59" s="102"/>
      <c r="C59" s="102"/>
      <c r="D59" s="102"/>
      <c r="E59" s="102"/>
      <c r="F59" s="102"/>
      <c r="G59" s="102"/>
      <c r="H59" s="102"/>
      <c r="M59" s="598">
        <v>48</v>
      </c>
      <c r="N59" s="599">
        <v>101.13500209999999</v>
      </c>
      <c r="O59" s="599">
        <v>120.41</v>
      </c>
      <c r="P59" s="599"/>
      <c r="Q59" s="600"/>
      <c r="R59" s="600"/>
      <c r="S59" s="600"/>
      <c r="T59" s="600"/>
      <c r="AD59" s="600"/>
      <c r="AE59" s="600"/>
      <c r="AF59" s="423"/>
      <c r="AG59" s="423"/>
      <c r="AH59" s="423"/>
      <c r="AI59" s="423"/>
      <c r="AJ59" s="423"/>
      <c r="AK59" s="423"/>
      <c r="AL59" s="423"/>
    </row>
    <row r="60" spans="1:38" ht="12.75">
      <c r="A60" s="93"/>
      <c r="B60" s="102"/>
      <c r="C60" s="102"/>
      <c r="D60" s="102"/>
      <c r="E60" s="102"/>
      <c r="F60" s="102"/>
      <c r="G60" s="102"/>
      <c r="H60" s="102"/>
      <c r="M60" s="598">
        <v>49</v>
      </c>
      <c r="N60" s="599">
        <v>101.13500209999999</v>
      </c>
      <c r="O60" s="599">
        <v>115.91300200000001</v>
      </c>
      <c r="P60" s="599"/>
      <c r="Q60" s="600"/>
      <c r="R60" s="600"/>
      <c r="S60" s="600"/>
      <c r="T60" s="600"/>
      <c r="AD60" s="600"/>
      <c r="AE60" s="600"/>
      <c r="AF60" s="423"/>
      <c r="AG60" s="423"/>
      <c r="AH60" s="423"/>
      <c r="AI60" s="423"/>
      <c r="AJ60" s="423"/>
      <c r="AK60" s="423"/>
      <c r="AL60" s="423"/>
    </row>
    <row r="61" spans="1:38">
      <c r="M61" s="598">
        <v>50</v>
      </c>
      <c r="N61" s="599">
        <v>96.752998349999999</v>
      </c>
      <c r="O61" s="599">
        <v>110.0599976</v>
      </c>
      <c r="P61" s="599"/>
      <c r="Q61" s="600"/>
      <c r="R61" s="600"/>
      <c r="S61" s="600"/>
      <c r="T61" s="600"/>
      <c r="AD61" s="596"/>
      <c r="AE61" s="596"/>
      <c r="AF61" s="422"/>
      <c r="AG61" s="422"/>
      <c r="AH61" s="422"/>
      <c r="AI61" s="422"/>
      <c r="AJ61" s="422"/>
      <c r="AK61" s="422"/>
      <c r="AL61" s="422"/>
    </row>
    <row r="62" spans="1:38">
      <c r="M62" s="598">
        <v>51</v>
      </c>
      <c r="N62" s="599">
        <v>96.752998349999999</v>
      </c>
      <c r="O62" s="599">
        <v>107.5970001</v>
      </c>
      <c r="P62" s="599"/>
      <c r="Q62" s="600"/>
      <c r="R62" s="600"/>
      <c r="S62" s="600"/>
      <c r="T62" s="600"/>
      <c r="AD62" s="596"/>
      <c r="AE62" s="596"/>
      <c r="AF62" s="422"/>
      <c r="AG62" s="422"/>
      <c r="AH62" s="422"/>
      <c r="AI62" s="422"/>
      <c r="AJ62" s="422"/>
      <c r="AK62" s="422"/>
      <c r="AL62" s="422"/>
    </row>
    <row r="63" spans="1:38">
      <c r="M63" s="598">
        <v>52</v>
      </c>
      <c r="N63" s="599">
        <v>96.752998349999999</v>
      </c>
      <c r="O63" s="599">
        <v>104.4029999</v>
      </c>
      <c r="P63" s="599"/>
      <c r="Q63" s="600"/>
      <c r="R63" s="600"/>
      <c r="S63" s="600"/>
      <c r="T63" s="600"/>
      <c r="AD63" s="596"/>
      <c r="AE63" s="596"/>
      <c r="AF63" s="422"/>
      <c r="AG63" s="422"/>
      <c r="AH63" s="422"/>
      <c r="AI63" s="422"/>
      <c r="AJ63" s="422"/>
      <c r="AK63" s="422"/>
      <c r="AL63" s="422"/>
    </row>
    <row r="64" spans="1:38">
      <c r="M64" s="598">
        <v>53</v>
      </c>
      <c r="N64" s="599"/>
      <c r="O64" s="599"/>
      <c r="P64" s="608"/>
      <c r="Q64" s="600"/>
      <c r="R64" s="600"/>
      <c r="S64" s="600"/>
      <c r="T64" s="600"/>
      <c r="AD64" s="596"/>
      <c r="AE64" s="596"/>
      <c r="AF64" s="422"/>
      <c r="AG64" s="422"/>
      <c r="AH64" s="422"/>
      <c r="AI64" s="422"/>
      <c r="AJ64" s="422"/>
      <c r="AK64" s="422"/>
      <c r="AL64" s="422"/>
    </row>
    <row r="65" spans="13:38">
      <c r="M65" s="596"/>
      <c r="N65" s="596"/>
      <c r="O65" s="596"/>
      <c r="P65" s="596"/>
      <c r="Q65" s="596"/>
      <c r="R65" s="596"/>
      <c r="S65" s="596"/>
      <c r="T65" s="596"/>
      <c r="AD65" s="596"/>
      <c r="AE65" s="596"/>
      <c r="AF65" s="422"/>
      <c r="AG65" s="422"/>
      <c r="AH65" s="422"/>
      <c r="AI65" s="422"/>
      <c r="AJ65" s="422"/>
      <c r="AK65" s="422"/>
      <c r="AL65" s="422"/>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zoomScale="130" zoomScaleNormal="100" zoomScaleSheetLayoutView="130" zoomScalePageLayoutView="85" workbookViewId="0">
      <selection activeCell="Q26" sqref="Q26"/>
    </sheetView>
  </sheetViews>
  <sheetFormatPr defaultRowHeight="11.25"/>
  <cols>
    <col min="1" max="9" width="9.33203125" style="3"/>
    <col min="10" max="11" width="9.33203125" style="3" customWidth="1"/>
    <col min="12" max="13" width="9.33203125" style="3"/>
    <col min="14" max="31" width="9.33203125" style="832"/>
    <col min="32" max="16384" width="9.33203125" style="3"/>
  </cols>
  <sheetData>
    <row r="1" spans="1:22" ht="11.25" customHeight="1">
      <c r="A1" s="160"/>
      <c r="B1" s="160"/>
      <c r="C1" s="160"/>
      <c r="D1" s="160"/>
      <c r="E1" s="160"/>
      <c r="F1" s="160"/>
      <c r="G1" s="160"/>
      <c r="H1" s="160"/>
      <c r="I1" s="160"/>
      <c r="J1" s="160"/>
      <c r="K1" s="160"/>
      <c r="L1" s="160"/>
    </row>
    <row r="2" spans="1:22" ht="11.25" customHeight="1">
      <c r="A2" s="565"/>
      <c r="B2" s="575"/>
      <c r="C2" s="575"/>
      <c r="D2" s="575"/>
      <c r="E2" s="575"/>
      <c r="F2" s="575"/>
      <c r="G2" s="576"/>
      <c r="H2" s="576"/>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847" t="s">
        <v>304</v>
      </c>
      <c r="O4" s="848"/>
      <c r="P4" s="848"/>
      <c r="Q4" s="848"/>
      <c r="R4" s="848"/>
      <c r="S4" s="848"/>
      <c r="T4" s="849" t="s">
        <v>305</v>
      </c>
      <c r="U4" s="848"/>
      <c r="V4" s="848"/>
    </row>
    <row r="5" spans="1:22" ht="11.25" customHeight="1">
      <c r="A5" s="937"/>
      <c r="B5" s="937"/>
      <c r="C5" s="937"/>
      <c r="D5" s="937"/>
      <c r="E5" s="937"/>
      <c r="F5" s="937"/>
      <c r="G5" s="937"/>
      <c r="H5" s="937"/>
      <c r="I5" s="937"/>
      <c r="J5" s="16"/>
      <c r="K5" s="16"/>
      <c r="L5" s="10"/>
      <c r="N5" s="848"/>
      <c r="O5" s="850">
        <v>2016</v>
      </c>
      <c r="P5" s="850">
        <v>2017</v>
      </c>
      <c r="Q5" s="850">
        <v>2018</v>
      </c>
      <c r="R5" s="848"/>
      <c r="S5" s="848"/>
      <c r="T5" s="850">
        <v>2016</v>
      </c>
      <c r="U5" s="850">
        <v>2017</v>
      </c>
      <c r="V5" s="850">
        <v>2018</v>
      </c>
    </row>
    <row r="6" spans="1:22" ht="11.25" customHeight="1">
      <c r="A6" s="84"/>
      <c r="B6" s="202"/>
      <c r="C6" s="86"/>
      <c r="D6" s="87"/>
      <c r="E6" s="87"/>
      <c r="F6" s="88"/>
      <c r="G6" s="83"/>
      <c r="H6" s="83"/>
      <c r="I6" s="89"/>
      <c r="J6" s="16"/>
      <c r="K6" s="16"/>
      <c r="L6" s="7"/>
      <c r="N6" s="851">
        <v>1</v>
      </c>
      <c r="O6" s="852">
        <v>119.86</v>
      </c>
      <c r="P6" s="852">
        <v>27.559000019999999</v>
      </c>
      <c r="Q6" s="853">
        <v>34.76</v>
      </c>
      <c r="R6" s="848"/>
      <c r="S6" s="851">
        <v>1</v>
      </c>
      <c r="T6" s="854">
        <v>150.22999999999999</v>
      </c>
      <c r="U6" s="855">
        <v>122.19600180599998</v>
      </c>
      <c r="V6" s="856">
        <v>210.20000000000002</v>
      </c>
    </row>
    <row r="7" spans="1:22" ht="11.25" customHeight="1">
      <c r="A7" s="84"/>
      <c r="B7" s="938"/>
      <c r="C7" s="938"/>
      <c r="D7" s="203"/>
      <c r="E7" s="203"/>
      <c r="F7" s="88"/>
      <c r="G7" s="83"/>
      <c r="H7" s="83"/>
      <c r="I7" s="89"/>
      <c r="J7" s="5"/>
      <c r="K7" s="5"/>
      <c r="L7" s="20"/>
      <c r="N7" s="851">
        <v>2</v>
      </c>
      <c r="O7" s="852">
        <v>113.21</v>
      </c>
      <c r="P7" s="852">
        <v>36.5890007</v>
      </c>
      <c r="Q7" s="853">
        <v>47.749000549999998</v>
      </c>
      <c r="R7" s="848"/>
      <c r="S7" s="851">
        <v>2</v>
      </c>
      <c r="T7" s="854">
        <v>145.21</v>
      </c>
      <c r="U7" s="855">
        <v>136.535000822</v>
      </c>
      <c r="V7" s="856">
        <v>216.70300435500002</v>
      </c>
    </row>
    <row r="8" spans="1:22" ht="11.25" customHeight="1">
      <c r="A8" s="84"/>
      <c r="B8" s="204"/>
      <c r="C8" s="49"/>
      <c r="D8" s="205"/>
      <c r="E8" s="205"/>
      <c r="F8" s="88"/>
      <c r="G8" s="83"/>
      <c r="H8" s="83"/>
      <c r="I8" s="89"/>
      <c r="J8" s="6"/>
      <c r="K8" s="6"/>
      <c r="L8" s="16"/>
      <c r="N8" s="851">
        <v>3</v>
      </c>
      <c r="O8" s="852">
        <v>117.64</v>
      </c>
      <c r="P8" s="852">
        <v>63.17599869</v>
      </c>
      <c r="Q8" s="853">
        <v>67.130996699999997</v>
      </c>
      <c r="R8" s="848"/>
      <c r="S8" s="851">
        <v>3</v>
      </c>
      <c r="T8" s="854">
        <v>143.88</v>
      </c>
      <c r="U8" s="855">
        <v>170.80799961000002</v>
      </c>
      <c r="V8" s="856">
        <v>232.83600043999999</v>
      </c>
    </row>
    <row r="9" spans="1:22" ht="11.25" customHeight="1">
      <c r="A9" s="84"/>
      <c r="B9" s="204"/>
      <c r="C9" s="49"/>
      <c r="D9" s="205"/>
      <c r="E9" s="205"/>
      <c r="F9" s="88"/>
      <c r="G9" s="83"/>
      <c r="H9" s="83"/>
      <c r="I9" s="89"/>
      <c r="J9" s="5"/>
      <c r="K9" s="8"/>
      <c r="L9" s="21"/>
      <c r="N9" s="851">
        <v>4</v>
      </c>
      <c r="O9" s="852">
        <v>117.64</v>
      </c>
      <c r="P9" s="852">
        <v>113.2139969</v>
      </c>
      <c r="Q9" s="853">
        <v>93.789001459999994</v>
      </c>
      <c r="R9" s="848"/>
      <c r="S9" s="851">
        <v>4</v>
      </c>
      <c r="T9" s="854">
        <v>139.38200000000001</v>
      </c>
      <c r="U9" s="855">
        <v>186.385000214</v>
      </c>
      <c r="V9" s="856">
        <v>271.78000545999998</v>
      </c>
    </row>
    <row r="10" spans="1:22" ht="11.25" customHeight="1">
      <c r="A10" s="84"/>
      <c r="B10" s="204"/>
      <c r="C10" s="49"/>
      <c r="D10" s="205"/>
      <c r="E10" s="205"/>
      <c r="F10" s="88"/>
      <c r="G10" s="83"/>
      <c r="H10" s="83"/>
      <c r="I10" s="89"/>
      <c r="J10" s="5"/>
      <c r="K10" s="5"/>
      <c r="L10" s="20"/>
      <c r="N10" s="851">
        <v>5</v>
      </c>
      <c r="O10" s="852">
        <v>133.43</v>
      </c>
      <c r="P10" s="852">
        <v>156.8220062</v>
      </c>
      <c r="Q10" s="853">
        <v>111.01599880000001</v>
      </c>
      <c r="R10" s="848"/>
      <c r="S10" s="851">
        <v>5</v>
      </c>
      <c r="T10" s="854">
        <v>135.79099490000002</v>
      </c>
      <c r="U10" s="855">
        <v>204.80799868699998</v>
      </c>
      <c r="V10" s="856">
        <v>269.07999802</v>
      </c>
    </row>
    <row r="11" spans="1:22" ht="11.25" customHeight="1">
      <c r="A11" s="84"/>
      <c r="B11" s="205"/>
      <c r="C11" s="49"/>
      <c r="D11" s="205"/>
      <c r="E11" s="205"/>
      <c r="F11" s="88"/>
      <c r="G11" s="83"/>
      <c r="H11" s="83"/>
      <c r="I11" s="89"/>
      <c r="J11" s="5"/>
      <c r="K11" s="5"/>
      <c r="L11" s="20"/>
      <c r="N11" s="851">
        <v>6</v>
      </c>
      <c r="O11" s="852">
        <v>159.2149963</v>
      </c>
      <c r="P11" s="852">
        <v>168.8840027</v>
      </c>
      <c r="Q11" s="853">
        <v>126.6029968</v>
      </c>
      <c r="R11" s="848"/>
      <c r="S11" s="851">
        <v>6</v>
      </c>
      <c r="T11" s="854">
        <v>150.04800029899999</v>
      </c>
      <c r="U11" s="855">
        <v>201.82999366799999</v>
      </c>
      <c r="V11" s="856">
        <v>273.52000047000001</v>
      </c>
    </row>
    <row r="12" spans="1:22" ht="11.25" customHeight="1">
      <c r="A12" s="84"/>
      <c r="B12" s="205"/>
      <c r="C12" s="49"/>
      <c r="D12" s="205"/>
      <c r="E12" s="205"/>
      <c r="F12" s="88"/>
      <c r="G12" s="83"/>
      <c r="H12" s="83"/>
      <c r="I12" s="89"/>
      <c r="J12" s="5"/>
      <c r="K12" s="5"/>
      <c r="L12" s="20"/>
      <c r="N12" s="851">
        <v>7</v>
      </c>
      <c r="O12" s="852">
        <v>186.18299870000001</v>
      </c>
      <c r="P12" s="852">
        <v>196.28300479999999</v>
      </c>
      <c r="Q12" s="853">
        <v>135.7250061</v>
      </c>
      <c r="R12" s="848"/>
      <c r="S12" s="851">
        <v>7</v>
      </c>
      <c r="T12" s="854">
        <v>174.31999966699999</v>
      </c>
      <c r="U12" s="855">
        <v>199.59600258</v>
      </c>
      <c r="V12" s="856">
        <v>302.63299941999998</v>
      </c>
    </row>
    <row r="13" spans="1:22" ht="11.25" customHeight="1">
      <c r="A13" s="84"/>
      <c r="B13" s="205"/>
      <c r="C13" s="49"/>
      <c r="D13" s="205"/>
      <c r="E13" s="205"/>
      <c r="F13" s="88"/>
      <c r="G13" s="83"/>
      <c r="H13" s="83"/>
      <c r="I13" s="89"/>
      <c r="J13" s="6"/>
      <c r="K13" s="6"/>
      <c r="L13" s="16"/>
      <c r="N13" s="851">
        <v>8</v>
      </c>
      <c r="O13" s="852">
        <v>206.53900150000001</v>
      </c>
      <c r="P13" s="852">
        <v>230.18899540000001</v>
      </c>
      <c r="Q13" s="853">
        <v>159.2149963</v>
      </c>
      <c r="R13" s="848"/>
      <c r="S13" s="851">
        <v>8</v>
      </c>
      <c r="T13" s="854">
        <v>262.93500039999998</v>
      </c>
      <c r="U13" s="855">
        <v>214.34299659800001</v>
      </c>
      <c r="V13" s="856">
        <v>328.23703</v>
      </c>
    </row>
    <row r="14" spans="1:22" ht="11.25" customHeight="1">
      <c r="A14" s="84"/>
      <c r="B14" s="205"/>
      <c r="C14" s="49"/>
      <c r="D14" s="205"/>
      <c r="E14" s="205"/>
      <c r="F14" s="88"/>
      <c r="G14" s="83"/>
      <c r="H14" s="83"/>
      <c r="I14" s="89"/>
      <c r="J14" s="5"/>
      <c r="K14" s="8"/>
      <c r="L14" s="21"/>
      <c r="N14" s="851">
        <v>9</v>
      </c>
      <c r="O14" s="852">
        <v>240.9539948</v>
      </c>
      <c r="P14" s="852">
        <v>249.13000489999999</v>
      </c>
      <c r="Q14" s="853">
        <v>186.18299870000001</v>
      </c>
      <c r="R14" s="848"/>
      <c r="S14" s="851">
        <v>9</v>
      </c>
      <c r="T14" s="854">
        <v>279.08800121000002</v>
      </c>
      <c r="U14" s="855">
        <v>250.89400288000002</v>
      </c>
      <c r="V14" s="856">
        <v>343.54049999999995</v>
      </c>
    </row>
    <row r="15" spans="1:22" ht="11.25" customHeight="1">
      <c r="A15" s="84"/>
      <c r="B15" s="205"/>
      <c r="C15" s="49"/>
      <c r="D15" s="205"/>
      <c r="E15" s="205"/>
      <c r="F15" s="88"/>
      <c r="G15" s="83"/>
      <c r="H15" s="83"/>
      <c r="I15" s="89"/>
      <c r="J15" s="5"/>
      <c r="K15" s="8"/>
      <c r="L15" s="20"/>
      <c r="N15" s="851">
        <v>10</v>
      </c>
      <c r="O15" s="852">
        <v>279.86401369999999</v>
      </c>
      <c r="P15" s="852">
        <v>311.77999999999997</v>
      </c>
      <c r="Q15" s="853">
        <v>203.96099849999999</v>
      </c>
      <c r="R15" s="848"/>
      <c r="S15" s="851">
        <v>10</v>
      </c>
      <c r="T15" s="854">
        <v>283.79400062561007</v>
      </c>
      <c r="U15" s="855">
        <v>298.99899296000001</v>
      </c>
      <c r="V15" s="856">
        <v>371.29100467000001</v>
      </c>
    </row>
    <row r="16" spans="1:22" ht="11.25" customHeight="1">
      <c r="A16" s="84"/>
      <c r="B16" s="205"/>
      <c r="C16" s="49"/>
      <c r="D16" s="205"/>
      <c r="E16" s="205"/>
      <c r="F16" s="88"/>
      <c r="G16" s="83"/>
      <c r="H16" s="83"/>
      <c r="I16" s="89"/>
      <c r="J16" s="5"/>
      <c r="K16" s="8"/>
      <c r="L16" s="20"/>
      <c r="N16" s="851">
        <v>11</v>
      </c>
      <c r="O16" s="852">
        <v>308.83</v>
      </c>
      <c r="P16" s="852">
        <v>332.70800000000003</v>
      </c>
      <c r="Q16" s="853">
        <v>230.18899540000001</v>
      </c>
      <c r="R16" s="857"/>
      <c r="S16" s="851">
        <v>11</v>
      </c>
      <c r="T16" s="854">
        <v>286.24</v>
      </c>
      <c r="U16" s="855">
        <v>321.03300188000003</v>
      </c>
      <c r="V16" s="856">
        <v>390.38299555999998</v>
      </c>
    </row>
    <row r="17" spans="1:22" ht="11.25" customHeight="1">
      <c r="A17" s="84"/>
      <c r="B17" s="205"/>
      <c r="C17" s="49"/>
      <c r="D17" s="205"/>
      <c r="E17" s="205"/>
      <c r="F17" s="88"/>
      <c r="G17" s="83"/>
      <c r="H17" s="83"/>
      <c r="I17" s="89"/>
      <c r="J17" s="5"/>
      <c r="K17" s="8"/>
      <c r="L17" s="20"/>
      <c r="N17" s="851">
        <v>12</v>
      </c>
      <c r="O17" s="852">
        <v>308.829986572265</v>
      </c>
      <c r="P17" s="852">
        <v>344.881012</v>
      </c>
      <c r="Q17" s="853">
        <v>282.71701050000001</v>
      </c>
      <c r="R17" s="857"/>
      <c r="S17" s="851">
        <v>12</v>
      </c>
      <c r="T17" s="854">
        <v>285.01299476623473</v>
      </c>
      <c r="U17" s="855">
        <v>332.34900279999999</v>
      </c>
      <c r="V17" s="856">
        <v>412.41217171999995</v>
      </c>
    </row>
    <row r="18" spans="1:22" ht="11.25" customHeight="1">
      <c r="A18" s="84"/>
      <c r="B18" s="205"/>
      <c r="C18" s="49"/>
      <c r="D18" s="205"/>
      <c r="E18" s="205"/>
      <c r="F18" s="88"/>
      <c r="G18" s="83"/>
      <c r="H18" s="83"/>
      <c r="I18" s="89"/>
      <c r="J18" s="5"/>
      <c r="K18" s="8"/>
      <c r="L18" s="20"/>
      <c r="N18" s="851">
        <v>13</v>
      </c>
      <c r="O18" s="852">
        <v>308.829986572265</v>
      </c>
      <c r="P18" s="852">
        <v>338.77499390000003</v>
      </c>
      <c r="Q18" s="853">
        <v>329.68899540000001</v>
      </c>
      <c r="R18" s="857"/>
      <c r="S18" s="851">
        <v>13</v>
      </c>
      <c r="T18" s="854">
        <v>279.96900081634436</v>
      </c>
      <c r="U18" s="855">
        <v>366.02899361000004</v>
      </c>
      <c r="V18" s="856">
        <v>410.83199501000001</v>
      </c>
    </row>
    <row r="19" spans="1:22" ht="11.25" customHeight="1">
      <c r="A19" s="84"/>
      <c r="B19" s="205"/>
      <c r="C19" s="49"/>
      <c r="D19" s="205"/>
      <c r="E19" s="205"/>
      <c r="F19" s="88"/>
      <c r="G19" s="83"/>
      <c r="H19" s="83"/>
      <c r="I19" s="89"/>
      <c r="J19" s="5"/>
      <c r="K19" s="8"/>
      <c r="L19" s="20"/>
      <c r="N19" s="851">
        <v>14</v>
      </c>
      <c r="O19" s="852">
        <v>302.95901489257801</v>
      </c>
      <c r="P19" s="852">
        <v>338.77999390000002</v>
      </c>
      <c r="Q19" s="853">
        <v>329.68899540000001</v>
      </c>
      <c r="R19" s="857"/>
      <c r="S19" s="851">
        <v>14</v>
      </c>
      <c r="T19" s="854">
        <v>286.54100227355917</v>
      </c>
      <c r="U19" s="855">
        <v>382.58400344</v>
      </c>
      <c r="V19" s="856">
        <v>403.70400233999999</v>
      </c>
    </row>
    <row r="20" spans="1:22" ht="11.25" customHeight="1">
      <c r="A20" s="84"/>
      <c r="B20" s="205"/>
      <c r="C20" s="49"/>
      <c r="D20" s="205"/>
      <c r="E20" s="205"/>
      <c r="F20" s="88"/>
      <c r="G20" s="83"/>
      <c r="H20" s="83"/>
      <c r="I20" s="89"/>
      <c r="J20" s="5"/>
      <c r="K20" s="8"/>
      <c r="L20" s="20"/>
      <c r="N20" s="851">
        <v>15</v>
      </c>
      <c r="O20" s="852">
        <v>311.781005859375</v>
      </c>
      <c r="P20" s="852">
        <v>347.94900510000002</v>
      </c>
      <c r="Q20" s="853">
        <v>326.67999270000001</v>
      </c>
      <c r="R20" s="857"/>
      <c r="S20" s="851">
        <v>15</v>
      </c>
      <c r="T20" s="854">
        <v>288.78499984741165</v>
      </c>
      <c r="U20" s="855">
        <v>385.29699126999998</v>
      </c>
      <c r="V20" s="856">
        <v>399.27400204999998</v>
      </c>
    </row>
    <row r="21" spans="1:22" ht="11.25" customHeight="1">
      <c r="A21" s="84"/>
      <c r="B21" s="205"/>
      <c r="C21" s="49"/>
      <c r="D21" s="205"/>
      <c r="E21" s="205"/>
      <c r="F21" s="88"/>
      <c r="G21" s="83"/>
      <c r="H21" s="83"/>
      <c r="I21" s="89"/>
      <c r="J21" s="5"/>
      <c r="K21" s="9"/>
      <c r="L21" s="22"/>
      <c r="N21" s="851">
        <v>16</v>
      </c>
      <c r="O21" s="852">
        <v>320.69100952148398</v>
      </c>
      <c r="P21" s="852">
        <v>354.11401369999999</v>
      </c>
      <c r="Q21" s="853">
        <v>314.7409973</v>
      </c>
      <c r="R21" s="857"/>
      <c r="S21" s="851">
        <v>16</v>
      </c>
      <c r="T21" s="854">
        <v>293.26400000000001</v>
      </c>
      <c r="U21" s="855">
        <v>384.95899003</v>
      </c>
      <c r="V21" s="856">
        <v>394.58499913000003</v>
      </c>
    </row>
    <row r="22" spans="1:22" ht="11.25" customHeight="1">
      <c r="A22" s="97"/>
      <c r="B22" s="205"/>
      <c r="C22" s="49"/>
      <c r="D22" s="205"/>
      <c r="E22" s="205"/>
      <c r="F22" s="88"/>
      <c r="G22" s="83"/>
      <c r="H22" s="83"/>
      <c r="I22" s="89"/>
      <c r="J22" s="5"/>
      <c r="K22" s="8"/>
      <c r="L22" s="20"/>
      <c r="N22" s="851">
        <v>17</v>
      </c>
      <c r="O22" s="852">
        <v>326.67999267578102</v>
      </c>
      <c r="P22" s="852">
        <v>351.02700809999999</v>
      </c>
      <c r="Q22" s="853">
        <v>305.89001459999997</v>
      </c>
      <c r="R22" s="857"/>
      <c r="S22" s="851">
        <v>17</v>
      </c>
      <c r="T22" s="854">
        <v>292.87300071716299</v>
      </c>
      <c r="U22" s="855">
        <v>381.86699488000005</v>
      </c>
      <c r="V22" s="856">
        <v>392.29800030000007</v>
      </c>
    </row>
    <row r="23" spans="1:22" ht="11.25" customHeight="1">
      <c r="A23" s="97"/>
      <c r="B23" s="205"/>
      <c r="C23" s="49"/>
      <c r="D23" s="205"/>
      <c r="E23" s="205"/>
      <c r="F23" s="88"/>
      <c r="G23" s="83"/>
      <c r="H23" s="83"/>
      <c r="I23" s="89"/>
      <c r="J23" s="5"/>
      <c r="K23" s="8"/>
      <c r="L23" s="20"/>
      <c r="N23" s="851">
        <v>18</v>
      </c>
      <c r="O23" s="852">
        <v>314.74099731445301</v>
      </c>
      <c r="P23" s="852">
        <v>354.11401369999999</v>
      </c>
      <c r="Q23" s="853">
        <v>314.7409973</v>
      </c>
      <c r="R23" s="857"/>
      <c r="S23" s="851">
        <v>18</v>
      </c>
      <c r="T23" s="854">
        <v>289.06400012969908</v>
      </c>
      <c r="U23" s="855">
        <v>382.77999115</v>
      </c>
      <c r="V23" s="856">
        <v>390.15600400999995</v>
      </c>
    </row>
    <row r="24" spans="1:22" ht="11.25" customHeight="1">
      <c r="A24" s="97"/>
      <c r="B24" s="205"/>
      <c r="C24" s="49"/>
      <c r="D24" s="205"/>
      <c r="E24" s="205"/>
      <c r="F24" s="88"/>
      <c r="G24" s="83"/>
      <c r="H24" s="83"/>
      <c r="I24" s="89"/>
      <c r="J24" s="8"/>
      <c r="K24" s="8"/>
      <c r="L24" s="20"/>
      <c r="N24" s="851">
        <v>19</v>
      </c>
      <c r="O24" s="852">
        <v>308.829986572265</v>
      </c>
      <c r="P24" s="852">
        <v>363.43499759999997</v>
      </c>
      <c r="Q24" s="853">
        <v>314.7409973</v>
      </c>
      <c r="R24" s="857"/>
      <c r="S24" s="851">
        <v>19</v>
      </c>
      <c r="T24" s="854">
        <v>283.7310012817382</v>
      </c>
      <c r="U24" s="855">
        <v>381.91700169999996</v>
      </c>
      <c r="V24" s="856">
        <v>386.47099490999994</v>
      </c>
    </row>
    <row r="25" spans="1:22" ht="11.25" customHeight="1">
      <c r="A25" s="420" t="s">
        <v>566</v>
      </c>
      <c r="B25" s="205"/>
      <c r="C25" s="49"/>
      <c r="D25" s="205"/>
      <c r="E25" s="205"/>
      <c r="F25" s="88"/>
      <c r="G25" s="83"/>
      <c r="H25" s="83"/>
      <c r="I25" s="89"/>
      <c r="J25" s="5"/>
      <c r="K25" s="9"/>
      <c r="L25" s="22"/>
      <c r="N25" s="851">
        <v>20</v>
      </c>
      <c r="O25" s="852">
        <v>308.8</v>
      </c>
      <c r="P25" s="852">
        <v>366.56100459999999</v>
      </c>
      <c r="Q25" s="853">
        <v>314.7409973</v>
      </c>
      <c r="R25" s="857"/>
      <c r="S25" s="851">
        <v>20</v>
      </c>
      <c r="T25" s="854">
        <v>278.90000000000003</v>
      </c>
      <c r="U25" s="855">
        <v>379.35699083999998</v>
      </c>
      <c r="V25" s="856">
        <v>382.00799562999993</v>
      </c>
    </row>
    <row r="26" spans="1:22" ht="11.25" customHeight="1">
      <c r="A26" s="93"/>
      <c r="B26" s="205"/>
      <c r="C26" s="49"/>
      <c r="D26" s="205"/>
      <c r="E26" s="205"/>
      <c r="F26" s="88"/>
      <c r="G26" s="83"/>
      <c r="H26" s="83"/>
      <c r="I26" s="89"/>
      <c r="J26" s="6"/>
      <c r="K26" s="8"/>
      <c r="L26" s="20"/>
      <c r="N26" s="851">
        <v>21</v>
      </c>
      <c r="O26" s="852">
        <v>311.781005859375</v>
      </c>
      <c r="P26" s="852">
        <v>357.21099850000002</v>
      </c>
      <c r="Q26" s="853">
        <v>314.7409973</v>
      </c>
      <c r="R26" s="857"/>
      <c r="S26" s="851">
        <v>21</v>
      </c>
      <c r="T26" s="854">
        <v>274.65599975585928</v>
      </c>
      <c r="U26" s="855">
        <v>375.59600258</v>
      </c>
      <c r="V26" s="856">
        <v>378.52099610999994</v>
      </c>
    </row>
    <row r="27" spans="1:22" ht="11.25" customHeight="1">
      <c r="A27" s="97"/>
      <c r="B27" s="205"/>
      <c r="C27" s="49"/>
      <c r="D27" s="205"/>
      <c r="E27" s="205"/>
      <c r="F27" s="91"/>
      <c r="G27" s="91"/>
      <c r="H27" s="91"/>
      <c r="I27" s="91"/>
      <c r="J27" s="6"/>
      <c r="K27" s="8"/>
      <c r="L27" s="20"/>
      <c r="N27" s="851">
        <v>22</v>
      </c>
      <c r="O27" s="852">
        <v>314.74</v>
      </c>
      <c r="P27" s="852">
        <v>341.82</v>
      </c>
      <c r="Q27" s="853">
        <v>311.78100590000003</v>
      </c>
      <c r="R27" s="857"/>
      <c r="S27" s="851">
        <v>22</v>
      </c>
      <c r="T27" s="854">
        <v>269.74</v>
      </c>
      <c r="U27" s="855">
        <v>373.52000000000004</v>
      </c>
      <c r="V27" s="856">
        <v>375.20999716</v>
      </c>
    </row>
    <row r="28" spans="1:22" ht="11.25" customHeight="1">
      <c r="A28" s="97"/>
      <c r="B28" s="205"/>
      <c r="C28" s="49"/>
      <c r="D28" s="205"/>
      <c r="E28" s="205"/>
      <c r="F28" s="91"/>
      <c r="G28" s="91"/>
      <c r="H28" s="91"/>
      <c r="I28" s="91"/>
      <c r="J28" s="6"/>
      <c r="K28" s="8"/>
      <c r="L28" s="20"/>
      <c r="N28" s="851">
        <v>23</v>
      </c>
      <c r="O28" s="852">
        <v>308.83</v>
      </c>
      <c r="P28" s="852">
        <v>326.67999270000001</v>
      </c>
      <c r="Q28" s="853"/>
      <c r="R28" s="857"/>
      <c r="S28" s="851">
        <v>23</v>
      </c>
      <c r="T28" s="854">
        <v>265.4609997</v>
      </c>
      <c r="U28" s="855">
        <v>369.22100255000004</v>
      </c>
      <c r="V28" s="856"/>
    </row>
    <row r="29" spans="1:22" ht="11.25" customHeight="1">
      <c r="A29" s="97"/>
      <c r="B29" s="205"/>
      <c r="C29" s="49"/>
      <c r="D29" s="205"/>
      <c r="E29" s="205"/>
      <c r="F29" s="91"/>
      <c r="G29" s="91"/>
      <c r="H29" s="91"/>
      <c r="I29" s="91"/>
      <c r="J29" s="6"/>
      <c r="K29" s="8"/>
      <c r="L29" s="20"/>
      <c r="N29" s="851">
        <v>24</v>
      </c>
      <c r="O29" s="852">
        <v>300.04000000000002</v>
      </c>
      <c r="P29" s="852">
        <v>308.82998659999998</v>
      </c>
      <c r="Q29" s="853"/>
      <c r="R29" s="857"/>
      <c r="S29" s="851">
        <v>24</v>
      </c>
      <c r="T29" s="854">
        <v>261.10000000000002</v>
      </c>
      <c r="U29" s="855">
        <v>364.44200138999997</v>
      </c>
      <c r="V29" s="856"/>
    </row>
    <row r="30" spans="1:22" ht="11.25" customHeight="1">
      <c r="A30" s="92"/>
      <c r="B30" s="91"/>
      <c r="C30" s="91"/>
      <c r="D30" s="91"/>
      <c r="E30" s="91"/>
      <c r="F30" s="91"/>
      <c r="G30" s="91"/>
      <c r="H30" s="91"/>
      <c r="I30" s="91"/>
      <c r="J30" s="5"/>
      <c r="K30" s="8"/>
      <c r="L30" s="20"/>
      <c r="N30" s="851">
        <v>25</v>
      </c>
      <c r="O30" s="852">
        <v>282.71701050000001</v>
      </c>
      <c r="P30" s="852">
        <v>291.33300780000002</v>
      </c>
      <c r="Q30" s="853"/>
      <c r="R30" s="857"/>
      <c r="S30" s="851">
        <v>25</v>
      </c>
      <c r="T30" s="854">
        <v>256.25999989000002</v>
      </c>
      <c r="U30" s="855">
        <v>359.61999897999999</v>
      </c>
      <c r="V30" s="856"/>
    </row>
    <row r="31" spans="1:22" ht="11.25" customHeight="1">
      <c r="A31" s="92"/>
      <c r="B31" s="91"/>
      <c r="C31" s="91"/>
      <c r="D31" s="91"/>
      <c r="E31" s="91"/>
      <c r="F31" s="91"/>
      <c r="G31" s="91"/>
      <c r="H31" s="91"/>
      <c r="I31" s="91"/>
      <c r="J31" s="5"/>
      <c r="K31" s="8"/>
      <c r="L31" s="20"/>
      <c r="N31" s="851">
        <v>26</v>
      </c>
      <c r="O31" s="852">
        <v>262.95300292968699</v>
      </c>
      <c r="P31" s="852">
        <v>268.55099489999998</v>
      </c>
      <c r="Q31" s="853"/>
      <c r="R31" s="857"/>
      <c r="S31" s="851">
        <v>26</v>
      </c>
      <c r="T31" s="854">
        <v>252.54899978637627</v>
      </c>
      <c r="U31" s="855">
        <v>354.77499773999995</v>
      </c>
      <c r="V31" s="856"/>
    </row>
    <row r="32" spans="1:22" ht="11.25" customHeight="1">
      <c r="A32" s="92"/>
      <c r="B32" s="91"/>
      <c r="C32" s="91"/>
      <c r="D32" s="91"/>
      <c r="E32" s="91"/>
      <c r="F32" s="91"/>
      <c r="G32" s="91"/>
      <c r="H32" s="91"/>
      <c r="I32" s="91"/>
      <c r="J32" s="5"/>
      <c r="K32" s="8"/>
      <c r="L32" s="20"/>
      <c r="N32" s="851">
        <v>27</v>
      </c>
      <c r="O32" s="852">
        <v>254.63000489999999</v>
      </c>
      <c r="P32" s="852">
        <v>265.7470093</v>
      </c>
      <c r="Q32" s="853"/>
      <c r="R32" s="857"/>
      <c r="S32" s="851">
        <v>27</v>
      </c>
      <c r="T32" s="854">
        <v>248.26700022</v>
      </c>
      <c r="U32" s="855">
        <v>349.77999684000002</v>
      </c>
      <c r="V32" s="856"/>
    </row>
    <row r="33" spans="1:22" ht="11.25" customHeight="1">
      <c r="A33" s="92"/>
      <c r="B33" s="91"/>
      <c r="C33" s="91"/>
      <c r="D33" s="91"/>
      <c r="E33" s="91"/>
      <c r="F33" s="91"/>
      <c r="G33" s="91"/>
      <c r="H33" s="91"/>
      <c r="I33" s="91"/>
      <c r="J33" s="5"/>
      <c r="K33" s="8"/>
      <c r="L33" s="20"/>
      <c r="N33" s="851">
        <v>28</v>
      </c>
      <c r="O33" s="852">
        <v>240.9539948</v>
      </c>
      <c r="P33" s="858">
        <v>243.66999820000001</v>
      </c>
      <c r="Q33" s="853"/>
      <c r="R33" s="857"/>
      <c r="S33" s="851">
        <v>28</v>
      </c>
      <c r="T33" s="854">
        <v>243.86400222</v>
      </c>
      <c r="U33" s="855">
        <v>344.32400322999996</v>
      </c>
      <c r="V33" s="856"/>
    </row>
    <row r="34" spans="1:22" ht="11.25" customHeight="1">
      <c r="A34" s="92"/>
      <c r="B34" s="91"/>
      <c r="C34" s="91"/>
      <c r="D34" s="91"/>
      <c r="E34" s="91"/>
      <c r="F34" s="91"/>
      <c r="G34" s="91"/>
      <c r="H34" s="91"/>
      <c r="I34" s="91"/>
      <c r="J34" s="5"/>
      <c r="K34" s="8"/>
      <c r="L34" s="20"/>
      <c r="N34" s="851">
        <v>29</v>
      </c>
      <c r="O34" s="852">
        <v>227.5220032</v>
      </c>
      <c r="P34" s="852">
        <v>227.5220032</v>
      </c>
      <c r="Q34" s="853"/>
      <c r="R34" s="857"/>
      <c r="S34" s="851">
        <v>29</v>
      </c>
      <c r="T34" s="854">
        <v>239.07999988</v>
      </c>
      <c r="U34" s="855">
        <v>338.60699847999996</v>
      </c>
      <c r="V34" s="856"/>
    </row>
    <row r="35" spans="1:22" ht="11.25" customHeight="1">
      <c r="A35" s="92"/>
      <c r="B35" s="91"/>
      <c r="C35" s="91"/>
      <c r="D35" s="91"/>
      <c r="E35" s="91"/>
      <c r="F35" s="91"/>
      <c r="G35" s="91"/>
      <c r="H35" s="91"/>
      <c r="I35" s="91"/>
      <c r="J35" s="8"/>
      <c r="K35" s="8"/>
      <c r="L35" s="20"/>
      <c r="N35" s="851">
        <v>30</v>
      </c>
      <c r="O35" s="852">
        <v>216.95199584960901</v>
      </c>
      <c r="P35" s="852">
        <v>216.95199579999999</v>
      </c>
      <c r="Q35" s="853"/>
      <c r="R35" s="857"/>
      <c r="S35" s="851">
        <v>30</v>
      </c>
      <c r="T35" s="854">
        <v>234.2539968490598</v>
      </c>
      <c r="U35" s="855">
        <v>332.49400331000004</v>
      </c>
      <c r="V35" s="856"/>
    </row>
    <row r="36" spans="1:22" ht="11.25" customHeight="1">
      <c r="A36" s="92"/>
      <c r="B36" s="91"/>
      <c r="C36" s="91"/>
      <c r="D36" s="91"/>
      <c r="E36" s="91"/>
      <c r="F36" s="91"/>
      <c r="G36" s="91"/>
      <c r="H36" s="91"/>
      <c r="I36" s="91"/>
      <c r="J36" s="5"/>
      <c r="K36" s="8"/>
      <c r="L36" s="20"/>
      <c r="N36" s="851">
        <v>31</v>
      </c>
      <c r="O36" s="852">
        <v>216.95199579999999</v>
      </c>
      <c r="P36" s="852">
        <v>209.128006</v>
      </c>
      <c r="Q36" s="853"/>
      <c r="R36" s="857"/>
      <c r="S36" s="851">
        <v>31</v>
      </c>
      <c r="T36" s="854">
        <v>229.68000125999998</v>
      </c>
      <c r="U36" s="855">
        <v>324</v>
      </c>
      <c r="V36" s="856"/>
    </row>
    <row r="37" spans="1:22" ht="11.25" customHeight="1">
      <c r="A37" s="92"/>
      <c r="B37" s="91"/>
      <c r="C37" s="91"/>
      <c r="D37" s="91"/>
      <c r="E37" s="91"/>
      <c r="F37" s="91"/>
      <c r="G37" s="91"/>
      <c r="H37" s="91"/>
      <c r="I37" s="91"/>
      <c r="J37" s="5"/>
      <c r="K37" s="13"/>
      <c r="L37" s="20"/>
      <c r="N37" s="851">
        <v>32</v>
      </c>
      <c r="O37" s="852">
        <v>201.39199830000001</v>
      </c>
      <c r="P37" s="852">
        <v>198.83200070000001</v>
      </c>
      <c r="Q37" s="853"/>
      <c r="R37" s="857"/>
      <c r="S37" s="851">
        <v>32</v>
      </c>
      <c r="T37" s="854">
        <v>224.73799990999998</v>
      </c>
      <c r="U37" s="855">
        <v>320.73399734000003</v>
      </c>
      <c r="V37" s="856"/>
    </row>
    <row r="38" spans="1:22" ht="11.25" customHeight="1">
      <c r="A38" s="92"/>
      <c r="B38" s="91"/>
      <c r="C38" s="91"/>
      <c r="D38" s="91"/>
      <c r="E38" s="91"/>
      <c r="F38" s="91"/>
      <c r="G38" s="91"/>
      <c r="H38" s="91"/>
      <c r="I38" s="91"/>
      <c r="J38" s="5"/>
      <c r="K38" s="13"/>
      <c r="L38" s="48"/>
      <c r="N38" s="851">
        <v>33</v>
      </c>
      <c r="O38" s="852">
        <v>193.74299621582</v>
      </c>
      <c r="P38" s="852">
        <v>188.69299319999999</v>
      </c>
      <c r="Q38" s="853"/>
      <c r="R38" s="857"/>
      <c r="S38" s="851">
        <v>33</v>
      </c>
      <c r="T38" s="854">
        <v>219.00299835205058</v>
      </c>
      <c r="U38" s="855">
        <v>314.19900131999998</v>
      </c>
      <c r="V38" s="856"/>
    </row>
    <row r="39" spans="1:22" ht="11.25" customHeight="1">
      <c r="A39" s="92"/>
      <c r="B39" s="91"/>
      <c r="C39" s="91"/>
      <c r="D39" s="91"/>
      <c r="E39" s="91"/>
      <c r="F39" s="91"/>
      <c r="G39" s="91"/>
      <c r="H39" s="91"/>
      <c r="I39" s="91"/>
      <c r="J39" s="5"/>
      <c r="K39" s="9"/>
      <c r="L39" s="20"/>
      <c r="N39" s="851">
        <v>34</v>
      </c>
      <c r="O39" s="852">
        <v>181.19200129999999</v>
      </c>
      <c r="P39" s="852">
        <v>183.68200680000001</v>
      </c>
      <c r="Q39" s="853"/>
      <c r="R39" s="857"/>
      <c r="S39" s="851">
        <v>34</v>
      </c>
      <c r="T39" s="854">
        <v>214.38699817</v>
      </c>
      <c r="U39" s="855">
        <v>307.85200500000002</v>
      </c>
      <c r="V39" s="856"/>
    </row>
    <row r="40" spans="1:22" ht="11.25" customHeight="1">
      <c r="A40" s="92"/>
      <c r="B40" s="91"/>
      <c r="C40" s="91"/>
      <c r="D40" s="91"/>
      <c r="E40" s="91"/>
      <c r="F40" s="91"/>
      <c r="G40" s="91"/>
      <c r="H40" s="91"/>
      <c r="I40" s="91"/>
      <c r="J40" s="5"/>
      <c r="K40" s="9"/>
      <c r="L40" s="20"/>
      <c r="N40" s="851">
        <v>35</v>
      </c>
      <c r="O40" s="852">
        <v>171.32600400000001</v>
      </c>
      <c r="P40" s="859">
        <v>176.23899840000001</v>
      </c>
      <c r="Q40" s="853"/>
      <c r="R40" s="857"/>
      <c r="S40" s="851">
        <v>35</v>
      </c>
      <c r="T40" s="854">
        <v>208.95000171000001</v>
      </c>
      <c r="U40" s="855">
        <v>300.83900069999999</v>
      </c>
      <c r="V40" s="856"/>
    </row>
    <row r="41" spans="1:22" ht="11.25" customHeight="1">
      <c r="A41" s="92"/>
      <c r="B41" s="91"/>
      <c r="C41" s="91"/>
      <c r="D41" s="91"/>
      <c r="E41" s="91"/>
      <c r="F41" s="91"/>
      <c r="G41" s="91"/>
      <c r="H41" s="91"/>
      <c r="I41" s="91"/>
      <c r="J41" s="5"/>
      <c r="K41" s="9"/>
      <c r="L41" s="20"/>
      <c r="N41" s="851">
        <v>36</v>
      </c>
      <c r="O41" s="852">
        <v>164.02999879999999</v>
      </c>
      <c r="P41" s="859">
        <v>168.8840027</v>
      </c>
      <c r="Q41" s="853"/>
      <c r="R41" s="857"/>
      <c r="S41" s="851">
        <v>36</v>
      </c>
      <c r="T41" s="854">
        <v>202.97300145000003</v>
      </c>
      <c r="U41" s="855">
        <v>293.46100233999999</v>
      </c>
      <c r="V41" s="856"/>
    </row>
    <row r="42" spans="1:22" ht="11.25" customHeight="1">
      <c r="A42" s="92"/>
      <c r="B42" s="91"/>
      <c r="C42" s="91"/>
      <c r="D42" s="91"/>
      <c r="E42" s="91"/>
      <c r="F42" s="91"/>
      <c r="G42" s="91"/>
      <c r="H42" s="91"/>
      <c r="I42" s="91"/>
      <c r="J42" s="8"/>
      <c r="K42" s="13"/>
      <c r="L42" s="20"/>
      <c r="N42" s="851">
        <v>37</v>
      </c>
      <c r="O42" s="852">
        <v>147.34800720000001</v>
      </c>
      <c r="P42" s="859">
        <v>159.2149963</v>
      </c>
      <c r="Q42" s="853"/>
      <c r="R42" s="857"/>
      <c r="S42" s="851">
        <v>37</v>
      </c>
      <c r="T42" s="854">
        <v>196.95000080099999</v>
      </c>
      <c r="U42" s="855">
        <v>287.76599501999999</v>
      </c>
      <c r="V42" s="856"/>
    </row>
    <row r="43" spans="1:22" ht="11.25" customHeight="1">
      <c r="A43" s="92"/>
      <c r="B43" s="91"/>
      <c r="C43" s="91"/>
      <c r="D43" s="91"/>
      <c r="E43" s="91"/>
      <c r="F43" s="91"/>
      <c r="G43" s="91"/>
      <c r="H43" s="91"/>
      <c r="I43" s="91"/>
      <c r="J43" s="5"/>
      <c r="K43" s="13"/>
      <c r="L43" s="20"/>
      <c r="N43" s="851">
        <v>38</v>
      </c>
      <c r="O43" s="852">
        <v>131.14500430000001</v>
      </c>
      <c r="P43" s="859">
        <v>149.70199579999999</v>
      </c>
      <c r="Q43" s="853"/>
      <c r="R43" s="857"/>
      <c r="S43" s="851">
        <v>38</v>
      </c>
      <c r="T43" s="854">
        <v>190.78400421900002</v>
      </c>
      <c r="U43" s="855">
        <v>282.07300377000001</v>
      </c>
      <c r="V43" s="856"/>
    </row>
    <row r="44" spans="1:22" ht="11.25" customHeight="1">
      <c r="A44" s="92"/>
      <c r="B44" s="91"/>
      <c r="C44" s="91"/>
      <c r="D44" s="91"/>
      <c r="E44" s="91"/>
      <c r="F44" s="91"/>
      <c r="G44" s="91"/>
      <c r="H44" s="91"/>
      <c r="I44" s="91"/>
      <c r="J44" s="5"/>
      <c r="K44" s="13"/>
      <c r="L44" s="20"/>
      <c r="N44" s="851">
        <v>39</v>
      </c>
      <c r="O44" s="852">
        <v>119.8639984</v>
      </c>
      <c r="P44" s="859">
        <v>138.02999879999999</v>
      </c>
      <c r="Q44" s="853"/>
      <c r="R44" s="857"/>
      <c r="S44" s="851">
        <v>39</v>
      </c>
      <c r="T44" s="854">
        <v>184.44099947499998</v>
      </c>
      <c r="U44" s="855">
        <v>275.53000069000001</v>
      </c>
      <c r="V44" s="856"/>
    </row>
    <row r="45" spans="1:22" ht="11.25" customHeight="1">
      <c r="A45" s="92"/>
      <c r="B45" s="91"/>
      <c r="C45" s="91"/>
      <c r="D45" s="91"/>
      <c r="E45" s="91"/>
      <c r="F45" s="91"/>
      <c r="G45" s="91"/>
      <c r="H45" s="91"/>
      <c r="I45" s="91"/>
      <c r="J45" s="15"/>
      <c r="K45" s="15"/>
      <c r="L45" s="15"/>
      <c r="N45" s="851">
        <v>40</v>
      </c>
      <c r="O45" s="852">
        <v>119.8639984</v>
      </c>
      <c r="P45" s="852">
        <v>131.14500430000001</v>
      </c>
      <c r="Q45" s="853"/>
      <c r="R45" s="857"/>
      <c r="S45" s="851">
        <v>40</v>
      </c>
      <c r="T45" s="854">
        <v>177.93399906500002</v>
      </c>
      <c r="U45" s="855">
        <v>268.25699615000002</v>
      </c>
      <c r="V45" s="856"/>
    </row>
    <row r="46" spans="1:22" ht="11.25" customHeight="1">
      <c r="A46" s="92"/>
      <c r="B46" s="91"/>
      <c r="C46" s="91"/>
      <c r="D46" s="91"/>
      <c r="E46" s="91"/>
      <c r="F46" s="91"/>
      <c r="G46" s="91"/>
      <c r="H46" s="91"/>
      <c r="I46" s="91"/>
      <c r="J46" s="14"/>
      <c r="K46" s="14"/>
      <c r="L46" s="14"/>
      <c r="N46" s="851">
        <v>41</v>
      </c>
      <c r="O46" s="852">
        <v>113.213996887207</v>
      </c>
      <c r="P46" s="852">
        <v>108.82900239999999</v>
      </c>
      <c r="Q46" s="853"/>
      <c r="R46" s="857"/>
      <c r="S46" s="851">
        <v>41</v>
      </c>
      <c r="T46" s="854">
        <v>171.68900227546672</v>
      </c>
      <c r="U46" s="855">
        <v>261.21399689000003</v>
      </c>
      <c r="V46" s="856"/>
    </row>
    <row r="47" spans="1:22" ht="11.25" customHeight="1">
      <c r="A47" s="92"/>
      <c r="B47" s="91"/>
      <c r="C47" s="91"/>
      <c r="D47" s="91"/>
      <c r="E47" s="91"/>
      <c r="F47" s="91"/>
      <c r="G47" s="91"/>
      <c r="H47" s="91"/>
      <c r="I47" s="91"/>
      <c r="J47" s="14"/>
      <c r="K47" s="14"/>
      <c r="L47" s="14"/>
      <c r="N47" s="851">
        <v>42</v>
      </c>
      <c r="O47" s="852">
        <v>100.1760025</v>
      </c>
      <c r="P47" s="852">
        <v>95.908996579999993</v>
      </c>
      <c r="Q47" s="853"/>
      <c r="R47" s="857"/>
      <c r="S47" s="851">
        <v>42</v>
      </c>
      <c r="T47" s="854">
        <v>165.69499874400003</v>
      </c>
      <c r="U47" s="855">
        <v>255.58900451</v>
      </c>
      <c r="V47" s="856"/>
    </row>
    <row r="48" spans="1:22" ht="11.25" customHeight="1">
      <c r="A48" s="92"/>
      <c r="B48" s="91"/>
      <c r="C48" s="91"/>
      <c r="D48" s="91"/>
      <c r="E48" s="91"/>
      <c r="F48" s="91"/>
      <c r="G48" s="91"/>
      <c r="H48" s="91"/>
      <c r="I48" s="91"/>
      <c r="J48" s="14"/>
      <c r="K48" s="14"/>
      <c r="L48" s="14"/>
      <c r="N48" s="851">
        <v>43</v>
      </c>
      <c r="O48" s="852">
        <v>89.581001279999995</v>
      </c>
      <c r="P48" s="852">
        <v>83.341003420000007</v>
      </c>
      <c r="Q48" s="853"/>
      <c r="R48" s="857"/>
      <c r="S48" s="851">
        <v>43</v>
      </c>
      <c r="T48" s="854">
        <v>160.397996525</v>
      </c>
      <c r="U48" s="855">
        <v>249.85500335</v>
      </c>
      <c r="V48" s="856"/>
    </row>
    <row r="49" spans="1:22" ht="11.25" customHeight="1">
      <c r="A49" s="92"/>
      <c r="B49" s="91"/>
      <c r="C49" s="91"/>
      <c r="D49" s="91"/>
      <c r="E49" s="91"/>
      <c r="F49" s="91"/>
      <c r="G49" s="91"/>
      <c r="H49" s="91"/>
      <c r="I49" s="91"/>
      <c r="J49" s="14"/>
      <c r="K49" s="14"/>
      <c r="L49" s="14"/>
      <c r="N49" s="851">
        <v>44</v>
      </c>
      <c r="O49" s="852">
        <v>75.156997680000003</v>
      </c>
      <c r="P49" s="852">
        <v>75.16</v>
      </c>
      <c r="Q49" s="853"/>
      <c r="R49" s="857"/>
      <c r="S49" s="851">
        <v>44</v>
      </c>
      <c r="T49" s="854">
        <v>154.79199918699999</v>
      </c>
      <c r="U49" s="855">
        <v>242.79000000000002</v>
      </c>
      <c r="V49" s="856"/>
    </row>
    <row r="50" spans="1:22" ht="12.75">
      <c r="A50" s="92"/>
      <c r="B50" s="91"/>
      <c r="C50" s="91"/>
      <c r="D50" s="91"/>
      <c r="E50" s="91"/>
      <c r="F50" s="91"/>
      <c r="G50" s="91"/>
      <c r="H50" s="91"/>
      <c r="I50" s="91"/>
      <c r="J50" s="14"/>
      <c r="K50" s="14"/>
      <c r="L50" s="14"/>
      <c r="N50" s="851">
        <v>45</v>
      </c>
      <c r="O50" s="852">
        <v>61.2140007</v>
      </c>
      <c r="P50" s="852">
        <v>65.149002080000002</v>
      </c>
      <c r="Q50" s="853"/>
      <c r="R50" s="857"/>
      <c r="S50" s="851">
        <v>45</v>
      </c>
      <c r="T50" s="854">
        <v>149.715000041</v>
      </c>
      <c r="U50" s="855">
        <v>235.60499572000001</v>
      </c>
      <c r="V50" s="856"/>
    </row>
    <row r="51" spans="1:22" ht="12.75">
      <c r="A51" s="92"/>
      <c r="B51" s="91"/>
      <c r="C51" s="91"/>
      <c r="D51" s="91"/>
      <c r="E51" s="91"/>
      <c r="F51" s="91"/>
      <c r="G51" s="91"/>
      <c r="H51" s="91"/>
      <c r="I51" s="91"/>
      <c r="J51" s="14"/>
      <c r="K51" s="14"/>
      <c r="L51" s="14"/>
      <c r="N51" s="851">
        <v>46</v>
      </c>
      <c r="O51" s="852">
        <v>43.990001679999999</v>
      </c>
      <c r="P51" s="852">
        <v>47.749000549999998</v>
      </c>
      <c r="Q51" s="853"/>
      <c r="R51" s="857"/>
      <c r="S51" s="851">
        <v>46</v>
      </c>
      <c r="T51" s="854">
        <v>144.11800040400001</v>
      </c>
      <c r="U51" s="855">
        <v>230.54900361099999</v>
      </c>
      <c r="V51" s="856"/>
    </row>
    <row r="52" spans="1:22" ht="12.75">
      <c r="A52" s="92"/>
      <c r="B52" s="91"/>
      <c r="C52" s="91"/>
      <c r="D52" s="91"/>
      <c r="E52" s="91"/>
      <c r="F52" s="91"/>
      <c r="G52" s="91"/>
      <c r="H52" s="91"/>
      <c r="I52" s="91"/>
      <c r="J52" s="14"/>
      <c r="K52" s="14"/>
      <c r="L52" s="14"/>
      <c r="N52" s="851">
        <v>47</v>
      </c>
      <c r="O52" s="852">
        <v>25.781999590000002</v>
      </c>
      <c r="P52" s="852">
        <v>34.763999939999998</v>
      </c>
      <c r="Q52" s="853"/>
      <c r="R52" s="857"/>
      <c r="S52" s="851">
        <v>47</v>
      </c>
      <c r="T52" s="854">
        <v>138.82499813000001</v>
      </c>
      <c r="U52" s="855">
        <v>223.60000467499998</v>
      </c>
      <c r="V52" s="856"/>
    </row>
    <row r="53" spans="1:22" ht="12.75">
      <c r="A53" s="92"/>
      <c r="B53" s="91"/>
      <c r="C53" s="91"/>
      <c r="D53" s="91"/>
      <c r="E53" s="91"/>
      <c r="F53" s="91"/>
      <c r="G53" s="91"/>
      <c r="H53" s="91"/>
      <c r="I53" s="91"/>
      <c r="J53" s="14"/>
      <c r="K53" s="14"/>
      <c r="L53" s="14"/>
      <c r="N53" s="851">
        <v>48</v>
      </c>
      <c r="O53" s="852">
        <v>29.344999309999999</v>
      </c>
      <c r="P53" s="852">
        <v>13.618000029999999</v>
      </c>
      <c r="Q53" s="853"/>
      <c r="R53" s="857"/>
      <c r="S53" s="851">
        <v>48</v>
      </c>
      <c r="T53" s="854">
        <v>133.112998957</v>
      </c>
      <c r="U53" s="855">
        <v>217.17600035300001</v>
      </c>
      <c r="V53" s="856"/>
    </row>
    <row r="54" spans="1:22" ht="13.5">
      <c r="A54" s="92"/>
      <c r="B54" s="91"/>
      <c r="C54" s="91"/>
      <c r="D54" s="91"/>
      <c r="E54" s="91"/>
      <c r="F54" s="91"/>
      <c r="G54" s="91"/>
      <c r="H54" s="91"/>
      <c r="I54" s="91"/>
      <c r="J54" s="14"/>
      <c r="K54" s="14"/>
      <c r="L54" s="14"/>
      <c r="N54" s="851">
        <v>49</v>
      </c>
      <c r="O54" s="860">
        <v>34.763999939999998</v>
      </c>
      <c r="P54" s="852">
        <v>8.5520000459999999</v>
      </c>
      <c r="Q54" s="853"/>
      <c r="R54" s="857"/>
      <c r="S54" s="851">
        <v>49</v>
      </c>
      <c r="T54" s="854">
        <v>128.370002666</v>
      </c>
      <c r="U54" s="855">
        <v>210.45100211699997</v>
      </c>
      <c r="V54" s="856"/>
    </row>
    <row r="55" spans="1:22" ht="12.75">
      <c r="A55" s="92"/>
      <c r="B55" s="91"/>
      <c r="C55" s="91"/>
      <c r="D55" s="91"/>
      <c r="E55" s="91"/>
      <c r="F55" s="91"/>
      <c r="G55" s="91"/>
      <c r="H55" s="91"/>
      <c r="I55" s="91"/>
      <c r="J55" s="14"/>
      <c r="K55" s="14"/>
      <c r="L55" s="14"/>
      <c r="N55" s="851">
        <v>50</v>
      </c>
      <c r="O55" s="852">
        <v>32.948001859999998</v>
      </c>
      <c r="P55" s="852">
        <v>13.618000029999999</v>
      </c>
      <c r="Q55" s="853"/>
      <c r="R55" s="857"/>
      <c r="S55" s="851">
        <v>50</v>
      </c>
      <c r="T55" s="854">
        <v>122.71499820000001</v>
      </c>
      <c r="U55" s="855">
        <v>203.37099885499998</v>
      </c>
      <c r="V55" s="856"/>
    </row>
    <row r="56" spans="1:22" ht="12.75">
      <c r="A56" s="92"/>
      <c r="B56" s="91"/>
      <c r="C56" s="91"/>
      <c r="D56" s="91"/>
      <c r="E56" s="91"/>
      <c r="F56" s="91"/>
      <c r="G56" s="91"/>
      <c r="H56" s="91"/>
      <c r="I56" s="91"/>
      <c r="J56" s="14"/>
      <c r="K56" s="14"/>
      <c r="L56" s="14"/>
      <c r="N56" s="851">
        <v>51</v>
      </c>
      <c r="O56" s="852">
        <v>25.781999590000002</v>
      </c>
      <c r="P56" s="852">
        <v>18.771999359999999</v>
      </c>
      <c r="Q56" s="853"/>
      <c r="R56" s="857"/>
      <c r="S56" s="851">
        <v>51</v>
      </c>
      <c r="T56" s="854">
        <v>120.15600296300001</v>
      </c>
      <c r="U56" s="855">
        <v>202.35899971500001</v>
      </c>
      <c r="V56" s="856"/>
    </row>
    <row r="57" spans="1:22" ht="12.75">
      <c r="A57" s="92"/>
      <c r="B57" s="91"/>
      <c r="C57" s="91"/>
      <c r="D57" s="91"/>
      <c r="E57" s="91"/>
      <c r="F57" s="91"/>
      <c r="G57" s="91"/>
      <c r="H57" s="91"/>
      <c r="I57" s="91"/>
      <c r="N57" s="851">
        <v>52</v>
      </c>
      <c r="O57" s="852">
        <v>22.256999969999999</v>
      </c>
      <c r="P57" s="852">
        <v>25.781999590000002</v>
      </c>
      <c r="Q57" s="853"/>
      <c r="R57" s="857"/>
      <c r="S57" s="851">
        <v>52</v>
      </c>
      <c r="T57" s="854">
        <v>116.12899696700001</v>
      </c>
      <c r="U57" s="855">
        <v>201.25199794899999</v>
      </c>
      <c r="V57" s="856"/>
    </row>
    <row r="58" spans="1:22" ht="12.75">
      <c r="A58" s="92"/>
      <c r="B58" s="91"/>
      <c r="C58" s="91"/>
      <c r="D58" s="91"/>
      <c r="E58" s="91"/>
      <c r="F58" s="91"/>
      <c r="G58" s="91"/>
      <c r="H58" s="91"/>
      <c r="I58" s="91"/>
      <c r="N58" s="851">
        <v>53</v>
      </c>
      <c r="O58" s="857"/>
      <c r="P58" s="857"/>
      <c r="Q58" s="857"/>
      <c r="R58" s="857"/>
      <c r="S58" s="851">
        <v>53</v>
      </c>
      <c r="T58" s="854"/>
      <c r="U58" s="855"/>
      <c r="V58" s="856"/>
    </row>
    <row r="59" spans="1:22" ht="12.75">
      <c r="B59" s="91"/>
      <c r="C59" s="91"/>
      <c r="D59" s="91"/>
      <c r="E59" s="91"/>
      <c r="F59" s="91"/>
      <c r="G59" s="91"/>
      <c r="H59" s="91"/>
      <c r="I59" s="91"/>
      <c r="N59" s="848"/>
      <c r="O59" s="848"/>
      <c r="P59" s="848"/>
      <c r="Q59" s="848"/>
      <c r="R59" s="848"/>
      <c r="S59" s="848"/>
      <c r="T59" s="848"/>
      <c r="U59" s="848"/>
      <c r="V59" s="848"/>
    </row>
    <row r="60" spans="1:22" ht="12.75">
      <c r="A60" s="92"/>
      <c r="B60" s="91"/>
      <c r="C60" s="91"/>
      <c r="D60" s="91"/>
      <c r="E60" s="91"/>
      <c r="F60" s="91"/>
      <c r="G60" s="91"/>
      <c r="H60" s="91"/>
      <c r="I60" s="91"/>
    </row>
    <row r="63" spans="1:22">
      <c r="A63" s="420" t="s">
        <v>567</v>
      </c>
    </row>
  </sheetData>
  <mergeCells count="2">
    <mergeCell ref="A5:I5"/>
    <mergeCell ref="B7:C7"/>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S131"/>
  <sheetViews>
    <sheetView showGridLines="0" view="pageBreakPreview" zoomScale="145" zoomScaleNormal="100" zoomScaleSheetLayoutView="145" zoomScalePageLayoutView="130" workbookViewId="0">
      <selection activeCell="Q26" sqref="Q26"/>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538"/>
    <col min="11" max="11" width="9.33203125" style="832"/>
    <col min="12" max="12" width="3.1640625" style="861" bestFit="1" customWidth="1"/>
    <col min="13" max="15" width="9.33203125" style="832"/>
    <col min="16" max="19" width="9.33203125" style="566"/>
    <col min="20" max="16384" width="9.33203125" style="3"/>
  </cols>
  <sheetData>
    <row r="1" spans="1:15" ht="11.25" customHeight="1"/>
    <row r="2" spans="1:15" ht="11.25" customHeight="1">
      <c r="A2" s="25"/>
      <c r="B2" s="25"/>
      <c r="C2" s="25"/>
      <c r="D2" s="25"/>
      <c r="E2" s="91"/>
      <c r="F2" s="91"/>
      <c r="G2" s="91"/>
    </row>
    <row r="3" spans="1:15" ht="17.25" customHeight="1">
      <c r="A3" s="939" t="s">
        <v>508</v>
      </c>
      <c r="B3" s="939"/>
      <c r="C3" s="939"/>
      <c r="D3" s="939"/>
      <c r="E3" s="939"/>
      <c r="F3" s="939"/>
      <c r="G3" s="939"/>
      <c r="H3" s="45"/>
      <c r="I3" s="45"/>
      <c r="K3" s="832" t="s">
        <v>306</v>
      </c>
      <c r="M3" s="832" t="s">
        <v>307</v>
      </c>
      <c r="N3" s="832" t="s">
        <v>308</v>
      </c>
      <c r="O3" s="832" t="s">
        <v>309</v>
      </c>
    </row>
    <row r="4" spans="1:15" ht="11.25" customHeight="1">
      <c r="A4" s="92"/>
      <c r="B4" s="91"/>
      <c r="C4" s="91"/>
      <c r="D4" s="91"/>
      <c r="E4" s="91"/>
      <c r="F4" s="91"/>
      <c r="G4" s="91"/>
      <c r="H4" s="45"/>
      <c r="I4" s="45"/>
      <c r="J4" s="538">
        <v>2016</v>
      </c>
      <c r="K4" s="832">
        <v>1</v>
      </c>
      <c r="L4" s="861">
        <v>1</v>
      </c>
      <c r="M4" s="862">
        <v>40.61</v>
      </c>
      <c r="N4" s="862">
        <v>96.75</v>
      </c>
      <c r="O4" s="862">
        <v>16.37</v>
      </c>
    </row>
    <row r="5" spans="1:15" ht="11.25" customHeight="1">
      <c r="A5" s="92"/>
      <c r="B5" s="91"/>
      <c r="C5" s="91"/>
      <c r="D5" s="91"/>
      <c r="E5" s="91"/>
      <c r="F5" s="91"/>
      <c r="G5" s="91"/>
      <c r="H5" s="16"/>
      <c r="I5" s="16"/>
      <c r="L5" s="861">
        <v>2</v>
      </c>
      <c r="M5" s="862">
        <v>29.82</v>
      </c>
      <c r="N5" s="862">
        <v>76.510000000000005</v>
      </c>
      <c r="O5" s="862">
        <v>15.9</v>
      </c>
    </row>
    <row r="6" spans="1:15" ht="29.25" customHeight="1">
      <c r="A6" s="157"/>
      <c r="C6" s="216" t="s">
        <v>158</v>
      </c>
      <c r="D6" s="230" t="str">
        <f>UPPER('1. Resumen'!Q4)&amp;"
 "&amp;'1. Resumen'!Q5</f>
        <v>MAYO
 2018</v>
      </c>
      <c r="E6" s="231" t="str">
        <f>UPPER('1. Resumen'!Q4)&amp;"
 "&amp;'1. Resumen'!Q5-1</f>
        <v>MAYO
 2017</v>
      </c>
      <c r="F6" s="232" t="s">
        <v>136</v>
      </c>
      <c r="G6" s="159"/>
      <c r="H6" s="31"/>
      <c r="I6" s="16"/>
      <c r="L6" s="861">
        <v>3</v>
      </c>
      <c r="M6" s="862">
        <v>27.06</v>
      </c>
      <c r="N6" s="862">
        <v>80.096000000000004</v>
      </c>
      <c r="O6" s="862">
        <v>29.21</v>
      </c>
    </row>
    <row r="7" spans="1:15" ht="11.25" customHeight="1">
      <c r="A7" s="233"/>
      <c r="C7" s="239" t="s">
        <v>159</v>
      </c>
      <c r="D7" s="234">
        <v>14.687870889999999</v>
      </c>
      <c r="E7" s="234">
        <v>16.290000920000001</v>
      </c>
      <c r="F7" s="235">
        <f>IF(E7=0,"",(D7-E7)/E7)</f>
        <v>-9.8350518079651617E-2</v>
      </c>
      <c r="G7" s="159"/>
      <c r="H7" s="32"/>
      <c r="I7" s="5"/>
      <c r="K7" s="832">
        <v>4</v>
      </c>
      <c r="L7" s="861">
        <v>4</v>
      </c>
      <c r="M7" s="862">
        <v>27.93</v>
      </c>
      <c r="N7" s="862">
        <v>77.09</v>
      </c>
      <c r="O7" s="862">
        <v>20.7</v>
      </c>
    </row>
    <row r="8" spans="1:15" ht="11.25" customHeight="1">
      <c r="A8" s="233"/>
      <c r="C8" s="238" t="s">
        <v>165</v>
      </c>
      <c r="D8" s="236">
        <v>16.16000009</v>
      </c>
      <c r="E8" s="236">
        <v>14.27099991</v>
      </c>
      <c r="F8" s="237">
        <f t="shared" ref="F8:F30" si="0">IF(E8=0,"",(D8-E8)/E8)</f>
        <v>0.13236635077520648</v>
      </c>
      <c r="G8" s="159"/>
      <c r="H8" s="30"/>
      <c r="I8" s="6"/>
      <c r="L8" s="861">
        <v>5</v>
      </c>
      <c r="M8" s="862">
        <v>49.585999999999999</v>
      </c>
      <c r="N8" s="862">
        <v>140.12</v>
      </c>
      <c r="O8" s="862">
        <v>74.02</v>
      </c>
    </row>
    <row r="9" spans="1:15" ht="11.25" customHeight="1">
      <c r="A9" s="233"/>
      <c r="C9" s="239" t="s">
        <v>166</v>
      </c>
      <c r="D9" s="234">
        <v>64.486580630000006</v>
      </c>
      <c r="E9" s="234">
        <v>72.291999820000001</v>
      </c>
      <c r="F9" s="235">
        <f t="shared" si="0"/>
        <v>-0.10797071888223765</v>
      </c>
      <c r="G9" s="159"/>
      <c r="H9" s="32"/>
      <c r="I9" s="8"/>
      <c r="L9" s="861">
        <v>6</v>
      </c>
      <c r="M9" s="862">
        <v>57</v>
      </c>
      <c r="N9" s="862">
        <v>144.66999999999999</v>
      </c>
      <c r="O9" s="862">
        <v>78.08</v>
      </c>
    </row>
    <row r="10" spans="1:15" ht="11.25" customHeight="1">
      <c r="A10" s="233"/>
      <c r="C10" s="238" t="s">
        <v>173</v>
      </c>
      <c r="D10" s="236">
        <v>83.692065450000001</v>
      </c>
      <c r="E10" s="236">
        <v>59.203998570000003</v>
      </c>
      <c r="F10" s="237">
        <f t="shared" si="0"/>
        <v>0.41362184094789589</v>
      </c>
      <c r="G10" s="159"/>
      <c r="H10" s="32"/>
      <c r="I10" s="5"/>
      <c r="L10" s="861">
        <v>7</v>
      </c>
      <c r="M10" s="862">
        <v>52.31</v>
      </c>
      <c r="N10" s="862">
        <v>117.32</v>
      </c>
      <c r="O10" s="862">
        <v>41.34</v>
      </c>
    </row>
    <row r="11" spans="1:15" ht="11.25" customHeight="1">
      <c r="A11" s="233"/>
      <c r="C11" s="239" t="s">
        <v>174</v>
      </c>
      <c r="D11" s="234">
        <v>92.586709670000005</v>
      </c>
      <c r="E11" s="234">
        <v>47.9640007</v>
      </c>
      <c r="F11" s="235">
        <f t="shared" si="0"/>
        <v>0.93033750977324137</v>
      </c>
      <c r="G11" s="159"/>
      <c r="H11" s="32"/>
      <c r="I11" s="5"/>
      <c r="K11" s="832">
        <v>8</v>
      </c>
      <c r="L11" s="861">
        <v>8</v>
      </c>
      <c r="M11" s="862">
        <v>57.96</v>
      </c>
      <c r="N11" s="862">
        <v>140.31</v>
      </c>
      <c r="O11" s="862">
        <v>96.52</v>
      </c>
    </row>
    <row r="12" spans="1:15" ht="11.25" customHeight="1">
      <c r="A12" s="233"/>
      <c r="C12" s="238" t="s">
        <v>176</v>
      </c>
      <c r="D12" s="236">
        <v>38.166484220000001</v>
      </c>
      <c r="E12" s="236">
        <v>30.549999239999998</v>
      </c>
      <c r="F12" s="237">
        <f t="shared" si="0"/>
        <v>0.24931211684049795</v>
      </c>
      <c r="G12" s="159"/>
      <c r="H12" s="32"/>
      <c r="I12" s="5"/>
      <c r="L12" s="861">
        <v>9</v>
      </c>
      <c r="M12" s="862">
        <v>100.51885660000001</v>
      </c>
      <c r="N12" s="862">
        <v>268.94750210000001</v>
      </c>
      <c r="O12" s="862">
        <v>150.104332</v>
      </c>
    </row>
    <row r="13" spans="1:15" ht="11.25" customHeight="1">
      <c r="A13" s="233"/>
      <c r="C13" s="239" t="s">
        <v>164</v>
      </c>
      <c r="D13" s="234">
        <v>32.585320680555569</v>
      </c>
      <c r="E13" s="234">
        <v>39.076999999999998</v>
      </c>
      <c r="F13" s="235">
        <f t="shared" si="0"/>
        <v>-0.16612532485719042</v>
      </c>
      <c r="G13" s="159"/>
      <c r="H13" s="30"/>
      <c r="I13" s="6"/>
      <c r="L13" s="861">
        <v>10</v>
      </c>
      <c r="M13" s="862">
        <v>75.15657152448378</v>
      </c>
      <c r="N13" s="862">
        <v>243.71150207519463</v>
      </c>
      <c r="O13" s="862">
        <v>181.79733530680286</v>
      </c>
    </row>
    <row r="14" spans="1:15" ht="11.25" customHeight="1">
      <c r="A14" s="233"/>
      <c r="C14" s="238" t="s">
        <v>297</v>
      </c>
      <c r="D14" s="236">
        <v>37.98076279</v>
      </c>
      <c r="E14" s="236">
        <v>27.170879360000001</v>
      </c>
      <c r="F14" s="237">
        <f t="shared" si="0"/>
        <v>0.39784812581052947</v>
      </c>
      <c r="G14" s="159"/>
      <c r="H14" s="32"/>
      <c r="I14" s="8"/>
      <c r="L14" s="861">
        <v>11</v>
      </c>
      <c r="M14" s="862">
        <v>52.24</v>
      </c>
      <c r="N14" s="862">
        <v>154.21</v>
      </c>
      <c r="O14" s="862">
        <v>79.12</v>
      </c>
    </row>
    <row r="15" spans="1:15" ht="11.25" customHeight="1">
      <c r="A15" s="233"/>
      <c r="C15" s="239" t="s">
        <v>298</v>
      </c>
      <c r="D15" s="234">
        <v>64.018870939999999</v>
      </c>
      <c r="E15" s="234">
        <v>65.75</v>
      </c>
      <c r="F15" s="235">
        <f t="shared" si="0"/>
        <v>-2.6328959087452482E-2</v>
      </c>
      <c r="G15" s="159"/>
      <c r="H15" s="32"/>
      <c r="I15" s="8"/>
      <c r="K15" s="832">
        <v>12</v>
      </c>
      <c r="L15" s="861">
        <v>12</v>
      </c>
      <c r="M15" s="862">
        <v>44.628571101597331</v>
      </c>
      <c r="N15" s="862">
        <v>116.62271445138057</v>
      </c>
      <c r="O15" s="862">
        <v>41.373285293579045</v>
      </c>
    </row>
    <row r="16" spans="1:15" ht="11.25" customHeight="1">
      <c r="A16" s="233"/>
      <c r="C16" s="238" t="s">
        <v>171</v>
      </c>
      <c r="D16" s="236">
        <v>36.426677519999998</v>
      </c>
      <c r="E16" s="236">
        <v>36.099998470000003</v>
      </c>
      <c r="F16" s="237">
        <f t="shared" si="0"/>
        <v>9.0492815469638884E-3</v>
      </c>
      <c r="G16" s="159"/>
      <c r="H16" s="32"/>
      <c r="I16" s="8"/>
      <c r="L16" s="861">
        <v>13</v>
      </c>
      <c r="M16" s="862">
        <v>42.599998474121001</v>
      </c>
      <c r="N16" s="862">
        <v>120.78800201416</v>
      </c>
      <c r="O16" s="862">
        <v>93.665000915527301</v>
      </c>
    </row>
    <row r="17" spans="1:15" ht="11.25" customHeight="1">
      <c r="A17" s="233"/>
      <c r="C17" s="239" t="s">
        <v>175</v>
      </c>
      <c r="D17" s="234">
        <v>14.52190319</v>
      </c>
      <c r="E17" s="234">
        <v>15.00399971</v>
      </c>
      <c r="F17" s="235">
        <f t="shared" si="0"/>
        <v>-3.2131200301122952E-2</v>
      </c>
      <c r="G17" s="159"/>
      <c r="H17" s="32"/>
      <c r="I17" s="8"/>
      <c r="L17" s="861">
        <v>14</v>
      </c>
      <c r="M17" s="862">
        <v>49.743000030517535</v>
      </c>
      <c r="N17" s="862">
        <v>125.66285814557708</v>
      </c>
      <c r="O17" s="862">
        <v>131.74585723876913</v>
      </c>
    </row>
    <row r="18" spans="1:15" ht="11.25" customHeight="1">
      <c r="A18" s="233"/>
      <c r="C18" s="238" t="s">
        <v>299</v>
      </c>
      <c r="D18" s="236">
        <v>11.16506352</v>
      </c>
      <c r="E18" s="236">
        <v>11.010000229999999</v>
      </c>
      <c r="F18" s="237">
        <f t="shared" si="0"/>
        <v>1.4083858924678795E-2</v>
      </c>
      <c r="G18" s="159"/>
      <c r="H18" s="32"/>
      <c r="I18" s="8"/>
      <c r="L18" s="861">
        <v>15</v>
      </c>
      <c r="M18" s="862">
        <v>54.414285387311615</v>
      </c>
      <c r="N18" s="862">
        <v>127.68985639299636</v>
      </c>
      <c r="O18" s="862">
        <v>71.706143515450577</v>
      </c>
    </row>
    <row r="19" spans="1:15" ht="11.25" customHeight="1">
      <c r="A19" s="233"/>
      <c r="C19" s="239" t="s">
        <v>300</v>
      </c>
      <c r="D19" s="234">
        <v>28.097549777777775</v>
      </c>
      <c r="E19" s="234">
        <v>34.758000000000003</v>
      </c>
      <c r="F19" s="235">
        <f t="shared" si="0"/>
        <v>-0.19162351752753976</v>
      </c>
      <c r="G19" s="159"/>
      <c r="H19" s="32"/>
      <c r="I19" s="8"/>
      <c r="K19" s="832">
        <v>16</v>
      </c>
      <c r="L19" s="861">
        <v>16</v>
      </c>
      <c r="M19" s="862">
        <v>47.73</v>
      </c>
      <c r="N19" s="862">
        <v>97.4</v>
      </c>
      <c r="O19" s="862">
        <v>53.49</v>
      </c>
    </row>
    <row r="20" spans="1:15" ht="11.25" customHeight="1">
      <c r="A20" s="233"/>
      <c r="C20" s="238" t="s">
        <v>301</v>
      </c>
      <c r="D20" s="236">
        <v>1.5157096809999999</v>
      </c>
      <c r="E20" s="236">
        <v>0.5</v>
      </c>
      <c r="F20" s="237">
        <f t="shared" si="0"/>
        <v>2.0314193619999998</v>
      </c>
      <c r="G20" s="159"/>
      <c r="H20" s="32"/>
      <c r="I20" s="8"/>
      <c r="L20" s="861">
        <v>17</v>
      </c>
      <c r="M20" s="862">
        <v>42.142857687813873</v>
      </c>
      <c r="N20" s="862">
        <v>85.487143380301248</v>
      </c>
      <c r="O20" s="862">
        <v>51.424428122384178</v>
      </c>
    </row>
    <row r="21" spans="1:15" ht="11.25" customHeight="1">
      <c r="A21" s="233"/>
      <c r="C21" s="239" t="s">
        <v>162</v>
      </c>
      <c r="D21" s="234">
        <v>124.5760326</v>
      </c>
      <c r="E21" s="234">
        <v>184.91499329999999</v>
      </c>
      <c r="F21" s="235">
        <f t="shared" si="0"/>
        <v>-0.3263064807411698</v>
      </c>
      <c r="G21" s="159"/>
      <c r="H21" s="32"/>
      <c r="I21" s="9"/>
      <c r="L21" s="861">
        <v>18</v>
      </c>
      <c r="M21" s="862">
        <v>27.452428545270582</v>
      </c>
      <c r="N21" s="862">
        <v>62.369998931884716</v>
      </c>
      <c r="O21" s="862">
        <v>34.353571755545424</v>
      </c>
    </row>
    <row r="22" spans="1:15" ht="11.25" customHeight="1">
      <c r="A22" s="233"/>
      <c r="C22" s="238" t="s">
        <v>160</v>
      </c>
      <c r="D22" s="236">
        <v>0</v>
      </c>
      <c r="E22" s="236">
        <v>0</v>
      </c>
      <c r="F22" s="237" t="str">
        <f t="shared" si="0"/>
        <v/>
      </c>
      <c r="G22" s="159"/>
      <c r="H22" s="32"/>
      <c r="I22" s="8"/>
      <c r="L22" s="861">
        <v>19</v>
      </c>
      <c r="M22" s="862">
        <v>21.857142584664455</v>
      </c>
      <c r="N22" s="862">
        <v>58.684285300118525</v>
      </c>
      <c r="O22" s="862">
        <v>29.207143238612552</v>
      </c>
    </row>
    <row r="23" spans="1:15" ht="11.25" customHeight="1">
      <c r="A23" s="233"/>
      <c r="C23" s="239" t="s">
        <v>161</v>
      </c>
      <c r="D23" s="234">
        <v>8.3148062920000001</v>
      </c>
      <c r="E23" s="234">
        <v>67.65499878</v>
      </c>
      <c r="F23" s="235">
        <f t="shared" si="0"/>
        <v>-0.87709989739209038</v>
      </c>
      <c r="G23" s="159"/>
      <c r="H23" s="32"/>
      <c r="I23" s="8"/>
      <c r="K23" s="832">
        <v>20</v>
      </c>
      <c r="L23" s="861">
        <v>20</v>
      </c>
      <c r="M23" s="862">
        <v>19.5</v>
      </c>
      <c r="N23" s="862">
        <v>54</v>
      </c>
      <c r="O23" s="862">
        <v>22.1</v>
      </c>
    </row>
    <row r="24" spans="1:15" ht="11.25" customHeight="1">
      <c r="A24" s="233"/>
      <c r="C24" s="238" t="s">
        <v>177</v>
      </c>
      <c r="D24" s="236">
        <v>17.760870959999998</v>
      </c>
      <c r="E24" s="236">
        <v>22.350000380000001</v>
      </c>
      <c r="F24" s="237">
        <f t="shared" si="0"/>
        <v>-0.20533017190042671</v>
      </c>
      <c r="G24" s="159"/>
      <c r="H24" s="33"/>
      <c r="I24" s="8"/>
      <c r="L24" s="861">
        <v>21</v>
      </c>
      <c r="M24" s="862">
        <v>19.485713958740185</v>
      </c>
      <c r="N24" s="862">
        <v>50.756999969482365</v>
      </c>
      <c r="O24" s="862">
        <v>17.473428726196214</v>
      </c>
    </row>
    <row r="25" spans="1:15" ht="11.25" customHeight="1">
      <c r="A25" s="240"/>
      <c r="C25" s="239" t="s">
        <v>167</v>
      </c>
      <c r="D25" s="234">
        <v>0.67290322999999996</v>
      </c>
      <c r="E25" s="234">
        <v>3.2149999139999998</v>
      </c>
      <c r="F25" s="235">
        <f t="shared" si="0"/>
        <v>-0.79069883421464993</v>
      </c>
      <c r="G25" s="201"/>
      <c r="H25" s="32"/>
      <c r="I25" s="9"/>
      <c r="L25" s="861">
        <v>22</v>
      </c>
      <c r="M25" s="862">
        <v>16.329999999999998</v>
      </c>
      <c r="N25" s="862">
        <v>46.59</v>
      </c>
      <c r="O25" s="862">
        <v>17.04</v>
      </c>
    </row>
    <row r="26" spans="1:15" ht="11.25" customHeight="1">
      <c r="A26" s="241"/>
      <c r="C26" s="238" t="s">
        <v>168</v>
      </c>
      <c r="D26" s="236">
        <v>1.2669677349999999</v>
      </c>
      <c r="E26" s="236">
        <v>0.92799997300000003</v>
      </c>
      <c r="F26" s="237">
        <f t="shared" si="0"/>
        <v>0.36526699554117326</v>
      </c>
      <c r="G26" s="159"/>
      <c r="H26" s="30"/>
      <c r="I26" s="8"/>
      <c r="L26" s="861">
        <v>23</v>
      </c>
      <c r="M26" s="862">
        <v>15.18</v>
      </c>
      <c r="N26" s="862">
        <v>40.29</v>
      </c>
      <c r="O26" s="862">
        <v>22.12</v>
      </c>
    </row>
    <row r="27" spans="1:15" ht="11.25" customHeight="1">
      <c r="A27" s="159"/>
      <c r="C27" s="239" t="s">
        <v>169</v>
      </c>
      <c r="D27" s="234">
        <v>0.21319355200000001</v>
      </c>
      <c r="E27" s="234">
        <v>0</v>
      </c>
      <c r="F27" s="235" t="str">
        <f t="shared" si="0"/>
        <v/>
      </c>
      <c r="G27" s="159"/>
      <c r="H27" s="30"/>
      <c r="I27" s="8"/>
      <c r="K27" s="832">
        <v>24</v>
      </c>
      <c r="L27" s="861">
        <v>24</v>
      </c>
      <c r="M27" s="862">
        <v>15.1</v>
      </c>
      <c r="N27" s="862">
        <v>35.630000000000003</v>
      </c>
      <c r="O27" s="862">
        <v>13.87</v>
      </c>
    </row>
    <row r="28" spans="1:15" ht="11.25" customHeight="1">
      <c r="A28" s="159"/>
      <c r="C28" s="238" t="s">
        <v>170</v>
      </c>
      <c r="D28" s="236">
        <v>0</v>
      </c>
      <c r="E28" s="236">
        <v>0</v>
      </c>
      <c r="F28" s="237" t="str">
        <f t="shared" si="0"/>
        <v/>
      </c>
      <c r="G28" s="159"/>
      <c r="H28" s="30"/>
      <c r="I28" s="8"/>
      <c r="L28" s="861">
        <v>25</v>
      </c>
      <c r="M28" s="862">
        <v>18.016999930000001</v>
      </c>
      <c r="N28" s="862">
        <v>34.608428410000002</v>
      </c>
      <c r="O28" s="862">
        <v>10.78285721</v>
      </c>
    </row>
    <row r="29" spans="1:15" ht="11.25" customHeight="1">
      <c r="A29" s="201"/>
      <c r="C29" s="239" t="s">
        <v>172</v>
      </c>
      <c r="D29" s="234">
        <v>2.4649625350000002</v>
      </c>
      <c r="E29" s="234">
        <v>3.2149999139999998</v>
      </c>
      <c r="F29" s="235">
        <f t="shared" si="0"/>
        <v>-0.23329312568062474</v>
      </c>
      <c r="G29" s="242"/>
      <c r="H29" s="30"/>
      <c r="I29" s="8"/>
      <c r="L29" s="861">
        <v>26</v>
      </c>
      <c r="M29" s="862">
        <v>16.489714209999999</v>
      </c>
      <c r="N29" s="862">
        <v>34.074285510000003</v>
      </c>
      <c r="O29" s="862">
        <v>9.5958572120000003</v>
      </c>
    </row>
    <row r="30" spans="1:15" ht="11.25" customHeight="1">
      <c r="A30" s="241"/>
      <c r="C30" s="243" t="s">
        <v>163</v>
      </c>
      <c r="D30" s="244">
        <v>1.9090277777777778</v>
      </c>
      <c r="E30" s="244">
        <v>3.95</v>
      </c>
      <c r="F30" s="245">
        <f t="shared" si="0"/>
        <v>-0.51670182841068923</v>
      </c>
      <c r="G30" s="159"/>
      <c r="H30" s="32"/>
      <c r="I30" s="8"/>
      <c r="L30" s="861">
        <v>27</v>
      </c>
      <c r="M30" s="862">
        <v>16.199999810000001</v>
      </c>
      <c r="N30" s="862">
        <v>29.599571770000001</v>
      </c>
      <c r="O30" s="862">
        <v>7.8892858370000001</v>
      </c>
    </row>
    <row r="31" spans="1:15" ht="11.25" customHeight="1">
      <c r="A31" s="158"/>
      <c r="C31" s="421" t="str">
        <f>"Cuadro N°10: Promedio de caudales en "&amp;'1. Resumen'!Q4</f>
        <v>Cuadro N°10: Promedio de caudales en mayo</v>
      </c>
      <c r="D31" s="158"/>
      <c r="E31" s="158"/>
      <c r="F31" s="158"/>
      <c r="G31" s="158"/>
      <c r="H31" s="32"/>
      <c r="I31" s="8"/>
      <c r="K31" s="832">
        <v>28</v>
      </c>
      <c r="L31" s="861">
        <v>28</v>
      </c>
      <c r="M31" s="862">
        <v>12.016285760000001</v>
      </c>
      <c r="N31" s="862">
        <v>29.3955713</v>
      </c>
      <c r="O31" s="862">
        <v>7.2334286140000001</v>
      </c>
    </row>
    <row r="32" spans="1:15" ht="11.25" customHeight="1">
      <c r="A32" s="158"/>
      <c r="B32" s="158"/>
      <c r="C32" s="158"/>
      <c r="D32" s="158"/>
      <c r="E32" s="158"/>
      <c r="F32" s="158"/>
      <c r="G32" s="158"/>
      <c r="H32" s="32"/>
      <c r="I32" s="8"/>
      <c r="L32" s="861">
        <v>29</v>
      </c>
      <c r="M32" s="862">
        <v>10.423571450000001</v>
      </c>
      <c r="N32" s="862">
        <v>32.468857079999999</v>
      </c>
      <c r="O32" s="862">
        <v>6.729428564</v>
      </c>
    </row>
    <row r="33" spans="1:15" ht="11.25" customHeight="1">
      <c r="A33" s="158"/>
      <c r="B33" s="158"/>
      <c r="C33" s="158"/>
      <c r="D33" s="158"/>
      <c r="E33" s="158"/>
      <c r="F33" s="158"/>
      <c r="G33" s="158"/>
      <c r="H33" s="32"/>
      <c r="I33" s="8"/>
      <c r="L33" s="861">
        <v>30</v>
      </c>
      <c r="M33" s="862">
        <v>10.043285640000001</v>
      </c>
      <c r="N33" s="862">
        <v>32.112285890000003</v>
      </c>
      <c r="O33" s="862">
        <v>5.6338571819999999</v>
      </c>
    </row>
    <row r="34" spans="1:15" ht="11.25" customHeight="1">
      <c r="A34" s="158"/>
      <c r="B34" s="158"/>
      <c r="C34" s="158"/>
      <c r="D34" s="158"/>
      <c r="E34" s="158"/>
      <c r="F34" s="158"/>
      <c r="G34" s="158"/>
      <c r="H34" s="32"/>
      <c r="I34" s="8"/>
      <c r="L34" s="861">
        <v>31</v>
      </c>
      <c r="M34" s="862">
        <v>10.086428642272944</v>
      </c>
      <c r="N34" s="862">
        <v>29.132714407784558</v>
      </c>
      <c r="O34" s="862">
        <v>5.181999887738904</v>
      </c>
    </row>
    <row r="35" spans="1:15" ht="11.25" customHeight="1">
      <c r="A35" s="939" t="s">
        <v>509</v>
      </c>
      <c r="B35" s="939"/>
      <c r="C35" s="939"/>
      <c r="D35" s="939"/>
      <c r="E35" s="939"/>
      <c r="F35" s="939"/>
      <c r="G35" s="939"/>
      <c r="H35" s="32"/>
      <c r="I35" s="8"/>
      <c r="K35" s="832">
        <v>32</v>
      </c>
      <c r="L35" s="861">
        <v>32</v>
      </c>
      <c r="M35" s="862">
        <v>12.08228561</v>
      </c>
      <c r="N35" s="862">
        <v>34.150143489999998</v>
      </c>
      <c r="O35" s="862">
        <v>4.8032856669999999</v>
      </c>
    </row>
    <row r="36" spans="1:15" ht="11.25" customHeight="1">
      <c r="A36" s="158"/>
      <c r="B36" s="158"/>
      <c r="C36" s="158"/>
      <c r="D36" s="158"/>
      <c r="E36" s="158"/>
      <c r="F36" s="158"/>
      <c r="G36" s="158"/>
      <c r="H36" s="32"/>
      <c r="I36" s="8"/>
      <c r="L36" s="861">
        <v>33</v>
      </c>
      <c r="M36" s="862">
        <v>11.874000004359614</v>
      </c>
      <c r="N36" s="862">
        <v>35.225571223667643</v>
      </c>
      <c r="O36" s="862">
        <v>4.3821428843906904</v>
      </c>
    </row>
    <row r="37" spans="1:15" ht="11.25" customHeight="1">
      <c r="A37" s="157"/>
      <c r="B37" s="159"/>
      <c r="C37" s="159"/>
      <c r="D37" s="159"/>
      <c r="E37" s="159"/>
      <c r="F37" s="159"/>
      <c r="G37" s="159"/>
      <c r="H37" s="33"/>
      <c r="I37" s="8"/>
      <c r="L37" s="861">
        <v>34</v>
      </c>
      <c r="M37" s="862">
        <v>10.842857090000001</v>
      </c>
      <c r="N37" s="862">
        <v>35.168570930000001</v>
      </c>
      <c r="O37" s="862">
        <v>13.837000059999999</v>
      </c>
    </row>
    <row r="38" spans="1:15" ht="11.25" customHeight="1">
      <c r="A38" s="92"/>
      <c r="B38" s="91"/>
      <c r="C38" s="91"/>
      <c r="D38" s="91"/>
      <c r="E38" s="91"/>
      <c r="F38" s="91"/>
      <c r="G38" s="91"/>
      <c r="H38" s="5"/>
      <c r="I38" s="8"/>
      <c r="L38" s="861">
        <v>35</v>
      </c>
      <c r="M38" s="862">
        <v>10.48142842</v>
      </c>
      <c r="N38" s="862">
        <v>37.824428560000001</v>
      </c>
      <c r="O38" s="862">
        <v>3.922857182</v>
      </c>
    </row>
    <row r="39" spans="1:15" ht="11.25" customHeight="1">
      <c r="A39" s="92"/>
      <c r="B39" s="91"/>
      <c r="C39" s="91"/>
      <c r="D39" s="91"/>
      <c r="E39" s="91"/>
      <c r="F39" s="91"/>
      <c r="G39" s="91"/>
      <c r="H39" s="5"/>
      <c r="I39" s="13"/>
      <c r="K39" s="832">
        <v>36</v>
      </c>
      <c r="L39" s="861">
        <v>36</v>
      </c>
      <c r="M39" s="862">
        <v>11.85</v>
      </c>
      <c r="N39" s="862">
        <v>39.78</v>
      </c>
      <c r="O39" s="862">
        <v>4.9800000000000004</v>
      </c>
    </row>
    <row r="40" spans="1:15" ht="11.25" customHeight="1">
      <c r="A40" s="92"/>
      <c r="B40" s="91"/>
      <c r="C40" s="91"/>
      <c r="D40" s="91"/>
      <c r="E40" s="91"/>
      <c r="F40" s="91"/>
      <c r="G40" s="91"/>
      <c r="H40" s="5"/>
      <c r="I40" s="13"/>
      <c r="L40" s="861">
        <v>37</v>
      </c>
      <c r="M40" s="862">
        <v>12.08</v>
      </c>
      <c r="N40" s="862">
        <v>44.25</v>
      </c>
      <c r="O40" s="862">
        <v>4.92</v>
      </c>
    </row>
    <row r="41" spans="1:15" ht="11.25" customHeight="1">
      <c r="A41" s="92"/>
      <c r="B41" s="91"/>
      <c r="C41" s="91"/>
      <c r="D41" s="91"/>
      <c r="E41" s="91"/>
      <c r="F41" s="91"/>
      <c r="G41" s="91"/>
      <c r="H41" s="5"/>
      <c r="I41" s="9"/>
      <c r="L41" s="861">
        <v>38</v>
      </c>
      <c r="M41" s="862">
        <v>11.88371427</v>
      </c>
      <c r="N41" s="862">
        <v>41.311858039999997</v>
      </c>
      <c r="O41" s="862">
        <v>4.6447142870000002</v>
      </c>
    </row>
    <row r="42" spans="1:15" ht="11.25" customHeight="1">
      <c r="A42" s="92"/>
      <c r="B42" s="91"/>
      <c r="C42" s="91"/>
      <c r="D42" s="91"/>
      <c r="E42" s="91"/>
      <c r="F42" s="91"/>
      <c r="G42" s="91"/>
      <c r="H42" s="5"/>
      <c r="I42" s="9"/>
      <c r="K42" s="832">
        <v>39</v>
      </c>
      <c r="L42" s="861">
        <v>39</v>
      </c>
      <c r="M42" s="862">
        <v>13.06</v>
      </c>
      <c r="N42" s="862">
        <v>41.13</v>
      </c>
      <c r="O42" s="862">
        <v>4.2699999999999996</v>
      </c>
    </row>
    <row r="43" spans="1:15" ht="11.25" customHeight="1">
      <c r="A43" s="92"/>
      <c r="B43" s="91"/>
      <c r="C43" s="91"/>
      <c r="D43" s="91"/>
      <c r="E43" s="91"/>
      <c r="F43" s="91"/>
      <c r="G43" s="91"/>
      <c r="H43" s="5"/>
      <c r="I43" s="9"/>
      <c r="L43" s="861">
        <v>40</v>
      </c>
      <c r="M43" s="862">
        <v>15.945571764285715</v>
      </c>
      <c r="N43" s="862">
        <v>46.466000694285704</v>
      </c>
      <c r="O43" s="862">
        <v>5.3634285927142864</v>
      </c>
    </row>
    <row r="44" spans="1:15" ht="11.25" customHeight="1">
      <c r="A44" s="92"/>
      <c r="B44" s="91"/>
      <c r="C44" s="91"/>
      <c r="D44" s="91"/>
      <c r="E44" s="91"/>
      <c r="F44" s="91"/>
      <c r="G44" s="91"/>
      <c r="H44" s="8"/>
      <c r="I44" s="13"/>
      <c r="L44" s="861">
        <v>41</v>
      </c>
      <c r="M44" s="862">
        <v>15.848856789725129</v>
      </c>
      <c r="N44" s="862">
        <v>37.273714882986837</v>
      </c>
      <c r="O44" s="862">
        <v>6.9682856968470812</v>
      </c>
    </row>
    <row r="45" spans="1:15" ht="11.25" customHeight="1">
      <c r="A45" s="92"/>
      <c r="B45" s="91"/>
      <c r="C45" s="91"/>
      <c r="D45" s="91"/>
      <c r="E45" s="91"/>
      <c r="F45" s="91"/>
      <c r="G45" s="91"/>
      <c r="H45" s="5"/>
      <c r="I45" s="13"/>
      <c r="L45" s="861">
        <v>42</v>
      </c>
      <c r="M45" s="862">
        <v>15.549142972857144</v>
      </c>
      <c r="N45" s="862">
        <v>48.572000228571433</v>
      </c>
      <c r="O45" s="862">
        <v>11.100428648285714</v>
      </c>
    </row>
    <row r="46" spans="1:15" ht="11.25" customHeight="1">
      <c r="A46" s="92"/>
      <c r="B46" s="91"/>
      <c r="C46" s="91"/>
      <c r="D46" s="91"/>
      <c r="E46" s="91"/>
      <c r="F46" s="91"/>
      <c r="G46" s="91"/>
      <c r="H46" s="5"/>
      <c r="I46" s="13"/>
      <c r="K46" s="832">
        <v>43</v>
      </c>
      <c r="L46" s="861">
        <v>43</v>
      </c>
      <c r="M46" s="862">
        <v>13.17</v>
      </c>
      <c r="N46" s="862">
        <v>35.32</v>
      </c>
      <c r="O46" s="862">
        <v>6.01</v>
      </c>
    </row>
    <row r="47" spans="1:15" ht="11.25" customHeight="1">
      <c r="A47" s="92"/>
      <c r="B47" s="91"/>
      <c r="C47" s="91"/>
      <c r="D47" s="91"/>
      <c r="E47" s="91"/>
      <c r="F47" s="91"/>
      <c r="G47" s="91"/>
      <c r="H47" s="15"/>
      <c r="I47" s="15"/>
      <c r="L47" s="861">
        <v>44</v>
      </c>
      <c r="M47" s="862">
        <v>13.18</v>
      </c>
      <c r="N47" s="862">
        <v>36.83</v>
      </c>
      <c r="O47" s="862">
        <v>4.57</v>
      </c>
    </row>
    <row r="48" spans="1:15" ht="11.25" customHeight="1">
      <c r="A48" s="92"/>
      <c r="B48" s="91"/>
      <c r="C48" s="91"/>
      <c r="D48" s="91"/>
      <c r="E48" s="91"/>
      <c r="F48" s="91"/>
      <c r="G48" s="91"/>
      <c r="H48" s="14"/>
      <c r="I48" s="14"/>
      <c r="L48" s="861">
        <v>45</v>
      </c>
      <c r="M48" s="862">
        <v>13.49</v>
      </c>
      <c r="N48" s="862">
        <v>39.520000000000003</v>
      </c>
      <c r="O48" s="862">
        <v>4.83</v>
      </c>
    </row>
    <row r="49" spans="1:15" ht="11.25" customHeight="1">
      <c r="A49" s="92"/>
      <c r="B49" s="91"/>
      <c r="C49" s="91"/>
      <c r="D49" s="91"/>
      <c r="E49" s="91"/>
      <c r="F49" s="91"/>
      <c r="G49" s="91"/>
      <c r="H49" s="14"/>
      <c r="I49" s="14"/>
      <c r="L49" s="861">
        <v>46</v>
      </c>
      <c r="M49" s="862">
        <v>15.4</v>
      </c>
      <c r="N49" s="862">
        <v>53.38</v>
      </c>
      <c r="O49" s="862">
        <v>3.73</v>
      </c>
    </row>
    <row r="50" spans="1:15" ht="11.25" customHeight="1">
      <c r="A50" s="92"/>
      <c r="B50" s="91"/>
      <c r="C50" s="91"/>
      <c r="D50" s="91"/>
      <c r="E50" s="91"/>
      <c r="F50" s="91"/>
      <c r="G50" s="91"/>
      <c r="H50" s="14"/>
      <c r="I50" s="14"/>
      <c r="L50" s="861">
        <v>47</v>
      </c>
      <c r="M50" s="862">
        <v>16.408999999999999</v>
      </c>
      <c r="N50" s="862">
        <v>61.853000000000002</v>
      </c>
      <c r="O50" s="862">
        <v>2.5211429999999999</v>
      </c>
    </row>
    <row r="51" spans="1:15" ht="11.25" customHeight="1">
      <c r="A51" s="92"/>
      <c r="B51" s="91"/>
      <c r="C51" s="91"/>
      <c r="D51" s="91"/>
      <c r="E51" s="91"/>
      <c r="F51" s="91"/>
      <c r="G51" s="91"/>
      <c r="H51" s="14"/>
      <c r="I51" s="14"/>
      <c r="K51" s="832">
        <v>48</v>
      </c>
      <c r="L51" s="861">
        <v>48</v>
      </c>
      <c r="M51" s="862">
        <v>16.328857422857144</v>
      </c>
      <c r="N51" s="862">
        <v>65.330427987142869</v>
      </c>
      <c r="O51" s="862">
        <v>3.571428503285714</v>
      </c>
    </row>
    <row r="52" spans="1:15" ht="11.25" customHeight="1">
      <c r="A52" s="92"/>
      <c r="B52" s="91"/>
      <c r="C52" s="91"/>
      <c r="D52" s="91"/>
      <c r="E52" s="91"/>
      <c r="F52" s="91"/>
      <c r="G52" s="91"/>
      <c r="H52" s="14"/>
      <c r="I52" s="14"/>
      <c r="L52" s="861">
        <v>49</v>
      </c>
      <c r="M52" s="862">
        <v>20.236285890000001</v>
      </c>
      <c r="N52" s="862">
        <v>66.680000000000007</v>
      </c>
      <c r="O52" s="862">
        <v>6.1</v>
      </c>
    </row>
    <row r="53" spans="1:15" ht="11.25" customHeight="1">
      <c r="A53" s="92"/>
      <c r="B53" s="91"/>
      <c r="C53" s="91"/>
      <c r="D53" s="91"/>
      <c r="E53" s="91"/>
      <c r="F53" s="91"/>
      <c r="G53" s="91"/>
      <c r="H53" s="14"/>
      <c r="I53" s="14"/>
      <c r="L53" s="861">
        <v>50</v>
      </c>
      <c r="M53" s="862">
        <v>19.809999999999999</v>
      </c>
      <c r="N53" s="862">
        <v>61.31</v>
      </c>
      <c r="O53" s="862">
        <v>6.69</v>
      </c>
    </row>
    <row r="54" spans="1:15" ht="11.25" customHeight="1">
      <c r="A54" s="92"/>
      <c r="B54" s="91"/>
      <c r="C54" s="91"/>
      <c r="D54" s="91"/>
      <c r="E54" s="91"/>
      <c r="F54" s="91"/>
      <c r="G54" s="91"/>
      <c r="H54" s="14"/>
      <c r="I54" s="14"/>
      <c r="L54" s="861">
        <v>51</v>
      </c>
      <c r="M54" s="862">
        <v>21.91</v>
      </c>
      <c r="N54" s="862">
        <v>70.790000000000006</v>
      </c>
      <c r="O54" s="862">
        <v>13.15</v>
      </c>
    </row>
    <row r="55" spans="1:15" ht="12.75">
      <c r="A55" s="92"/>
      <c r="B55" s="91"/>
      <c r="C55" s="91"/>
      <c r="D55" s="91"/>
      <c r="E55" s="91"/>
      <c r="F55" s="91"/>
      <c r="G55" s="91"/>
      <c r="H55" s="14"/>
      <c r="I55" s="14"/>
      <c r="K55" s="832">
        <v>52</v>
      </c>
      <c r="L55" s="861">
        <v>52</v>
      </c>
      <c r="M55" s="862">
        <v>22</v>
      </c>
      <c r="N55" s="862">
        <v>77.434859137142865</v>
      </c>
      <c r="O55" s="862">
        <v>17.75700037857143</v>
      </c>
    </row>
    <row r="56" spans="1:15" ht="12.75">
      <c r="A56" s="92"/>
      <c r="B56" s="91"/>
      <c r="C56" s="91"/>
      <c r="D56" s="91"/>
      <c r="E56" s="91"/>
      <c r="F56" s="91"/>
      <c r="G56" s="91"/>
      <c r="H56" s="14"/>
      <c r="I56" s="14"/>
      <c r="J56" s="538">
        <v>2017</v>
      </c>
      <c r="K56" s="832">
        <v>1</v>
      </c>
      <c r="L56" s="861">
        <v>1</v>
      </c>
      <c r="M56" s="862">
        <v>41.55</v>
      </c>
      <c r="N56" s="862">
        <v>103.58</v>
      </c>
      <c r="O56" s="862">
        <v>29.67</v>
      </c>
    </row>
    <row r="57" spans="1:15" ht="12.75">
      <c r="A57" s="92"/>
      <c r="B57" s="91"/>
      <c r="C57" s="91"/>
      <c r="D57" s="91"/>
      <c r="E57" s="91"/>
      <c r="F57" s="91"/>
      <c r="G57" s="91"/>
      <c r="H57" s="14"/>
      <c r="I57" s="14"/>
      <c r="L57" s="861">
        <v>2</v>
      </c>
      <c r="M57" s="862">
        <v>39.6</v>
      </c>
      <c r="N57" s="862">
        <v>105.01</v>
      </c>
      <c r="O57" s="862">
        <v>51.2</v>
      </c>
    </row>
    <row r="58" spans="1:15" ht="12.75">
      <c r="A58" s="92"/>
      <c r="B58" s="91"/>
      <c r="C58" s="91"/>
      <c r="D58" s="91"/>
      <c r="E58" s="91"/>
      <c r="F58" s="91"/>
      <c r="G58" s="91"/>
      <c r="H58" s="14"/>
      <c r="I58" s="14"/>
      <c r="L58" s="861">
        <v>3</v>
      </c>
      <c r="M58" s="862">
        <v>73.650000000000006</v>
      </c>
      <c r="N58" s="862">
        <v>137.41</v>
      </c>
      <c r="O58" s="862">
        <v>43.26</v>
      </c>
    </row>
    <row r="59" spans="1:15" ht="12.75">
      <c r="A59" s="92"/>
      <c r="B59" s="91"/>
      <c r="C59" s="91"/>
      <c r="D59" s="91"/>
      <c r="E59" s="91"/>
      <c r="F59" s="91"/>
      <c r="G59" s="91"/>
      <c r="H59" s="14"/>
      <c r="I59" s="14"/>
      <c r="K59" s="832">
        <v>4</v>
      </c>
      <c r="L59" s="861">
        <v>4</v>
      </c>
      <c r="M59" s="862">
        <v>65.03</v>
      </c>
      <c r="N59" s="862">
        <v>127.83</v>
      </c>
      <c r="O59" s="862">
        <v>32.72</v>
      </c>
    </row>
    <row r="60" spans="1:15" ht="12.75">
      <c r="A60" s="92"/>
      <c r="B60" s="91"/>
      <c r="C60" s="91"/>
      <c r="D60" s="91"/>
      <c r="E60" s="91"/>
      <c r="F60" s="91"/>
      <c r="G60" s="91"/>
      <c r="H60" s="14"/>
      <c r="I60" s="14"/>
      <c r="L60" s="861">
        <v>5</v>
      </c>
      <c r="M60" s="862">
        <v>56.95</v>
      </c>
      <c r="N60" s="862">
        <v>97.31</v>
      </c>
      <c r="O60" s="862">
        <v>48.46</v>
      </c>
    </row>
    <row r="61" spans="1:15" ht="12.75">
      <c r="A61" s="421" t="s">
        <v>746</v>
      </c>
      <c r="B61" s="91"/>
      <c r="C61" s="91"/>
      <c r="D61" s="91"/>
      <c r="E61" s="91"/>
      <c r="F61" s="91"/>
      <c r="G61" s="91"/>
      <c r="H61" s="14"/>
      <c r="I61" s="14"/>
      <c r="L61" s="861">
        <v>6</v>
      </c>
      <c r="M61" s="862">
        <v>61.87</v>
      </c>
      <c r="N61" s="862">
        <v>123.44</v>
      </c>
      <c r="O61" s="862">
        <v>72.52</v>
      </c>
    </row>
    <row r="62" spans="1:15">
      <c r="L62" s="861">
        <v>7</v>
      </c>
      <c r="M62" s="862">
        <v>77.569999999999993</v>
      </c>
      <c r="N62" s="862">
        <v>145.02000000000001</v>
      </c>
      <c r="O62" s="862">
        <v>59.16</v>
      </c>
    </row>
    <row r="63" spans="1:15">
      <c r="K63" s="832">
        <v>8</v>
      </c>
      <c r="L63" s="861">
        <v>8</v>
      </c>
      <c r="M63" s="862">
        <v>86.94</v>
      </c>
      <c r="N63" s="862">
        <v>175.03</v>
      </c>
      <c r="O63" s="862">
        <v>24.36</v>
      </c>
    </row>
    <row r="64" spans="1:15">
      <c r="L64" s="861">
        <v>9</v>
      </c>
      <c r="M64" s="862">
        <v>85.13</v>
      </c>
      <c r="N64" s="862">
        <v>206.14</v>
      </c>
      <c r="O64" s="862">
        <v>39.07</v>
      </c>
    </row>
    <row r="65" spans="11:15">
      <c r="L65" s="861">
        <v>10</v>
      </c>
      <c r="M65" s="862">
        <v>84.78</v>
      </c>
      <c r="N65" s="862">
        <v>270.17</v>
      </c>
      <c r="O65" s="862">
        <v>109.16</v>
      </c>
    </row>
    <row r="66" spans="11:15">
      <c r="L66" s="861">
        <v>11</v>
      </c>
      <c r="M66" s="862">
        <v>84.78</v>
      </c>
      <c r="N66" s="862">
        <v>376.42</v>
      </c>
      <c r="O66" s="862">
        <v>188.18</v>
      </c>
    </row>
    <row r="67" spans="11:15">
      <c r="K67" s="832">
        <v>12</v>
      </c>
      <c r="L67" s="861">
        <v>12</v>
      </c>
      <c r="M67" s="862">
        <v>106.16</v>
      </c>
      <c r="N67" s="862">
        <v>351.57</v>
      </c>
      <c r="O67" s="862">
        <v>159.6</v>
      </c>
    </row>
    <row r="68" spans="11:15">
      <c r="L68" s="861">
        <v>13</v>
      </c>
      <c r="M68" s="862">
        <v>101.71</v>
      </c>
      <c r="N68" s="862">
        <v>384.37</v>
      </c>
      <c r="O68" s="862">
        <v>161.77000000000001</v>
      </c>
    </row>
    <row r="69" spans="11:15">
      <c r="L69" s="861">
        <v>14</v>
      </c>
      <c r="M69" s="862">
        <v>83.1</v>
      </c>
      <c r="N69" s="862">
        <v>337.84</v>
      </c>
      <c r="O69" s="862">
        <v>115.43</v>
      </c>
    </row>
    <row r="70" spans="11:15">
      <c r="L70" s="861">
        <v>15</v>
      </c>
      <c r="M70" s="862">
        <v>61.23</v>
      </c>
      <c r="N70" s="862">
        <v>282.32</v>
      </c>
      <c r="O70" s="862">
        <v>98.92</v>
      </c>
    </row>
    <row r="71" spans="11:15">
      <c r="K71" s="832">
        <v>16</v>
      </c>
      <c r="L71" s="861">
        <v>16</v>
      </c>
      <c r="M71" s="862">
        <v>49.8</v>
      </c>
      <c r="N71" s="862">
        <v>191.65</v>
      </c>
      <c r="O71" s="862">
        <v>82.48</v>
      </c>
    </row>
    <row r="72" spans="11:15">
      <c r="L72" s="861">
        <v>17</v>
      </c>
      <c r="M72" s="862">
        <v>40.21</v>
      </c>
      <c r="N72" s="862">
        <v>160.35</v>
      </c>
      <c r="O72" s="862">
        <v>77.02</v>
      </c>
    </row>
    <row r="73" spans="11:15">
      <c r="L73" s="861">
        <v>18</v>
      </c>
      <c r="M73" s="862">
        <v>43.46</v>
      </c>
      <c r="N73" s="862">
        <v>136.65</v>
      </c>
      <c r="O73" s="862">
        <v>62.63</v>
      </c>
    </row>
    <row r="74" spans="11:15">
      <c r="L74" s="861">
        <v>19</v>
      </c>
      <c r="M74" s="862">
        <v>35.65</v>
      </c>
      <c r="N74" s="862">
        <v>135.97</v>
      </c>
      <c r="O74" s="862">
        <v>93.03</v>
      </c>
    </row>
    <row r="75" spans="11:15">
      <c r="K75" s="832">
        <v>20</v>
      </c>
      <c r="L75" s="861">
        <v>20</v>
      </c>
      <c r="M75" s="862">
        <v>26.22</v>
      </c>
      <c r="N75" s="862">
        <v>135.66</v>
      </c>
      <c r="O75" s="862">
        <v>72.349999999999994</v>
      </c>
    </row>
    <row r="76" spans="11:15">
      <c r="L76" s="861">
        <v>21</v>
      </c>
      <c r="M76" s="862">
        <v>27.95</v>
      </c>
      <c r="N76" s="862">
        <v>113.82</v>
      </c>
      <c r="O76" s="862">
        <v>90.75</v>
      </c>
    </row>
    <row r="77" spans="11:15">
      <c r="L77" s="861">
        <v>22</v>
      </c>
      <c r="M77" s="862">
        <v>32.409999999999997</v>
      </c>
      <c r="N77" s="862">
        <v>64.03</v>
      </c>
      <c r="O77" s="862">
        <v>53.02</v>
      </c>
    </row>
    <row r="78" spans="11:15">
      <c r="L78" s="861">
        <v>23</v>
      </c>
      <c r="M78" s="862">
        <v>28.93</v>
      </c>
      <c r="N78" s="862">
        <v>53.15</v>
      </c>
      <c r="O78" s="862">
        <v>32.43</v>
      </c>
    </row>
    <row r="79" spans="11:15">
      <c r="K79" s="832">
        <v>24</v>
      </c>
      <c r="L79" s="861">
        <v>24</v>
      </c>
      <c r="M79" s="862">
        <v>26.59</v>
      </c>
      <c r="N79" s="862">
        <v>45.98</v>
      </c>
      <c r="O79" s="862">
        <v>27.75</v>
      </c>
    </row>
    <row r="80" spans="11:15">
      <c r="L80" s="861">
        <v>25</v>
      </c>
      <c r="M80" s="862">
        <v>23.61</v>
      </c>
      <c r="N80" s="862">
        <v>38.68</v>
      </c>
      <c r="O80" s="862">
        <v>24.81</v>
      </c>
    </row>
    <row r="81" spans="11:15">
      <c r="L81" s="861">
        <v>26</v>
      </c>
      <c r="M81" s="862">
        <v>24.94</v>
      </c>
      <c r="N81" s="862">
        <v>34.68</v>
      </c>
      <c r="O81" s="862">
        <v>21.81</v>
      </c>
    </row>
    <row r="82" spans="11:15">
      <c r="L82" s="861">
        <v>27</v>
      </c>
      <c r="M82" s="862">
        <v>25.54</v>
      </c>
      <c r="N82" s="862">
        <v>31.72</v>
      </c>
      <c r="O82" s="862">
        <v>18.649999999999999</v>
      </c>
    </row>
    <row r="83" spans="11:15">
      <c r="K83" s="832">
        <v>28</v>
      </c>
      <c r="L83" s="861">
        <v>28</v>
      </c>
      <c r="M83" s="862">
        <v>23.56</v>
      </c>
      <c r="N83" s="862">
        <v>29.25</v>
      </c>
      <c r="O83" s="862">
        <v>14.27</v>
      </c>
    </row>
    <row r="84" spans="11:15">
      <c r="L84" s="861">
        <v>29</v>
      </c>
      <c r="M84" s="862">
        <v>22.4</v>
      </c>
      <c r="N84" s="862">
        <v>29.53</v>
      </c>
      <c r="O84" s="862">
        <v>11.51</v>
      </c>
    </row>
    <row r="85" spans="11:15">
      <c r="L85" s="861">
        <v>30</v>
      </c>
      <c r="M85" s="862">
        <v>21.29</v>
      </c>
      <c r="N85" s="862">
        <v>27.62</v>
      </c>
      <c r="O85" s="862">
        <v>9.7200000000000006</v>
      </c>
    </row>
    <row r="86" spans="11:15">
      <c r="L86" s="861">
        <v>31</v>
      </c>
      <c r="M86" s="862">
        <v>19.34</v>
      </c>
      <c r="N86" s="862">
        <v>27.99</v>
      </c>
      <c r="O86" s="862">
        <v>8.09</v>
      </c>
    </row>
    <row r="87" spans="11:15">
      <c r="K87" s="832">
        <v>32</v>
      </c>
      <c r="L87" s="861">
        <v>32</v>
      </c>
      <c r="M87" s="862">
        <v>19.649999999999999</v>
      </c>
      <c r="N87" s="862">
        <v>31.42</v>
      </c>
      <c r="O87" s="862">
        <v>7.62</v>
      </c>
    </row>
    <row r="88" spans="11:15">
      <c r="L88" s="861">
        <v>33</v>
      </c>
      <c r="M88" s="862">
        <v>18.420000000000002</v>
      </c>
      <c r="N88" s="862">
        <v>29.71</v>
      </c>
      <c r="O88" s="862">
        <v>9.5500000000000007</v>
      </c>
    </row>
    <row r="89" spans="11:15">
      <c r="L89" s="861">
        <v>34</v>
      </c>
      <c r="M89" s="862">
        <v>17.170000000000002</v>
      </c>
      <c r="N89" s="862">
        <v>30.51</v>
      </c>
      <c r="O89" s="862">
        <v>10.75</v>
      </c>
    </row>
    <row r="90" spans="11:15">
      <c r="L90" s="861">
        <v>35</v>
      </c>
      <c r="M90" s="862">
        <v>17.47</v>
      </c>
      <c r="N90" s="862">
        <v>27.5</v>
      </c>
      <c r="O90" s="862">
        <v>8.31</v>
      </c>
    </row>
    <row r="91" spans="11:15">
      <c r="K91" s="832">
        <v>36</v>
      </c>
      <c r="L91" s="861">
        <v>36</v>
      </c>
      <c r="M91" s="862">
        <v>13.42</v>
      </c>
      <c r="N91" s="862">
        <v>26.21</v>
      </c>
      <c r="O91" s="862">
        <v>6.53</v>
      </c>
    </row>
    <row r="92" spans="11:15">
      <c r="L92" s="861">
        <v>37</v>
      </c>
      <c r="M92" s="862">
        <v>11.2</v>
      </c>
      <c r="N92" s="862">
        <v>29.98</v>
      </c>
      <c r="O92" s="862">
        <v>9.7799999999999994</v>
      </c>
    </row>
    <row r="93" spans="11:15">
      <c r="L93" s="861">
        <v>38</v>
      </c>
      <c r="M93" s="862">
        <v>11</v>
      </c>
      <c r="N93" s="862">
        <v>34.369999999999997</v>
      </c>
      <c r="O93" s="862">
        <v>7.47</v>
      </c>
    </row>
    <row r="94" spans="11:15">
      <c r="K94" s="832">
        <v>39</v>
      </c>
      <c r="L94" s="861">
        <v>39</v>
      </c>
      <c r="M94" s="862">
        <v>11.14</v>
      </c>
      <c r="N94" s="862">
        <v>42.17</v>
      </c>
      <c r="O94" s="862">
        <v>7.49</v>
      </c>
    </row>
    <row r="95" spans="11:15">
      <c r="L95" s="861">
        <v>40</v>
      </c>
      <c r="M95" s="862">
        <v>12.8</v>
      </c>
      <c r="N95" s="862">
        <v>37.270000000000003</v>
      </c>
      <c r="O95" s="862">
        <v>15.47</v>
      </c>
    </row>
    <row r="96" spans="11:15">
      <c r="L96" s="861">
        <v>41</v>
      </c>
      <c r="M96" s="862">
        <v>14.41</v>
      </c>
      <c r="N96" s="862">
        <v>40.04</v>
      </c>
      <c r="O96" s="862">
        <v>18</v>
      </c>
    </row>
    <row r="97" spans="10:15">
      <c r="L97" s="861">
        <v>42</v>
      </c>
      <c r="M97" s="862">
        <v>15.87</v>
      </c>
      <c r="N97" s="862">
        <v>35.79</v>
      </c>
      <c r="O97" s="862">
        <v>12.74</v>
      </c>
    </row>
    <row r="98" spans="10:15">
      <c r="K98" s="832">
        <v>43</v>
      </c>
      <c r="L98" s="861">
        <v>43</v>
      </c>
      <c r="M98" s="862">
        <v>19.61</v>
      </c>
      <c r="N98" s="862">
        <v>50.36</v>
      </c>
      <c r="O98" s="862">
        <v>30.75</v>
      </c>
    </row>
    <row r="99" spans="10:15">
      <c r="L99" s="861">
        <v>44</v>
      </c>
      <c r="M99" s="862">
        <v>21.85</v>
      </c>
      <c r="N99" s="862">
        <v>54.94</v>
      </c>
      <c r="O99" s="862">
        <v>23.58</v>
      </c>
    </row>
    <row r="100" spans="10:15">
      <c r="L100" s="861">
        <v>45</v>
      </c>
      <c r="M100" s="862">
        <v>16.79</v>
      </c>
      <c r="N100" s="862">
        <v>41.16</v>
      </c>
      <c r="O100" s="862">
        <v>11.77</v>
      </c>
    </row>
    <row r="101" spans="10:15">
      <c r="L101" s="861">
        <v>46</v>
      </c>
      <c r="M101" s="862">
        <v>16.010000000000002</v>
      </c>
      <c r="N101" s="862">
        <v>42.65</v>
      </c>
      <c r="O101" s="862">
        <v>9.33</v>
      </c>
    </row>
    <row r="102" spans="10:15">
      <c r="L102" s="861">
        <v>47</v>
      </c>
      <c r="M102" s="862">
        <v>14.72</v>
      </c>
      <c r="N102" s="862">
        <v>39.76</v>
      </c>
      <c r="O102" s="862">
        <v>8.19</v>
      </c>
    </row>
    <row r="103" spans="10:15">
      <c r="K103" s="832">
        <v>48</v>
      </c>
      <c r="L103" s="861">
        <v>48</v>
      </c>
      <c r="M103" s="862">
        <v>18.932000297142856</v>
      </c>
      <c r="N103" s="862">
        <v>47.388000487142854</v>
      </c>
      <c r="O103" s="862">
        <v>19.661285946</v>
      </c>
    </row>
    <row r="104" spans="10:15">
      <c r="L104" s="861">
        <v>49</v>
      </c>
      <c r="M104" s="862">
        <v>28.48371397</v>
      </c>
      <c r="N104" s="862">
        <v>78.087428497142852</v>
      </c>
      <c r="O104" s="862">
        <v>19.181428364285715</v>
      </c>
    </row>
    <row r="105" spans="10:15">
      <c r="L105" s="861">
        <v>50</v>
      </c>
      <c r="M105" s="862">
        <v>32.583286012857144</v>
      </c>
      <c r="N105" s="862">
        <v>69.764142717142846</v>
      </c>
      <c r="O105" s="862">
        <v>23.7245715</v>
      </c>
    </row>
    <row r="106" spans="10:15">
      <c r="L106" s="861">
        <v>51</v>
      </c>
      <c r="M106" s="862">
        <v>34.501856668571428</v>
      </c>
      <c r="N106" s="862">
        <v>71.14499991142857</v>
      </c>
      <c r="O106" s="862">
        <v>26.158142907142857</v>
      </c>
    </row>
    <row r="107" spans="10:15">
      <c r="K107" s="832">
        <v>52</v>
      </c>
      <c r="L107" s="861">
        <v>52</v>
      </c>
      <c r="M107" s="862">
        <v>27.781857355714287</v>
      </c>
      <c r="N107" s="862">
        <v>83.196000228571435</v>
      </c>
      <c r="O107" s="862">
        <v>21.776999882857144</v>
      </c>
    </row>
    <row r="108" spans="10:15">
      <c r="J108" s="538">
        <v>2018</v>
      </c>
      <c r="K108" s="832">
        <v>1</v>
      </c>
      <c r="L108" s="861">
        <v>1</v>
      </c>
      <c r="M108" s="862">
        <v>29.44</v>
      </c>
      <c r="N108" s="862">
        <v>69.087142857142865</v>
      </c>
      <c r="O108" s="862">
        <v>15.747142857142856</v>
      </c>
    </row>
    <row r="109" spans="10:15">
      <c r="L109" s="861">
        <v>2</v>
      </c>
      <c r="M109" s="862">
        <v>42.880857194285717</v>
      </c>
      <c r="N109" s="862">
        <v>96.785858138571413</v>
      </c>
      <c r="O109" s="862">
        <v>37.6</v>
      </c>
    </row>
    <row r="110" spans="10:15">
      <c r="L110" s="861">
        <v>3</v>
      </c>
      <c r="M110" s="862">
        <v>74.002572194285705</v>
      </c>
      <c r="N110" s="862">
        <v>158.17728531428571</v>
      </c>
      <c r="O110" s="862">
        <v>101.26128550142856</v>
      </c>
    </row>
    <row r="111" spans="10:15">
      <c r="K111" s="832">
        <v>4</v>
      </c>
      <c r="L111" s="861">
        <v>4</v>
      </c>
      <c r="M111" s="862">
        <v>77.812570845714291</v>
      </c>
      <c r="N111" s="862">
        <v>167.02357267142858</v>
      </c>
      <c r="O111" s="862">
        <v>77.354000085714276</v>
      </c>
    </row>
    <row r="112" spans="10:15">
      <c r="L112" s="861">
        <v>5</v>
      </c>
      <c r="M112" s="862">
        <v>61.531714848571433</v>
      </c>
      <c r="N112" s="862">
        <v>113.19585745142855</v>
      </c>
      <c r="O112" s="862">
        <v>30.667142595714285</v>
      </c>
    </row>
    <row r="113" spans="11:15">
      <c r="L113" s="861">
        <v>6</v>
      </c>
      <c r="M113" s="862">
        <v>54.024142672857138</v>
      </c>
      <c r="N113" s="862">
        <v>88.535714287142852</v>
      </c>
      <c r="O113" s="862">
        <v>32.444142750000005</v>
      </c>
    </row>
    <row r="114" spans="11:15">
      <c r="L114" s="861">
        <v>7</v>
      </c>
      <c r="M114" s="862">
        <v>59.271427155714285</v>
      </c>
      <c r="N114" s="862">
        <v>99.37822619047617</v>
      </c>
      <c r="O114" s="862">
        <v>30.338148809523812</v>
      </c>
    </row>
    <row r="115" spans="11:15">
      <c r="K115" s="832">
        <v>8</v>
      </c>
      <c r="L115" s="861">
        <v>8</v>
      </c>
      <c r="M115" s="862">
        <v>78.025571005714284</v>
      </c>
      <c r="N115" s="862">
        <v>140.28</v>
      </c>
      <c r="O115" s="862">
        <v>62.97</v>
      </c>
    </row>
    <row r="116" spans="11:15">
      <c r="L116" s="861">
        <v>9</v>
      </c>
      <c r="M116" s="862">
        <v>61.11871501571428</v>
      </c>
      <c r="N116" s="862">
        <v>102.99642836285715</v>
      </c>
      <c r="O116" s="862">
        <v>31.244571685714288</v>
      </c>
    </row>
    <row r="117" spans="11:15">
      <c r="L117" s="861">
        <v>10</v>
      </c>
      <c r="M117" s="862">
        <v>84.500714981428573</v>
      </c>
      <c r="N117" s="862">
        <v>175.90485927142853</v>
      </c>
      <c r="O117" s="862">
        <v>36.038285662857142</v>
      </c>
    </row>
    <row r="118" spans="11:15">
      <c r="L118" s="861">
        <v>11</v>
      </c>
      <c r="M118" s="862">
        <v>83.643855504285725</v>
      </c>
      <c r="N118" s="862">
        <v>169.64671761428571</v>
      </c>
      <c r="O118" s="862">
        <v>25.076428275714282</v>
      </c>
    </row>
    <row r="119" spans="11:15">
      <c r="K119" s="832">
        <v>12</v>
      </c>
      <c r="L119" s="861">
        <v>12</v>
      </c>
      <c r="M119" s="862">
        <v>98.99</v>
      </c>
      <c r="N119" s="862">
        <v>198.22</v>
      </c>
      <c r="O119" s="862">
        <v>24.63</v>
      </c>
    </row>
    <row r="120" spans="11:15">
      <c r="L120" s="861">
        <v>13</v>
      </c>
      <c r="M120" s="862">
        <v>106.64928652857144</v>
      </c>
      <c r="N120" s="862">
        <v>312.6314304857143</v>
      </c>
      <c r="O120" s="862">
        <v>38.701428550000003</v>
      </c>
    </row>
    <row r="121" spans="11:15">
      <c r="L121" s="861">
        <v>14</v>
      </c>
      <c r="M121" s="862">
        <v>86.488428389999996</v>
      </c>
      <c r="N121" s="862">
        <v>235.31328691428573</v>
      </c>
      <c r="O121" s="862">
        <v>94.596427907142839</v>
      </c>
    </row>
    <row r="122" spans="11:15">
      <c r="L122" s="861">
        <v>15</v>
      </c>
      <c r="M122" s="862">
        <v>88.217001778571429</v>
      </c>
      <c r="N122" s="862">
        <v>294.1721409428572</v>
      </c>
      <c r="O122" s="862">
        <v>92.07</v>
      </c>
    </row>
    <row r="123" spans="11:15">
      <c r="K123" s="832">
        <v>16</v>
      </c>
      <c r="L123" s="861">
        <v>16</v>
      </c>
      <c r="M123" s="862">
        <v>65.84</v>
      </c>
      <c r="N123" s="862">
        <v>149.18</v>
      </c>
      <c r="O123" s="862">
        <v>45.4</v>
      </c>
    </row>
    <row r="124" spans="11:15">
      <c r="L124" s="861">
        <v>17</v>
      </c>
      <c r="M124" s="862">
        <v>51.88</v>
      </c>
      <c r="N124" s="862">
        <v>104.35</v>
      </c>
      <c r="O124" s="862">
        <v>41.47</v>
      </c>
    </row>
    <row r="125" spans="11:15">
      <c r="L125" s="861">
        <v>18</v>
      </c>
      <c r="M125" s="862">
        <v>49.672285897142856</v>
      </c>
      <c r="N125" s="862">
        <v>78.038143701428567</v>
      </c>
      <c r="O125" s="862">
        <v>65.800999782857133</v>
      </c>
    </row>
    <row r="126" spans="11:15">
      <c r="L126" s="861">
        <v>19</v>
      </c>
      <c r="M126" s="862">
        <v>45.203000204285708</v>
      </c>
      <c r="N126" s="862">
        <v>78.313856942857129</v>
      </c>
      <c r="O126" s="862">
        <v>75.104713441428572</v>
      </c>
    </row>
    <row r="127" spans="11:15">
      <c r="K127" s="832">
        <v>20</v>
      </c>
      <c r="L127" s="861">
        <v>20</v>
      </c>
      <c r="M127" s="862">
        <v>37.385857718571437</v>
      </c>
      <c r="N127" s="862">
        <v>130.92628696285712</v>
      </c>
      <c r="O127" s="862">
        <v>97.861000055714285</v>
      </c>
    </row>
    <row r="128" spans="11:15">
      <c r="L128" s="861">
        <v>21</v>
      </c>
      <c r="M128" s="862">
        <v>31.609713962857143</v>
      </c>
      <c r="N128" s="862">
        <v>64.449287412857146</v>
      </c>
      <c r="O128" s="862">
        <v>107.7964292242857</v>
      </c>
    </row>
    <row r="129" spans="12:15">
      <c r="L129" s="861">
        <v>22</v>
      </c>
      <c r="M129" s="862">
        <v>23.360142844285715</v>
      </c>
      <c r="N129" s="862">
        <v>64.449287412857146</v>
      </c>
      <c r="O129" s="862">
        <v>107.7964292242857</v>
      </c>
    </row>
    <row r="131" spans="12:15">
      <c r="M131" s="832" t="s">
        <v>307</v>
      </c>
      <c r="N131" s="832" t="s">
        <v>308</v>
      </c>
      <c r="O131" s="832" t="s">
        <v>309</v>
      </c>
    </row>
  </sheetData>
  <mergeCells count="2">
    <mergeCell ref="A3:G3"/>
    <mergeCell ref="A35:G35"/>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31"/>
  <sheetViews>
    <sheetView showGridLines="0" view="pageBreakPreview" zoomScale="130" zoomScaleNormal="100" zoomScaleSheetLayoutView="130" zoomScalePageLayoutView="130" workbookViewId="0">
      <selection activeCell="Q26" sqref="Q26"/>
    </sheetView>
  </sheetViews>
  <sheetFormatPr defaultRowHeight="11.25"/>
  <cols>
    <col min="1" max="9" width="9.33203125" style="3"/>
    <col min="10" max="11" width="9.33203125" style="3" customWidth="1"/>
    <col min="12" max="13" width="9.33203125" style="3"/>
    <col min="14" max="26" width="9.33203125" style="832"/>
    <col min="27" max="30" width="9.33203125" style="566"/>
    <col min="31" max="32" width="9.33203125" style="538"/>
    <col min="33" max="16384" width="9.33203125" style="3"/>
  </cols>
  <sheetData>
    <row r="1" spans="1:25" ht="11.25" customHeight="1">
      <c r="A1" s="160"/>
      <c r="B1" s="160"/>
      <c r="C1" s="160"/>
      <c r="D1" s="160"/>
      <c r="E1" s="160"/>
      <c r="F1" s="160"/>
      <c r="G1" s="160"/>
      <c r="H1" s="160"/>
      <c r="I1" s="160"/>
      <c r="J1" s="160"/>
      <c r="K1" s="160"/>
      <c r="L1" s="160"/>
    </row>
    <row r="2" spans="1:25" ht="11.25" customHeight="1">
      <c r="A2" s="567"/>
      <c r="B2" s="568"/>
      <c r="C2" s="568"/>
      <c r="D2" s="568"/>
      <c r="E2" s="568"/>
      <c r="F2" s="568"/>
      <c r="G2" s="233"/>
      <c r="H2" s="233"/>
      <c r="I2" s="200"/>
      <c r="J2" s="160"/>
      <c r="K2" s="160"/>
      <c r="L2" s="160"/>
    </row>
    <row r="3" spans="1:25" ht="11.25" customHeight="1">
      <c r="A3" s="200"/>
      <c r="B3" s="200"/>
      <c r="C3" s="200"/>
      <c r="D3" s="200"/>
      <c r="E3" s="200"/>
      <c r="F3" s="200"/>
      <c r="G3" s="159"/>
      <c r="H3" s="159"/>
      <c r="I3" s="159"/>
      <c r="J3" s="175"/>
      <c r="K3" s="175"/>
      <c r="L3" s="175"/>
      <c r="O3" s="832" t="s">
        <v>306</v>
      </c>
      <c r="P3" s="861"/>
      <c r="Q3" s="832" t="s">
        <v>310</v>
      </c>
      <c r="R3" s="832" t="s">
        <v>311</v>
      </c>
      <c r="S3" s="832" t="s">
        <v>312</v>
      </c>
      <c r="T3" s="832" t="s">
        <v>313</v>
      </c>
      <c r="U3" s="832" t="s">
        <v>314</v>
      </c>
      <c r="V3" s="832" t="s">
        <v>315</v>
      </c>
      <c r="W3" s="832" t="s">
        <v>316</v>
      </c>
      <c r="X3" s="832" t="s">
        <v>317</v>
      </c>
      <c r="Y3" s="832" t="s">
        <v>318</v>
      </c>
    </row>
    <row r="4" spans="1:25" ht="11.25" customHeight="1">
      <c r="A4" s="200"/>
      <c r="B4" s="200"/>
      <c r="C4" s="200"/>
      <c r="D4" s="200"/>
      <c r="E4" s="200"/>
      <c r="F4" s="200"/>
      <c r="G4" s="159"/>
      <c r="H4" s="159"/>
      <c r="I4" s="159"/>
      <c r="J4" s="175"/>
      <c r="K4" s="175"/>
      <c r="L4" s="175"/>
      <c r="N4" s="832">
        <v>2016</v>
      </c>
      <c r="O4" s="832">
        <v>1</v>
      </c>
      <c r="P4" s="861">
        <v>1</v>
      </c>
      <c r="Q4" s="862">
        <v>12.12</v>
      </c>
      <c r="R4" s="862">
        <v>8.33</v>
      </c>
      <c r="S4" s="862">
        <v>165.03200000000001</v>
      </c>
      <c r="T4" s="862">
        <v>95.83</v>
      </c>
      <c r="U4" s="862">
        <v>18.5</v>
      </c>
      <c r="V4" s="862">
        <v>10.01</v>
      </c>
      <c r="W4" s="862">
        <v>1.23</v>
      </c>
      <c r="X4" s="862">
        <v>109.19</v>
      </c>
      <c r="Y4" s="862">
        <v>37.270000000000003</v>
      </c>
    </row>
    <row r="5" spans="1:25" ht="11.25" customHeight="1">
      <c r="A5" s="569"/>
      <c r="B5" s="569"/>
      <c r="C5" s="569"/>
      <c r="D5" s="569"/>
      <c r="E5" s="569"/>
      <c r="F5" s="569"/>
      <c r="G5" s="569"/>
      <c r="H5" s="569"/>
      <c r="I5" s="569"/>
      <c r="J5" s="31"/>
      <c r="K5" s="31"/>
      <c r="L5" s="152"/>
      <c r="P5" s="861">
        <v>2</v>
      </c>
      <c r="Q5" s="862">
        <v>10.45</v>
      </c>
      <c r="R5" s="862">
        <v>5.38</v>
      </c>
      <c r="S5" s="862">
        <v>137.04</v>
      </c>
      <c r="T5" s="862">
        <v>78.260000000000005</v>
      </c>
      <c r="U5" s="862">
        <v>13.1</v>
      </c>
      <c r="V5" s="862">
        <v>10</v>
      </c>
      <c r="W5" s="862">
        <v>1.18</v>
      </c>
      <c r="X5" s="862">
        <v>177.91</v>
      </c>
      <c r="Y5" s="862">
        <v>53.34</v>
      </c>
    </row>
    <row r="6" spans="1:25" ht="11.25" customHeight="1">
      <c r="A6" s="200"/>
      <c r="B6" s="570"/>
      <c r="C6" s="571"/>
      <c r="D6" s="572"/>
      <c r="E6" s="572"/>
      <c r="F6" s="573"/>
      <c r="G6" s="574"/>
      <c r="H6" s="574"/>
      <c r="I6" s="248"/>
      <c r="J6" s="31"/>
      <c r="K6" s="31"/>
      <c r="L6" s="26"/>
      <c r="P6" s="861">
        <v>3</v>
      </c>
      <c r="Q6" s="862">
        <v>10.396000000000001</v>
      </c>
      <c r="R6" s="862">
        <v>5.29</v>
      </c>
      <c r="S6" s="862">
        <v>102.45</v>
      </c>
      <c r="T6" s="862">
        <v>101.264</v>
      </c>
      <c r="U6" s="862">
        <v>15.26</v>
      </c>
      <c r="V6" s="862">
        <v>10.01</v>
      </c>
      <c r="W6" s="862">
        <v>1.2529999999999999</v>
      </c>
      <c r="X6" s="862">
        <v>248.28</v>
      </c>
      <c r="Y6" s="862">
        <v>76.69</v>
      </c>
    </row>
    <row r="7" spans="1:25" ht="11.25" customHeight="1">
      <c r="A7" s="200"/>
      <c r="B7" s="249"/>
      <c r="C7" s="249"/>
      <c r="D7" s="250"/>
      <c r="E7" s="250"/>
      <c r="F7" s="573"/>
      <c r="G7" s="574"/>
      <c r="H7" s="574"/>
      <c r="I7" s="248"/>
      <c r="J7" s="32"/>
      <c r="K7" s="32"/>
      <c r="L7" s="29"/>
      <c r="O7" s="832">
        <v>4</v>
      </c>
      <c r="P7" s="861">
        <v>4</v>
      </c>
      <c r="Q7" s="862">
        <v>10.32</v>
      </c>
      <c r="R7" s="862">
        <v>6.0640000000000001</v>
      </c>
      <c r="S7" s="862">
        <v>93.71</v>
      </c>
      <c r="T7" s="862">
        <v>79.73</v>
      </c>
      <c r="U7" s="862">
        <v>12.66</v>
      </c>
      <c r="V7" s="862">
        <v>10.01</v>
      </c>
      <c r="W7" s="862">
        <v>1.22</v>
      </c>
      <c r="X7" s="862">
        <v>142.55000000000001</v>
      </c>
      <c r="Y7" s="862">
        <v>40.92</v>
      </c>
    </row>
    <row r="8" spans="1:25" ht="11.25" customHeight="1">
      <c r="A8" s="200"/>
      <c r="B8" s="251"/>
      <c r="C8" s="179"/>
      <c r="D8" s="191"/>
      <c r="E8" s="191"/>
      <c r="F8" s="573"/>
      <c r="G8" s="574"/>
      <c r="H8" s="574"/>
      <c r="I8" s="248"/>
      <c r="J8" s="30"/>
      <c r="K8" s="30"/>
      <c r="L8" s="31"/>
      <c r="P8" s="861">
        <v>5</v>
      </c>
      <c r="Q8" s="862">
        <v>14.34</v>
      </c>
      <c r="R8" s="862">
        <v>9.59</v>
      </c>
      <c r="S8" s="862">
        <v>142.55000000000001</v>
      </c>
      <c r="T8" s="862">
        <v>128.66</v>
      </c>
      <c r="U8" s="862">
        <v>24.24</v>
      </c>
      <c r="V8" s="862">
        <v>10.01</v>
      </c>
      <c r="W8" s="862">
        <v>1.17</v>
      </c>
      <c r="X8" s="862">
        <v>251.59399999999999</v>
      </c>
      <c r="Y8" s="862">
        <v>58.97</v>
      </c>
    </row>
    <row r="9" spans="1:25" ht="11.25" customHeight="1">
      <c r="A9" s="200"/>
      <c r="B9" s="251"/>
      <c r="C9" s="179"/>
      <c r="D9" s="191"/>
      <c r="E9" s="191"/>
      <c r="F9" s="573"/>
      <c r="G9" s="574"/>
      <c r="H9" s="574"/>
      <c r="I9" s="248"/>
      <c r="J9" s="32"/>
      <c r="K9" s="33"/>
      <c r="L9" s="34"/>
      <c r="P9" s="861">
        <v>6</v>
      </c>
      <c r="Q9" s="862">
        <v>14.98</v>
      </c>
      <c r="R9" s="862">
        <v>12.82</v>
      </c>
      <c r="S9" s="862">
        <v>223.15</v>
      </c>
      <c r="T9" s="862">
        <v>174.87</v>
      </c>
      <c r="U9" s="862">
        <v>35.18</v>
      </c>
      <c r="V9" s="862">
        <v>9.01</v>
      </c>
      <c r="W9" s="862">
        <v>0.82</v>
      </c>
      <c r="X9" s="862">
        <v>388.05428210000002</v>
      </c>
      <c r="Y9" s="862">
        <v>80.41</v>
      </c>
    </row>
    <row r="10" spans="1:25" ht="11.25" customHeight="1">
      <c r="A10" s="200"/>
      <c r="B10" s="251"/>
      <c r="C10" s="179"/>
      <c r="D10" s="191"/>
      <c r="E10" s="191"/>
      <c r="F10" s="573"/>
      <c r="G10" s="574"/>
      <c r="H10" s="574"/>
      <c r="I10" s="248"/>
      <c r="J10" s="32"/>
      <c r="K10" s="32"/>
      <c r="L10" s="29"/>
      <c r="P10" s="861">
        <v>7</v>
      </c>
      <c r="Q10" s="862">
        <v>15.86</v>
      </c>
      <c r="R10" s="862">
        <v>12.43</v>
      </c>
      <c r="S10" s="862">
        <v>223.86</v>
      </c>
      <c r="T10" s="862">
        <v>126.56</v>
      </c>
      <c r="U10" s="862">
        <v>25.04</v>
      </c>
      <c r="V10" s="862">
        <v>9.01</v>
      </c>
      <c r="W10" s="862">
        <v>1.59</v>
      </c>
      <c r="X10" s="862">
        <v>283.21000240000001</v>
      </c>
      <c r="Y10" s="862">
        <v>53.36</v>
      </c>
    </row>
    <row r="11" spans="1:25" ht="11.25" customHeight="1">
      <c r="A11" s="200"/>
      <c r="B11" s="191"/>
      <c r="C11" s="179"/>
      <c r="D11" s="191"/>
      <c r="E11" s="191"/>
      <c r="F11" s="573"/>
      <c r="G11" s="574"/>
      <c r="H11" s="574"/>
      <c r="I11" s="248"/>
      <c r="J11" s="32"/>
      <c r="K11" s="32"/>
      <c r="L11" s="29"/>
      <c r="O11" s="832">
        <v>8</v>
      </c>
      <c r="P11" s="861">
        <v>8</v>
      </c>
      <c r="Q11" s="862">
        <v>22.12</v>
      </c>
      <c r="R11" s="862">
        <v>19.3</v>
      </c>
      <c r="S11" s="862">
        <v>297.45999999999998</v>
      </c>
      <c r="T11" s="862">
        <v>188.83</v>
      </c>
      <c r="U11" s="862">
        <v>26.72</v>
      </c>
      <c r="V11" s="862">
        <v>18.309999999999999</v>
      </c>
      <c r="W11" s="862">
        <v>14.62</v>
      </c>
      <c r="X11" s="862">
        <v>414.29357470000002</v>
      </c>
      <c r="Y11" s="862">
        <v>65.55</v>
      </c>
    </row>
    <row r="12" spans="1:25" ht="11.25" customHeight="1">
      <c r="A12" s="200"/>
      <c r="B12" s="191"/>
      <c r="C12" s="179"/>
      <c r="D12" s="191"/>
      <c r="E12" s="191"/>
      <c r="F12" s="573"/>
      <c r="G12" s="574"/>
      <c r="H12" s="574"/>
      <c r="I12" s="248"/>
      <c r="J12" s="32"/>
      <c r="K12" s="32"/>
      <c r="L12" s="29"/>
      <c r="P12" s="861">
        <v>9</v>
      </c>
      <c r="Q12" s="862">
        <v>31.986428669999999</v>
      </c>
      <c r="R12" s="862">
        <v>19.514333090000001</v>
      </c>
      <c r="S12" s="862">
        <v>326.48699649999998</v>
      </c>
      <c r="T12" s="862">
        <v>170.33500290000001</v>
      </c>
      <c r="U12" s="862">
        <v>30.940000529999999</v>
      </c>
      <c r="V12" s="862">
        <v>16.54985727582655</v>
      </c>
      <c r="W12" s="862">
        <v>7.4597144130000004</v>
      </c>
      <c r="X12" s="862">
        <v>382.60643219999997</v>
      </c>
      <c r="Y12" s="862">
        <v>72.96314185</v>
      </c>
    </row>
    <row r="13" spans="1:25" ht="11.25" customHeight="1">
      <c r="A13" s="200"/>
      <c r="B13" s="191"/>
      <c r="C13" s="179"/>
      <c r="D13" s="191"/>
      <c r="E13" s="191"/>
      <c r="F13" s="573"/>
      <c r="G13" s="574"/>
      <c r="H13" s="574"/>
      <c r="I13" s="248"/>
      <c r="J13" s="30"/>
      <c r="K13" s="30"/>
      <c r="L13" s="31"/>
      <c r="P13" s="861">
        <v>10</v>
      </c>
      <c r="Q13" s="862">
        <v>21.817856924874398</v>
      </c>
      <c r="R13" s="862">
        <v>20.1870002746582</v>
      </c>
      <c r="S13" s="862">
        <v>281.91442869999997</v>
      </c>
      <c r="T13" s="862">
        <v>164.05856977190246</v>
      </c>
      <c r="U13" s="862">
        <v>30.751428604125927</v>
      </c>
      <c r="V13" s="862">
        <v>9.5257144655499921</v>
      </c>
      <c r="W13" s="862">
        <v>2.1815714495522598</v>
      </c>
      <c r="X13" s="862">
        <v>245.78571646554084</v>
      </c>
      <c r="Y13" s="862">
        <v>47.002858298165428</v>
      </c>
    </row>
    <row r="14" spans="1:25" ht="11.25" customHeight="1">
      <c r="A14" s="200"/>
      <c r="B14" s="191"/>
      <c r="C14" s="179"/>
      <c r="D14" s="191"/>
      <c r="E14" s="191"/>
      <c r="F14" s="573"/>
      <c r="G14" s="574"/>
      <c r="H14" s="574"/>
      <c r="I14" s="248"/>
      <c r="J14" s="32"/>
      <c r="K14" s="33"/>
      <c r="L14" s="34"/>
      <c r="P14" s="861">
        <v>11</v>
      </c>
      <c r="Q14" s="862">
        <v>21.645000185285259</v>
      </c>
      <c r="R14" s="862">
        <v>18.452999932425314</v>
      </c>
      <c r="S14" s="862">
        <v>302.97000000000003</v>
      </c>
      <c r="T14" s="862">
        <v>146.11571393694155</v>
      </c>
      <c r="U14" s="862">
        <v>26.230000359671411</v>
      </c>
      <c r="V14" s="862">
        <v>10.001428604125973</v>
      </c>
      <c r="W14" s="862">
        <v>1.7041428429739771</v>
      </c>
      <c r="X14" s="862">
        <v>239.62</v>
      </c>
      <c r="Y14" s="862">
        <v>42.29</v>
      </c>
    </row>
    <row r="15" spans="1:25" ht="11.25" customHeight="1">
      <c r="A15" s="200"/>
      <c r="B15" s="191"/>
      <c r="C15" s="179"/>
      <c r="D15" s="191"/>
      <c r="E15" s="191"/>
      <c r="F15" s="573"/>
      <c r="G15" s="574"/>
      <c r="H15" s="574"/>
      <c r="I15" s="248"/>
      <c r="J15" s="32"/>
      <c r="K15" s="33"/>
      <c r="L15" s="29"/>
      <c r="O15" s="832">
        <v>12</v>
      </c>
      <c r="P15" s="861">
        <v>12</v>
      </c>
      <c r="Q15" s="862">
        <v>15.247000013078916</v>
      </c>
      <c r="R15" s="862">
        <v>12.7100000381469</v>
      </c>
      <c r="S15" s="862">
        <v>179.33771623883899</v>
      </c>
      <c r="T15" s="862">
        <v>114.18428584507485</v>
      </c>
      <c r="U15" s="862">
        <v>18.61999988555905</v>
      </c>
      <c r="V15" s="862">
        <v>9.9999999999999964</v>
      </c>
      <c r="W15" s="862">
        <v>1.2444285835538544</v>
      </c>
      <c r="X15" s="862">
        <v>150.27357046944684</v>
      </c>
      <c r="Y15" s="862">
        <v>24.915714263915959</v>
      </c>
    </row>
    <row r="16" spans="1:25" ht="11.25" customHeight="1">
      <c r="A16" s="200"/>
      <c r="B16" s="191"/>
      <c r="C16" s="179"/>
      <c r="D16" s="191"/>
      <c r="E16" s="191"/>
      <c r="F16" s="573"/>
      <c r="G16" s="574"/>
      <c r="H16" s="574"/>
      <c r="I16" s="248"/>
      <c r="J16" s="32"/>
      <c r="K16" s="33"/>
      <c r="L16" s="29"/>
      <c r="P16" s="861">
        <v>13</v>
      </c>
      <c r="Q16" s="862">
        <v>17.322999954223601</v>
      </c>
      <c r="R16" s="862">
        <v>15.171999931335399</v>
      </c>
      <c r="S16" s="862">
        <v>130.67500305175699</v>
      </c>
      <c r="T16" s="862">
        <v>89.040000915527301</v>
      </c>
      <c r="U16" s="862">
        <v>15.310000419616699</v>
      </c>
      <c r="V16" s="862">
        <v>10</v>
      </c>
      <c r="W16" s="862">
        <v>1.0199999809265099</v>
      </c>
      <c r="X16" s="862">
        <v>116.33999633789</v>
      </c>
      <c r="Y16" s="862">
        <v>24.159999847412099</v>
      </c>
    </row>
    <row r="17" spans="1:25" ht="11.25" customHeight="1">
      <c r="A17" s="200"/>
      <c r="B17" s="191"/>
      <c r="C17" s="179"/>
      <c r="D17" s="191"/>
      <c r="E17" s="191"/>
      <c r="F17" s="573"/>
      <c r="G17" s="574"/>
      <c r="H17" s="574"/>
      <c r="I17" s="248"/>
      <c r="J17" s="32"/>
      <c r="K17" s="33"/>
      <c r="L17" s="29"/>
      <c r="P17" s="861">
        <v>14</v>
      </c>
      <c r="Q17" s="862">
        <v>14.828142711094401</v>
      </c>
      <c r="R17" s="862">
        <v>13.217000007629398</v>
      </c>
      <c r="S17" s="862">
        <v>121.81457192557171</v>
      </c>
      <c r="T17" s="862">
        <v>78.037142072405103</v>
      </c>
      <c r="U17" s="862">
        <v>14.082857131957956</v>
      </c>
      <c r="V17" s="862">
        <v>10.001428604125973</v>
      </c>
      <c r="W17" s="862">
        <v>1.3691428899764975</v>
      </c>
      <c r="X17" s="862">
        <v>126.18428475516127</v>
      </c>
      <c r="Y17" s="862">
        <v>22.646999904087572</v>
      </c>
    </row>
    <row r="18" spans="1:25" ht="11.25" customHeight="1">
      <c r="A18" s="941" t="s">
        <v>745</v>
      </c>
      <c r="B18" s="941"/>
      <c r="C18" s="941"/>
      <c r="D18" s="941"/>
      <c r="E18" s="941"/>
      <c r="F18" s="941"/>
      <c r="G18" s="941"/>
      <c r="H18" s="941"/>
      <c r="I18" s="941"/>
      <c r="J18" s="941"/>
      <c r="K18" s="941"/>
      <c r="L18" s="941"/>
      <c r="P18" s="861">
        <v>15</v>
      </c>
      <c r="Q18" s="862">
        <v>15.017142977033298</v>
      </c>
      <c r="R18" s="862">
        <v>11.291000366210898</v>
      </c>
      <c r="S18" s="862">
        <v>184.69442967006074</v>
      </c>
      <c r="T18" s="862">
        <v>74.048570905412902</v>
      </c>
      <c r="U18" s="862">
        <v>17.312857082911869</v>
      </c>
      <c r="V18" s="862">
        <v>10.005714416503881</v>
      </c>
      <c r="W18" s="862">
        <v>1.6558571543012313</v>
      </c>
      <c r="X18" s="862">
        <v>140.54571315220355</v>
      </c>
      <c r="Y18" s="862">
        <v>22.742571422031897</v>
      </c>
    </row>
    <row r="19" spans="1:25" ht="11.25" customHeight="1">
      <c r="A19" s="252"/>
      <c r="B19" s="191"/>
      <c r="C19" s="179"/>
      <c r="D19" s="191"/>
      <c r="E19" s="191"/>
      <c r="F19" s="246"/>
      <c r="G19" s="247"/>
      <c r="H19" s="247"/>
      <c r="I19" s="248"/>
      <c r="J19" s="32"/>
      <c r="K19" s="33"/>
      <c r="L19" s="29"/>
      <c r="O19" s="832">
        <v>16</v>
      </c>
      <c r="P19" s="861">
        <v>16</v>
      </c>
      <c r="Q19" s="862">
        <v>13.98</v>
      </c>
      <c r="R19" s="862">
        <v>11.63</v>
      </c>
      <c r="S19" s="862">
        <v>164.52</v>
      </c>
      <c r="T19" s="862">
        <v>81.069999999999993</v>
      </c>
      <c r="U19" s="862">
        <v>21.07</v>
      </c>
      <c r="V19" s="862">
        <v>10.01</v>
      </c>
      <c r="W19" s="862">
        <v>1.27</v>
      </c>
      <c r="X19" s="862">
        <v>141.29</v>
      </c>
      <c r="Y19" s="862">
        <v>23.21</v>
      </c>
    </row>
    <row r="20" spans="1:25" ht="11.25" customHeight="1">
      <c r="A20" s="153"/>
      <c r="B20" s="191"/>
      <c r="C20" s="179"/>
      <c r="D20" s="191"/>
      <c r="E20" s="191"/>
      <c r="F20" s="246"/>
      <c r="G20" s="247"/>
      <c r="H20" s="247"/>
      <c r="I20" s="248"/>
      <c r="J20" s="32"/>
      <c r="K20" s="33"/>
      <c r="L20" s="29"/>
      <c r="P20" s="861">
        <v>17</v>
      </c>
      <c r="Q20" s="862">
        <v>12.944285669999999</v>
      </c>
      <c r="R20" s="862">
        <v>10.010000228881799</v>
      </c>
      <c r="S20" s="862">
        <v>152.88357325962556</v>
      </c>
      <c r="T20" s="862">
        <v>64.311428070000005</v>
      </c>
      <c r="U20" s="862">
        <v>16.638571469999999</v>
      </c>
      <c r="V20" s="862">
        <v>10.004285812377887</v>
      </c>
      <c r="W20" s="862">
        <v>1.7342857122421229</v>
      </c>
      <c r="X20" s="862">
        <v>105.73500061035119</v>
      </c>
      <c r="Y20" s="862">
        <v>19.724285806928286</v>
      </c>
    </row>
    <row r="21" spans="1:25" ht="11.25" customHeight="1">
      <c r="A21" s="153"/>
      <c r="B21" s="191"/>
      <c r="C21" s="179"/>
      <c r="D21" s="191"/>
      <c r="E21" s="191"/>
      <c r="F21" s="246"/>
      <c r="G21" s="247"/>
      <c r="H21" s="247"/>
      <c r="I21" s="248"/>
      <c r="J21" s="32"/>
      <c r="K21" s="38"/>
      <c r="L21" s="39"/>
      <c r="P21" s="861">
        <v>18</v>
      </c>
      <c r="Q21" s="862">
        <v>10.727142742701899</v>
      </c>
      <c r="R21" s="862">
        <v>6.3112858363560251</v>
      </c>
      <c r="S21" s="862">
        <v>98.225285121372636</v>
      </c>
      <c r="T21" s="862">
        <v>46.242857796805197</v>
      </c>
      <c r="U21" s="862">
        <v>10.637142998831566</v>
      </c>
      <c r="V21" s="862">
        <v>10.007143020629858</v>
      </c>
      <c r="W21" s="862">
        <v>1.4345714194433998</v>
      </c>
      <c r="X21" s="862">
        <v>72.620000566754968</v>
      </c>
      <c r="Y21" s="862">
        <v>14.075714383806471</v>
      </c>
    </row>
    <row r="22" spans="1:25" ht="11.25" customHeight="1">
      <c r="A22" s="158"/>
      <c r="B22" s="191"/>
      <c r="C22" s="179"/>
      <c r="D22" s="191"/>
      <c r="E22" s="191"/>
      <c r="F22" s="246"/>
      <c r="G22" s="247"/>
      <c r="H22" s="247"/>
      <c r="I22" s="248"/>
      <c r="J22" s="32"/>
      <c r="K22" s="33"/>
      <c r="L22" s="29"/>
      <c r="P22" s="861">
        <v>19</v>
      </c>
      <c r="Q22" s="862">
        <v>9.4342857088361427</v>
      </c>
      <c r="R22" s="862">
        <v>7.4910001754760689</v>
      </c>
      <c r="S22" s="862">
        <v>86.615142822265582</v>
      </c>
      <c r="T22" s="862">
        <v>41.954286302838973</v>
      </c>
      <c r="U22" s="862">
        <v>9.4342857088361427</v>
      </c>
      <c r="V22" s="862">
        <v>10.004285812377914</v>
      </c>
      <c r="W22" s="862">
        <v>1.3051428794860784</v>
      </c>
      <c r="X22" s="862">
        <v>60.497857775006928</v>
      </c>
      <c r="Y22" s="862">
        <v>12.797142846243686</v>
      </c>
    </row>
    <row r="23" spans="1:25" ht="11.25" customHeight="1">
      <c r="A23" s="158"/>
      <c r="B23" s="191"/>
      <c r="C23" s="179"/>
      <c r="D23" s="191"/>
      <c r="E23" s="191"/>
      <c r="F23" s="246"/>
      <c r="G23" s="247"/>
      <c r="H23" s="247"/>
      <c r="I23" s="248"/>
      <c r="J23" s="32"/>
      <c r="K23" s="33"/>
      <c r="L23" s="29"/>
      <c r="O23" s="832">
        <v>20</v>
      </c>
      <c r="P23" s="861">
        <v>20</v>
      </c>
      <c r="Q23" s="862">
        <v>9.1999999999999993</v>
      </c>
      <c r="R23" s="862">
        <v>6.8</v>
      </c>
      <c r="S23" s="862">
        <v>78.2</v>
      </c>
      <c r="T23" s="862">
        <v>39.6</v>
      </c>
      <c r="U23" s="862">
        <v>8.6</v>
      </c>
      <c r="V23" s="862">
        <v>10</v>
      </c>
      <c r="W23" s="862">
        <v>1.6</v>
      </c>
      <c r="X23" s="862">
        <v>56.6</v>
      </c>
      <c r="Y23" s="862">
        <v>12.9</v>
      </c>
    </row>
    <row r="24" spans="1:25" ht="11.25" customHeight="1">
      <c r="A24" s="158"/>
      <c r="B24" s="191"/>
      <c r="C24" s="179"/>
      <c r="D24" s="191"/>
      <c r="E24" s="191"/>
      <c r="F24" s="246"/>
      <c r="G24" s="247"/>
      <c r="H24" s="247"/>
      <c r="I24" s="248"/>
      <c r="J24" s="33"/>
      <c r="K24" s="33"/>
      <c r="L24" s="29"/>
      <c r="P24" s="861">
        <v>21</v>
      </c>
      <c r="Q24" s="862">
        <v>9.0128573008945967</v>
      </c>
      <c r="R24" s="862">
        <v>5.4099998474121005</v>
      </c>
      <c r="S24" s="862">
        <v>73.744141714913454</v>
      </c>
      <c r="T24" s="862">
        <v>44.79285812377924</v>
      </c>
      <c r="U24" s="862">
        <v>10.11999988555907</v>
      </c>
      <c r="V24" s="862">
        <v>10.011428560529414</v>
      </c>
      <c r="W24" s="862">
        <v>1.2349999972752113</v>
      </c>
      <c r="X24" s="862">
        <v>52.17071369716097</v>
      </c>
      <c r="Y24" s="862">
        <v>11.968571390424414</v>
      </c>
    </row>
    <row r="25" spans="1:25" ht="11.25" customHeight="1">
      <c r="A25" s="158"/>
      <c r="B25" s="191"/>
      <c r="C25" s="179"/>
      <c r="D25" s="191"/>
      <c r="E25" s="191"/>
      <c r="F25" s="246"/>
      <c r="G25" s="247"/>
      <c r="H25" s="247"/>
      <c r="I25" s="248"/>
      <c r="J25" s="32"/>
      <c r="K25" s="38"/>
      <c r="L25" s="39"/>
      <c r="P25" s="861">
        <v>22</v>
      </c>
      <c r="Q25" s="862">
        <v>7.95</v>
      </c>
      <c r="R25" s="862">
        <v>3.82</v>
      </c>
      <c r="S25" s="862">
        <v>66.739999999999995</v>
      </c>
      <c r="T25" s="862">
        <v>34.01</v>
      </c>
      <c r="U25" s="862">
        <v>8.15</v>
      </c>
      <c r="V25" s="862">
        <v>10.02</v>
      </c>
      <c r="W25" s="862">
        <v>1.52</v>
      </c>
      <c r="X25" s="862">
        <v>46.88</v>
      </c>
      <c r="Y25" s="862">
        <v>9.89</v>
      </c>
    </row>
    <row r="26" spans="1:25" ht="11.25" customHeight="1">
      <c r="A26" s="158"/>
      <c r="B26" s="191"/>
      <c r="C26" s="179"/>
      <c r="D26" s="191"/>
      <c r="E26" s="191"/>
      <c r="F26" s="159"/>
      <c r="G26" s="159"/>
      <c r="H26" s="159"/>
      <c r="I26" s="159"/>
      <c r="J26" s="30"/>
      <c r="K26" s="33"/>
      <c r="L26" s="29"/>
      <c r="P26" s="861">
        <v>23</v>
      </c>
      <c r="Q26" s="862">
        <v>7.6</v>
      </c>
      <c r="R26" s="862">
        <v>3.22</v>
      </c>
      <c r="S26" s="862">
        <v>59.4</v>
      </c>
      <c r="T26" s="862">
        <v>28.71</v>
      </c>
      <c r="U26" s="862">
        <v>7.74</v>
      </c>
      <c r="V26" s="862">
        <v>10</v>
      </c>
      <c r="W26" s="862">
        <v>1.55</v>
      </c>
      <c r="X26" s="862">
        <v>43.39</v>
      </c>
      <c r="Y26" s="862">
        <v>8.57</v>
      </c>
    </row>
    <row r="27" spans="1:25" ht="11.25" customHeight="1">
      <c r="A27" s="158"/>
      <c r="B27" s="191"/>
      <c r="C27" s="179"/>
      <c r="D27" s="191"/>
      <c r="E27" s="191"/>
      <c r="F27" s="159"/>
      <c r="G27" s="159"/>
      <c r="H27" s="159"/>
      <c r="I27" s="159"/>
      <c r="J27" s="30"/>
      <c r="K27" s="33"/>
      <c r="L27" s="29"/>
      <c r="O27" s="832">
        <v>24</v>
      </c>
      <c r="P27" s="861">
        <v>24</v>
      </c>
      <c r="Q27" s="862">
        <v>9.57</v>
      </c>
      <c r="R27" s="862">
        <v>3.42</v>
      </c>
      <c r="S27" s="862">
        <v>54.3</v>
      </c>
      <c r="T27" s="862">
        <v>30.83</v>
      </c>
      <c r="U27" s="862">
        <v>7.53</v>
      </c>
      <c r="V27" s="862">
        <v>10</v>
      </c>
      <c r="W27" s="862">
        <v>1.6</v>
      </c>
      <c r="X27" s="862">
        <v>40.28</v>
      </c>
      <c r="Y27" s="862">
        <v>9.6</v>
      </c>
    </row>
    <row r="28" spans="1:25" ht="11.25" customHeight="1">
      <c r="A28" s="157"/>
      <c r="B28" s="159"/>
      <c r="C28" s="159"/>
      <c r="D28" s="159"/>
      <c r="E28" s="159"/>
      <c r="F28" s="159"/>
      <c r="G28" s="159"/>
      <c r="H28" s="159"/>
      <c r="I28" s="159"/>
      <c r="J28" s="32"/>
      <c r="K28" s="33"/>
      <c r="L28" s="29"/>
      <c r="P28" s="861">
        <v>25</v>
      </c>
      <c r="Q28" s="862">
        <v>9.0548571179999993</v>
      </c>
      <c r="R28" s="862">
        <v>3.2130000590000001</v>
      </c>
      <c r="S28" s="862">
        <v>56.674428669999998</v>
      </c>
      <c r="T28" s="862">
        <v>25.690000260000001</v>
      </c>
      <c r="U28" s="862">
        <v>6.9342856409999998</v>
      </c>
      <c r="V28" s="862">
        <v>10.00571442</v>
      </c>
      <c r="W28" s="862">
        <v>1.254714302</v>
      </c>
      <c r="X28" s="862">
        <v>37.560714179999998</v>
      </c>
      <c r="Y28" s="862">
        <v>7.91285726</v>
      </c>
    </row>
    <row r="29" spans="1:25" ht="11.25" customHeight="1">
      <c r="A29" s="157"/>
      <c r="B29" s="159"/>
      <c r="C29" s="159"/>
      <c r="D29" s="159"/>
      <c r="E29" s="159"/>
      <c r="F29" s="159"/>
      <c r="G29" s="159"/>
      <c r="H29" s="159"/>
      <c r="I29" s="159"/>
      <c r="J29" s="32"/>
      <c r="K29" s="33"/>
      <c r="L29" s="29"/>
      <c r="P29" s="861">
        <v>26</v>
      </c>
      <c r="Q29" s="862">
        <v>8.8612857550000008</v>
      </c>
      <c r="R29" s="862">
        <v>3.5</v>
      </c>
      <c r="S29" s="862">
        <v>68.087428501674069</v>
      </c>
      <c r="T29" s="862">
        <v>30.317143300000001</v>
      </c>
      <c r="U29" s="862">
        <v>8.8971428190000008</v>
      </c>
      <c r="V29" s="862">
        <v>10</v>
      </c>
      <c r="W29" s="862">
        <v>1.4324285809999999</v>
      </c>
      <c r="X29" s="862">
        <v>37.759999409999999</v>
      </c>
      <c r="Y29" s="862">
        <v>8.911428656</v>
      </c>
    </row>
    <row r="30" spans="1:25" ht="11.25" customHeight="1">
      <c r="A30" s="157"/>
      <c r="B30" s="159"/>
      <c r="C30" s="159"/>
      <c r="D30" s="159"/>
      <c r="E30" s="159"/>
      <c r="F30" s="159"/>
      <c r="G30" s="159"/>
      <c r="H30" s="159"/>
      <c r="I30" s="159"/>
      <c r="J30" s="32"/>
      <c r="K30" s="33"/>
      <c r="L30" s="29"/>
      <c r="P30" s="861">
        <v>27</v>
      </c>
      <c r="Q30" s="862">
        <v>8.3185714990000008</v>
      </c>
      <c r="R30" s="862">
        <v>4.0900001530000001</v>
      </c>
      <c r="S30" s="862">
        <v>60.110428400000004</v>
      </c>
      <c r="T30" s="862">
        <v>28.581429350000001</v>
      </c>
      <c r="U30" s="862">
        <v>7.9442856649999998</v>
      </c>
      <c r="V30" s="862">
        <v>10.001428600000001</v>
      </c>
      <c r="W30" s="862">
        <v>1.455999987</v>
      </c>
      <c r="X30" s="862">
        <v>35.967143470000003</v>
      </c>
      <c r="Y30" s="862">
        <v>7.2057142259999996</v>
      </c>
    </row>
    <row r="31" spans="1:25" ht="11.25" customHeight="1">
      <c r="A31" s="157"/>
      <c r="B31" s="159"/>
      <c r="C31" s="159"/>
      <c r="D31" s="159"/>
      <c r="E31" s="159"/>
      <c r="F31" s="159"/>
      <c r="G31" s="159"/>
      <c r="H31" s="159"/>
      <c r="I31" s="159"/>
      <c r="J31" s="32"/>
      <c r="K31" s="33"/>
      <c r="L31" s="29"/>
      <c r="O31" s="832">
        <v>28</v>
      </c>
      <c r="P31" s="861">
        <v>28</v>
      </c>
      <c r="Q31" s="862">
        <v>7.789714268</v>
      </c>
      <c r="R31" s="862">
        <v>3.119999886</v>
      </c>
      <c r="S31" s="862">
        <v>60.986856189999997</v>
      </c>
      <c r="T31" s="862">
        <v>27.099999836512943</v>
      </c>
      <c r="U31" s="862">
        <v>7.4514284819999999</v>
      </c>
      <c r="V31" s="862">
        <v>10.0128573</v>
      </c>
      <c r="W31" s="862">
        <v>1.5508571609999999</v>
      </c>
      <c r="X31" s="862">
        <v>47.66357095</v>
      </c>
      <c r="Y31" s="862">
        <v>9.9999998639999994</v>
      </c>
    </row>
    <row r="32" spans="1:25" ht="11.25" customHeight="1">
      <c r="A32" s="157"/>
      <c r="B32" s="159"/>
      <c r="C32" s="159"/>
      <c r="D32" s="159"/>
      <c r="E32" s="159"/>
      <c r="F32" s="159"/>
      <c r="G32" s="159"/>
      <c r="H32" s="159"/>
      <c r="I32" s="159"/>
      <c r="J32" s="33"/>
      <c r="K32" s="33"/>
      <c r="L32" s="29"/>
      <c r="P32" s="861">
        <v>29</v>
      </c>
      <c r="Q32" s="862">
        <v>7.1615714349999999</v>
      </c>
      <c r="R32" s="862">
        <v>3.4249999519999998</v>
      </c>
      <c r="S32" s="862">
        <v>56.540714260000001</v>
      </c>
      <c r="T32" s="862">
        <v>23.477142610000001</v>
      </c>
      <c r="U32" s="862">
        <v>6.2828570089999998</v>
      </c>
      <c r="V32" s="862">
        <v>10.001428600000001</v>
      </c>
      <c r="W32" s="862">
        <v>2.1035714489999999</v>
      </c>
      <c r="X32" s="862">
        <v>44.25</v>
      </c>
      <c r="Y32" s="862">
        <v>6.7128572460000004</v>
      </c>
    </row>
    <row r="33" spans="1:25" ht="11.25" customHeight="1">
      <c r="A33" s="157"/>
      <c r="B33" s="159"/>
      <c r="C33" s="159"/>
      <c r="D33" s="159"/>
      <c r="E33" s="159"/>
      <c r="F33" s="159"/>
      <c r="G33" s="159"/>
      <c r="H33" s="159"/>
      <c r="I33" s="159"/>
      <c r="J33" s="32"/>
      <c r="K33" s="33"/>
      <c r="L33" s="29"/>
      <c r="P33" s="861">
        <v>30</v>
      </c>
      <c r="Q33" s="862">
        <v>6.6714285440000003</v>
      </c>
      <c r="R33" s="862">
        <v>2.8789999489999998</v>
      </c>
      <c r="S33" s="862">
        <v>65.491856709999993</v>
      </c>
      <c r="T33" s="862">
        <v>21.095714300000001</v>
      </c>
      <c r="U33" s="862">
        <v>5.8057142669999999</v>
      </c>
      <c r="V33" s="862">
        <v>10.01142883</v>
      </c>
      <c r="W33" s="862">
        <v>1.8491428750000001</v>
      </c>
      <c r="X33" s="862">
        <v>42.498571668352326</v>
      </c>
      <c r="Y33" s="862">
        <v>6.0797142300000004</v>
      </c>
    </row>
    <row r="34" spans="1:25" ht="11.25" customHeight="1">
      <c r="A34" s="157"/>
      <c r="B34" s="159"/>
      <c r="C34" s="159"/>
      <c r="D34" s="159"/>
      <c r="E34" s="159"/>
      <c r="F34" s="159"/>
      <c r="G34" s="159"/>
      <c r="H34" s="159"/>
      <c r="I34" s="159"/>
      <c r="J34" s="32"/>
      <c r="K34" s="43"/>
      <c r="L34" s="29"/>
      <c r="P34" s="861">
        <v>31</v>
      </c>
      <c r="Q34" s="862">
        <v>6.2387143543788328</v>
      </c>
      <c r="R34" s="862">
        <v>2.9382856232779297</v>
      </c>
      <c r="S34" s="862">
        <v>65.491856711251344</v>
      </c>
      <c r="T34" s="862">
        <v>20.037142889840243</v>
      </c>
      <c r="U34" s="862">
        <v>5.4814286231994549</v>
      </c>
      <c r="V34" s="862">
        <v>10.011428833007772</v>
      </c>
      <c r="W34" s="862">
        <v>1.8019999946866672</v>
      </c>
      <c r="X34" s="862">
        <v>39.98428617204933</v>
      </c>
      <c r="Y34" s="862">
        <v>4.9059999329703157</v>
      </c>
    </row>
    <row r="35" spans="1:25" ht="11.25" customHeight="1">
      <c r="A35" s="157"/>
      <c r="B35" s="159"/>
      <c r="C35" s="159"/>
      <c r="D35" s="159"/>
      <c r="E35" s="159"/>
      <c r="F35" s="159"/>
      <c r="G35" s="159"/>
      <c r="H35" s="159"/>
      <c r="I35" s="159"/>
      <c r="J35" s="32"/>
      <c r="K35" s="43"/>
      <c r="L35" s="48"/>
      <c r="O35" s="832">
        <v>32</v>
      </c>
      <c r="P35" s="861">
        <v>32</v>
      </c>
      <c r="Q35" s="862">
        <v>6.1697142459999998</v>
      </c>
      <c r="R35" s="862">
        <v>3.2030000689999998</v>
      </c>
      <c r="S35" s="862">
        <v>49.942714418571427</v>
      </c>
      <c r="T35" s="862">
        <v>23.275714059999999</v>
      </c>
      <c r="U35" s="862">
        <v>5.8257142479999997</v>
      </c>
      <c r="V35" s="862">
        <v>10.004285810000001</v>
      </c>
      <c r="W35" s="862">
        <v>1.2214285650000001</v>
      </c>
      <c r="X35" s="862">
        <v>36.654999320000002</v>
      </c>
      <c r="Y35" s="862">
        <v>4.0242800000000001</v>
      </c>
    </row>
    <row r="36" spans="1:25" ht="11.25" customHeight="1">
      <c r="A36" s="157"/>
      <c r="B36" s="159"/>
      <c r="C36" s="159"/>
      <c r="D36" s="159"/>
      <c r="E36" s="159"/>
      <c r="F36" s="159"/>
      <c r="G36" s="159"/>
      <c r="H36" s="159"/>
      <c r="I36" s="159"/>
      <c r="J36" s="32"/>
      <c r="K36" s="38"/>
      <c r="L36" s="29"/>
      <c r="P36" s="861">
        <v>33</v>
      </c>
      <c r="Q36" s="862">
        <v>6.3728570940000004</v>
      </c>
      <c r="R36" s="862">
        <v>2.841857144</v>
      </c>
      <c r="S36" s="862">
        <v>57.183571406773112</v>
      </c>
      <c r="T36" s="862">
        <v>22.619999750000002</v>
      </c>
      <c r="U36" s="862">
        <v>5.5228571210000004</v>
      </c>
      <c r="V36" s="862">
        <v>10</v>
      </c>
      <c r="W36" s="862">
        <v>1.3032857349940685</v>
      </c>
      <c r="X36" s="862">
        <v>35.152857099999999</v>
      </c>
      <c r="Y36" s="862">
        <v>4.354285752</v>
      </c>
    </row>
    <row r="37" spans="1:25" ht="11.25" customHeight="1">
      <c r="A37" s="157"/>
      <c r="B37" s="159"/>
      <c r="C37" s="159"/>
      <c r="D37" s="159"/>
      <c r="E37" s="159"/>
      <c r="F37" s="159"/>
      <c r="G37" s="159"/>
      <c r="H37" s="159"/>
      <c r="I37" s="159"/>
      <c r="J37" s="32"/>
      <c r="K37" s="38"/>
      <c r="L37" s="29"/>
      <c r="P37" s="861">
        <v>34</v>
      </c>
      <c r="Q37" s="862">
        <v>6.1195714130000001</v>
      </c>
      <c r="R37" s="862">
        <v>3.058000088</v>
      </c>
      <c r="S37" s="862">
        <v>49.366142269999997</v>
      </c>
      <c r="T37" s="862">
        <v>25.04757145</v>
      </c>
      <c r="U37" s="862">
        <v>5.8727143149999996</v>
      </c>
      <c r="V37" s="862">
        <v>10.00857162</v>
      </c>
      <c r="W37" s="862">
        <v>1.2842857160000001</v>
      </c>
      <c r="X37" s="862">
        <v>34.115715029999997</v>
      </c>
      <c r="Y37" s="862">
        <v>4.3511429509999999</v>
      </c>
    </row>
    <row r="38" spans="1:25" ht="11.25" customHeight="1">
      <c r="A38" s="157"/>
      <c r="B38" s="159"/>
      <c r="C38" s="159"/>
      <c r="D38" s="159"/>
      <c r="E38" s="159"/>
      <c r="F38" s="159"/>
      <c r="G38" s="159"/>
      <c r="H38" s="159"/>
      <c r="I38" s="159"/>
      <c r="J38" s="32"/>
      <c r="K38" s="38"/>
      <c r="L38" s="29"/>
      <c r="P38" s="861">
        <v>35</v>
      </c>
      <c r="Q38" s="862">
        <v>5.9814286230000002</v>
      </c>
      <c r="R38" s="862">
        <v>1.506999969</v>
      </c>
      <c r="S38" s="862">
        <v>56.934856959999998</v>
      </c>
      <c r="T38" s="862">
        <v>21.374285830000002</v>
      </c>
      <c r="U38" s="862">
        <v>4.9342857090000001</v>
      </c>
      <c r="V38" s="862">
        <v>10.28714289</v>
      </c>
      <c r="W38" s="862">
        <v>1.5979999810000001</v>
      </c>
      <c r="X38" s="862">
        <v>30.92</v>
      </c>
      <c r="Y38" s="862">
        <v>5.3042856629999999</v>
      </c>
    </row>
    <row r="39" spans="1:25" ht="11.25" customHeight="1">
      <c r="O39" s="832">
        <v>36</v>
      </c>
      <c r="P39" s="861">
        <v>36</v>
      </c>
      <c r="Q39" s="862">
        <v>6.03</v>
      </c>
      <c r="R39" s="862">
        <v>2.8</v>
      </c>
      <c r="S39" s="862">
        <v>48.51</v>
      </c>
      <c r="T39" s="862">
        <v>22.661428449999999</v>
      </c>
      <c r="U39" s="862">
        <v>4.9800000000000004</v>
      </c>
      <c r="V39" s="862">
        <v>11.01</v>
      </c>
      <c r="W39" s="862">
        <v>1.63</v>
      </c>
      <c r="X39" s="862">
        <v>30.922143120000001</v>
      </c>
      <c r="Y39" s="862">
        <v>7.46</v>
      </c>
    </row>
    <row r="40" spans="1:25" ht="11.25" customHeight="1">
      <c r="A40" s="941" t="s">
        <v>744</v>
      </c>
      <c r="B40" s="941"/>
      <c r="C40" s="941"/>
      <c r="D40" s="941"/>
      <c r="E40" s="941"/>
      <c r="F40" s="941"/>
      <c r="G40" s="941"/>
      <c r="H40" s="941"/>
      <c r="I40" s="941"/>
      <c r="J40" s="941"/>
      <c r="K40" s="941"/>
      <c r="L40" s="941"/>
      <c r="P40" s="861">
        <v>37</v>
      </c>
      <c r="Q40" s="862">
        <v>6.03</v>
      </c>
      <c r="R40" s="862">
        <v>2.37</v>
      </c>
      <c r="S40" s="862">
        <v>43.99</v>
      </c>
      <c r="T40" s="862">
        <v>19.149999999999999</v>
      </c>
      <c r="U40" s="862">
        <v>5.31</v>
      </c>
      <c r="V40" s="862">
        <v>11</v>
      </c>
      <c r="W40" s="862">
        <v>1.59</v>
      </c>
      <c r="X40" s="862">
        <v>29.33</v>
      </c>
      <c r="Y40" s="862">
        <v>7.79</v>
      </c>
    </row>
    <row r="41" spans="1:25" ht="11.25" customHeight="1">
      <c r="P41" s="861">
        <v>38</v>
      </c>
      <c r="Q41" s="862">
        <v>6.5951428410000004</v>
      </c>
      <c r="R41" s="862">
        <v>3.0060000420000001</v>
      </c>
      <c r="S41" s="862">
        <v>47.220570700000003</v>
      </c>
      <c r="T41" s="862">
        <v>22.304285589999999</v>
      </c>
      <c r="U41" s="862">
        <v>5.581428528</v>
      </c>
      <c r="V41" s="862">
        <v>10.85142858</v>
      </c>
      <c r="W41" s="862">
        <v>1.5402856890000001</v>
      </c>
      <c r="X41" s="862">
        <v>34.179286410000003</v>
      </c>
      <c r="Y41" s="862">
        <v>8.5442856379999998</v>
      </c>
    </row>
    <row r="42" spans="1:25" ht="11.25" customHeight="1">
      <c r="A42" s="157"/>
      <c r="B42" s="159"/>
      <c r="C42" s="159"/>
      <c r="D42" s="159"/>
      <c r="E42" s="159"/>
      <c r="F42" s="159"/>
      <c r="G42" s="159"/>
      <c r="H42" s="159"/>
      <c r="I42" s="159"/>
      <c r="J42" s="160"/>
      <c r="K42" s="160"/>
      <c r="L42" s="160"/>
      <c r="O42" s="832">
        <v>39</v>
      </c>
      <c r="P42" s="861">
        <v>39</v>
      </c>
      <c r="Q42" s="862">
        <v>6.84</v>
      </c>
      <c r="R42" s="862">
        <v>3.32</v>
      </c>
      <c r="S42" s="862">
        <v>63.05</v>
      </c>
      <c r="T42" s="862">
        <v>48.7</v>
      </c>
      <c r="U42" s="862">
        <v>7.81</v>
      </c>
      <c r="V42" s="862">
        <v>11.15</v>
      </c>
      <c r="W42" s="862">
        <v>1.32</v>
      </c>
      <c r="X42" s="862">
        <v>38.82</v>
      </c>
      <c r="Y42" s="862">
        <v>6.81</v>
      </c>
    </row>
    <row r="43" spans="1:25" ht="11.25" customHeight="1">
      <c r="A43" s="157"/>
      <c r="B43" s="159"/>
      <c r="C43" s="159"/>
      <c r="D43" s="159"/>
      <c r="E43" s="159"/>
      <c r="F43" s="159"/>
      <c r="G43" s="159"/>
      <c r="H43" s="159"/>
      <c r="I43" s="159"/>
      <c r="J43" s="160"/>
      <c r="K43" s="160"/>
      <c r="L43" s="160"/>
      <c r="P43" s="861">
        <v>40</v>
      </c>
      <c r="Q43" s="862">
        <v>7.6862857681428576</v>
      </c>
      <c r="R43" s="862">
        <v>3.1560000009999998</v>
      </c>
      <c r="S43" s="862">
        <v>61.54114314571428</v>
      </c>
      <c r="T43" s="862">
        <v>37.928571428999994</v>
      </c>
      <c r="U43" s="862">
        <v>7.9165713450000004</v>
      </c>
      <c r="V43" s="862">
        <v>11.005714417142856</v>
      </c>
      <c r="W43" s="862">
        <v>1.3828571522857145</v>
      </c>
      <c r="X43" s="862">
        <v>43.879284992857151</v>
      </c>
      <c r="Y43" s="862">
        <v>6.2752857208571422</v>
      </c>
    </row>
    <row r="44" spans="1:25" ht="11.25" customHeight="1">
      <c r="A44" s="157"/>
      <c r="B44" s="159"/>
      <c r="C44" s="159"/>
      <c r="D44" s="159"/>
      <c r="E44" s="159"/>
      <c r="F44" s="159"/>
      <c r="G44" s="159"/>
      <c r="H44" s="159"/>
      <c r="I44" s="159"/>
      <c r="P44" s="861">
        <v>41</v>
      </c>
      <c r="Q44" s="862">
        <v>7.1000001089913463</v>
      </c>
      <c r="R44" s="862">
        <v>2.9028571673801928</v>
      </c>
      <c r="S44" s="862">
        <v>58.117285592215353</v>
      </c>
      <c r="T44" s="862">
        <v>48.921429225376635</v>
      </c>
      <c r="U44" s="862">
        <v>8.5942858287266173</v>
      </c>
      <c r="V44" s="862">
        <v>11.002857208251914</v>
      </c>
      <c r="W44" s="862">
        <v>1.3182857036590543</v>
      </c>
      <c r="X44" s="862">
        <v>45.627857753208637</v>
      </c>
      <c r="Y44" s="862">
        <v>9.9285714966910028</v>
      </c>
    </row>
    <row r="45" spans="1:25" ht="11.25" customHeight="1">
      <c r="A45" s="157"/>
      <c r="B45" s="159"/>
      <c r="C45" s="159"/>
      <c r="D45" s="159"/>
      <c r="E45" s="159"/>
      <c r="F45" s="159"/>
      <c r="G45" s="159"/>
      <c r="H45" s="159"/>
      <c r="I45" s="159"/>
      <c r="P45" s="861">
        <v>42</v>
      </c>
      <c r="Q45" s="862">
        <v>6.7610000201428573</v>
      </c>
      <c r="R45" s="862">
        <v>2.8671428815714286</v>
      </c>
      <c r="S45" s="862">
        <v>58.888142721428572</v>
      </c>
      <c r="T45" s="862">
        <v>55.619142805714283</v>
      </c>
      <c r="U45" s="862">
        <v>9.5089999614285716</v>
      </c>
      <c r="V45" s="862">
        <v>11.007142884285715</v>
      </c>
      <c r="W45" s="862">
        <v>1.2221428497142859</v>
      </c>
      <c r="X45" s="862">
        <v>52.615000045714282</v>
      </c>
      <c r="Y45" s="862">
        <v>9.6800000322857152</v>
      </c>
    </row>
    <row r="46" spans="1:25" ht="11.25" customHeight="1">
      <c r="A46" s="157"/>
      <c r="B46" s="159"/>
      <c r="C46" s="159"/>
      <c r="D46" s="159"/>
      <c r="E46" s="159"/>
      <c r="F46" s="159"/>
      <c r="G46" s="159"/>
      <c r="H46" s="159"/>
      <c r="I46" s="159"/>
      <c r="O46" s="832">
        <v>43</v>
      </c>
      <c r="P46" s="861">
        <v>43</v>
      </c>
      <c r="Q46" s="862">
        <v>6.53</v>
      </c>
      <c r="R46" s="862">
        <v>2.37</v>
      </c>
      <c r="S46" s="862">
        <v>69.2</v>
      </c>
      <c r="T46" s="862">
        <v>54.58</v>
      </c>
      <c r="U46" s="862">
        <v>8.23</v>
      </c>
      <c r="V46" s="862">
        <v>11.01</v>
      </c>
      <c r="W46" s="862">
        <v>1.35</v>
      </c>
      <c r="X46" s="862">
        <v>50.71</v>
      </c>
      <c r="Y46" s="862">
        <v>10.33</v>
      </c>
    </row>
    <row r="47" spans="1:25" ht="11.25" customHeight="1">
      <c r="A47" s="157"/>
      <c r="B47" s="159"/>
      <c r="C47" s="159"/>
      <c r="D47" s="159"/>
      <c r="E47" s="159"/>
      <c r="F47" s="159"/>
      <c r="G47" s="159"/>
      <c r="H47" s="159"/>
      <c r="I47" s="159"/>
      <c r="P47" s="861">
        <v>44</v>
      </c>
      <c r="Q47" s="862">
        <v>7.58</v>
      </c>
      <c r="R47" s="862">
        <v>4.8899999999999997</v>
      </c>
      <c r="S47" s="862">
        <v>51.59</v>
      </c>
      <c r="T47" s="862">
        <v>57.65</v>
      </c>
      <c r="U47" s="862">
        <v>7.72</v>
      </c>
      <c r="V47" s="862">
        <v>11.01</v>
      </c>
      <c r="W47" s="862">
        <v>1.47</v>
      </c>
      <c r="X47" s="862">
        <v>48.41</v>
      </c>
      <c r="Y47" s="862">
        <v>11.29</v>
      </c>
    </row>
    <row r="48" spans="1:25">
      <c r="A48" s="157"/>
      <c r="B48" s="159"/>
      <c r="C48" s="159"/>
      <c r="D48" s="159"/>
      <c r="E48" s="159"/>
      <c r="F48" s="159"/>
      <c r="G48" s="159"/>
      <c r="H48" s="159"/>
      <c r="I48" s="159"/>
      <c r="P48" s="861">
        <v>45</v>
      </c>
      <c r="Q48" s="862">
        <v>6.95</v>
      </c>
      <c r="R48" s="862">
        <v>1.61</v>
      </c>
      <c r="S48" s="862">
        <v>72.92</v>
      </c>
      <c r="T48" s="862">
        <v>67.069999999999993</v>
      </c>
      <c r="U48" s="862">
        <v>6.9</v>
      </c>
      <c r="V48" s="862">
        <v>11</v>
      </c>
      <c r="W48" s="862">
        <v>1.42</v>
      </c>
      <c r="X48" s="862">
        <v>47.24</v>
      </c>
      <c r="Y48" s="862">
        <v>9</v>
      </c>
    </row>
    <row r="49" spans="1:25">
      <c r="A49" s="157"/>
      <c r="B49" s="159"/>
      <c r="C49" s="159"/>
      <c r="D49" s="159"/>
      <c r="E49" s="159"/>
      <c r="F49" s="159"/>
      <c r="G49" s="159"/>
      <c r="H49" s="159"/>
      <c r="I49" s="159"/>
      <c r="P49" s="861">
        <v>46</v>
      </c>
      <c r="Q49" s="862">
        <v>6.8571429249999998</v>
      </c>
      <c r="R49" s="862">
        <v>1.6428571599999999</v>
      </c>
      <c r="S49" s="862">
        <v>58.4</v>
      </c>
      <c r="T49" s="862">
        <v>34.982142860000003</v>
      </c>
      <c r="U49" s="862">
        <v>5.0667143550000002</v>
      </c>
      <c r="V49" s="862">
        <v>11.01</v>
      </c>
      <c r="W49" s="862">
        <v>1.38</v>
      </c>
      <c r="X49" s="862">
        <v>40.61</v>
      </c>
      <c r="Y49" s="862">
        <v>8.81</v>
      </c>
    </row>
    <row r="50" spans="1:25">
      <c r="A50" s="157"/>
      <c r="B50" s="159"/>
      <c r="C50" s="159"/>
      <c r="D50" s="159"/>
      <c r="E50" s="159"/>
      <c r="F50" s="159"/>
      <c r="G50" s="159"/>
      <c r="H50" s="159"/>
      <c r="I50" s="159"/>
      <c r="P50" s="861">
        <v>47</v>
      </c>
      <c r="Q50" s="862">
        <v>6.9940000260000001</v>
      </c>
      <c r="R50" s="862">
        <v>1.5142857009999999</v>
      </c>
      <c r="S50" s="862">
        <v>52.554856440000002</v>
      </c>
      <c r="T50" s="862">
        <v>29.07742855</v>
      </c>
      <c r="U50" s="862">
        <v>4.2727143420000004</v>
      </c>
      <c r="V50" s="862">
        <v>11.00286</v>
      </c>
      <c r="W50" s="862">
        <v>1.63</v>
      </c>
      <c r="X50" s="862">
        <v>41.625</v>
      </c>
      <c r="Y50" s="862">
        <v>9.3542860000000001</v>
      </c>
    </row>
    <row r="51" spans="1:25">
      <c r="A51" s="157"/>
      <c r="B51" s="159"/>
      <c r="C51" s="159"/>
      <c r="D51" s="159"/>
      <c r="E51" s="159"/>
      <c r="F51" s="159"/>
      <c r="G51" s="159"/>
      <c r="H51" s="159"/>
      <c r="I51" s="159"/>
      <c r="O51" s="832">
        <v>48</v>
      </c>
      <c r="P51" s="861">
        <v>48</v>
      </c>
      <c r="Q51" s="862">
        <v>7.1124285970000001</v>
      </c>
      <c r="R51" s="862">
        <v>1.4714285645714287</v>
      </c>
      <c r="S51" s="862">
        <v>53.429429191428575</v>
      </c>
      <c r="T51" s="862">
        <v>88.059571399999996</v>
      </c>
      <c r="U51" s="862">
        <v>7.879285812428571</v>
      </c>
      <c r="V51" s="862">
        <v>10.862857274285714</v>
      </c>
      <c r="W51" s="862">
        <v>1.6007142748571428</v>
      </c>
      <c r="X51" s="862">
        <v>41.014285495714283</v>
      </c>
      <c r="Y51" s="862">
        <v>14.194285802</v>
      </c>
    </row>
    <row r="52" spans="1:25">
      <c r="A52" s="157"/>
      <c r="B52" s="159"/>
      <c r="C52" s="159"/>
      <c r="D52" s="159"/>
      <c r="E52" s="159"/>
      <c r="F52" s="159"/>
      <c r="G52" s="159"/>
      <c r="H52" s="159"/>
      <c r="I52" s="159"/>
      <c r="P52" s="861">
        <v>49</v>
      </c>
      <c r="Q52" s="862">
        <v>8.43</v>
      </c>
      <c r="R52" s="862">
        <v>2.2400000000000002</v>
      </c>
      <c r="S52" s="862">
        <v>61.07</v>
      </c>
      <c r="T52" s="862">
        <v>106.59</v>
      </c>
      <c r="U52" s="862">
        <v>16.09</v>
      </c>
      <c r="V52" s="862">
        <v>10.5</v>
      </c>
      <c r="W52" s="862">
        <v>1.1200000000000001</v>
      </c>
      <c r="X52" s="862">
        <v>83.6</v>
      </c>
      <c r="Y52" s="862">
        <v>22.62</v>
      </c>
    </row>
    <row r="53" spans="1:25">
      <c r="A53" s="157"/>
      <c r="B53" s="159"/>
      <c r="C53" s="159"/>
      <c r="D53" s="159"/>
      <c r="E53" s="159"/>
      <c r="F53" s="159"/>
      <c r="G53" s="159"/>
      <c r="H53" s="159"/>
      <c r="I53" s="159"/>
      <c r="P53" s="861">
        <v>50</v>
      </c>
      <c r="Q53" s="862">
        <v>8.32</v>
      </c>
      <c r="R53" s="862">
        <v>2.19</v>
      </c>
      <c r="S53" s="862">
        <v>78.02</v>
      </c>
      <c r="T53" s="862">
        <v>104.79</v>
      </c>
      <c r="U53" s="862">
        <v>18.649999999999999</v>
      </c>
      <c r="V53" s="862">
        <v>10.51</v>
      </c>
      <c r="W53" s="862">
        <v>1.1399999999999999</v>
      </c>
      <c r="X53" s="862">
        <v>66.8</v>
      </c>
      <c r="Y53" s="862">
        <v>22.62</v>
      </c>
    </row>
    <row r="54" spans="1:25">
      <c r="A54" s="157"/>
      <c r="B54" s="159"/>
      <c r="C54" s="159"/>
      <c r="D54" s="159"/>
      <c r="E54" s="159"/>
      <c r="F54" s="159"/>
      <c r="G54" s="159"/>
      <c r="H54" s="159"/>
      <c r="I54" s="159"/>
      <c r="P54" s="861">
        <v>51</v>
      </c>
      <c r="Q54" s="862">
        <v>9.08</v>
      </c>
      <c r="R54" s="862">
        <v>3.71</v>
      </c>
      <c r="S54" s="862">
        <v>67.64</v>
      </c>
      <c r="T54" s="862">
        <v>69.61</v>
      </c>
      <c r="U54" s="862">
        <v>11.22</v>
      </c>
      <c r="V54" s="862">
        <v>10.5</v>
      </c>
      <c r="W54" s="862">
        <v>1.37</v>
      </c>
      <c r="X54" s="862">
        <v>55.42</v>
      </c>
      <c r="Y54" s="862">
        <v>17.489999999999998</v>
      </c>
    </row>
    <row r="55" spans="1:25">
      <c r="A55" s="157"/>
      <c r="B55" s="159"/>
      <c r="C55" s="159"/>
      <c r="D55" s="159"/>
      <c r="E55" s="159"/>
      <c r="F55" s="159"/>
      <c r="G55" s="159"/>
      <c r="H55" s="159"/>
      <c r="I55" s="159"/>
      <c r="O55" s="832">
        <v>52</v>
      </c>
      <c r="P55" s="861">
        <v>52</v>
      </c>
      <c r="Q55" s="862">
        <v>8.42</v>
      </c>
      <c r="R55" s="862">
        <v>3.57</v>
      </c>
      <c r="S55" s="862">
        <v>56.187571937142856</v>
      </c>
      <c r="T55" s="862">
        <v>58.452428545714284</v>
      </c>
      <c r="U55" s="862">
        <v>8.01</v>
      </c>
      <c r="V55" s="862">
        <v>10.507142884285715</v>
      </c>
      <c r="W55" s="862">
        <v>1.53</v>
      </c>
      <c r="X55" s="862">
        <v>59.550713675714292</v>
      </c>
      <c r="Y55" s="862">
        <v>18.608285904285712</v>
      </c>
    </row>
    <row r="56" spans="1:25">
      <c r="A56" s="157"/>
      <c r="B56" s="159"/>
      <c r="C56" s="159"/>
      <c r="D56" s="159"/>
      <c r="E56" s="159"/>
      <c r="F56" s="159"/>
      <c r="G56" s="159"/>
      <c r="H56" s="159"/>
      <c r="I56" s="159"/>
      <c r="N56" s="832">
        <v>2017</v>
      </c>
      <c r="O56" s="832">
        <v>1</v>
      </c>
      <c r="P56" s="861">
        <v>1</v>
      </c>
      <c r="Q56" s="862">
        <v>13.85</v>
      </c>
      <c r="R56" s="862">
        <v>11.3</v>
      </c>
      <c r="S56" s="862">
        <v>104.02</v>
      </c>
      <c r="T56" s="862">
        <v>148.43</v>
      </c>
      <c r="U56" s="862">
        <v>24.1</v>
      </c>
      <c r="V56" s="862">
        <v>10.220000000000001</v>
      </c>
      <c r="W56" s="862">
        <v>3.28</v>
      </c>
      <c r="X56" s="862">
        <v>89.46</v>
      </c>
      <c r="Y56" s="862">
        <v>25.43</v>
      </c>
    </row>
    <row r="57" spans="1:25">
      <c r="A57" s="157"/>
      <c r="B57" s="159"/>
      <c r="C57" s="159"/>
      <c r="D57" s="159"/>
      <c r="E57" s="159"/>
      <c r="F57" s="159"/>
      <c r="G57" s="159"/>
      <c r="H57" s="159"/>
      <c r="I57" s="159"/>
      <c r="P57" s="861">
        <v>2</v>
      </c>
      <c r="Q57" s="862">
        <v>14.96</v>
      </c>
      <c r="R57" s="862">
        <v>15.4</v>
      </c>
      <c r="S57" s="862">
        <v>143.97</v>
      </c>
      <c r="T57" s="862">
        <v>175.88</v>
      </c>
      <c r="U57" s="862">
        <v>33.74</v>
      </c>
      <c r="V57" s="862">
        <v>10.17</v>
      </c>
      <c r="W57" s="862">
        <v>6.45</v>
      </c>
      <c r="X57" s="862">
        <v>178.14</v>
      </c>
      <c r="Y57" s="862">
        <v>55.67</v>
      </c>
    </row>
    <row r="58" spans="1:25">
      <c r="A58" s="157"/>
      <c r="B58" s="159"/>
      <c r="C58" s="159"/>
      <c r="D58" s="159"/>
      <c r="E58" s="159"/>
      <c r="F58" s="159"/>
      <c r="G58" s="159"/>
      <c r="H58" s="159"/>
      <c r="I58" s="159"/>
      <c r="P58" s="861">
        <v>3</v>
      </c>
      <c r="Q58" s="862">
        <v>28.98</v>
      </c>
      <c r="R58" s="862">
        <v>21.94</v>
      </c>
      <c r="S58" s="862">
        <v>355.12</v>
      </c>
      <c r="T58" s="862">
        <v>177.57</v>
      </c>
      <c r="U58" s="862">
        <v>35.49</v>
      </c>
      <c r="V58" s="862">
        <v>10</v>
      </c>
      <c r="W58" s="862">
        <v>9.0500000000000007</v>
      </c>
      <c r="X58" s="862">
        <v>174.94</v>
      </c>
      <c r="Y58" s="862">
        <v>58.31</v>
      </c>
    </row>
    <row r="59" spans="1:25">
      <c r="A59" s="157"/>
      <c r="B59" s="159"/>
      <c r="C59" s="159"/>
      <c r="D59" s="159"/>
      <c r="E59" s="159"/>
      <c r="F59" s="159"/>
      <c r="G59" s="159"/>
      <c r="H59" s="159"/>
      <c r="I59" s="159"/>
      <c r="O59" s="832">
        <v>4</v>
      </c>
      <c r="P59" s="861">
        <v>4</v>
      </c>
      <c r="Q59" s="862">
        <v>30.46</v>
      </c>
      <c r="R59" s="862">
        <v>23.91</v>
      </c>
      <c r="S59" s="862">
        <v>519.4</v>
      </c>
      <c r="T59" s="862">
        <v>205.76</v>
      </c>
      <c r="U59" s="862">
        <v>48.48</v>
      </c>
      <c r="V59" s="862">
        <v>10</v>
      </c>
      <c r="W59" s="862">
        <v>2.4300000000000002</v>
      </c>
      <c r="X59" s="862">
        <v>141.31</v>
      </c>
      <c r="Y59" s="862">
        <v>47.49</v>
      </c>
    </row>
    <row r="60" spans="1:25">
      <c r="A60" s="157"/>
      <c r="B60" s="159"/>
      <c r="C60" s="159"/>
      <c r="D60" s="159"/>
      <c r="E60" s="159"/>
      <c r="F60" s="159"/>
      <c r="G60" s="159"/>
      <c r="H60" s="159"/>
      <c r="I60" s="159"/>
      <c r="P60" s="861">
        <v>5</v>
      </c>
      <c r="Q60" s="862">
        <v>21.36</v>
      </c>
      <c r="R60" s="862">
        <v>18.07</v>
      </c>
      <c r="S60" s="862">
        <v>330.78</v>
      </c>
      <c r="T60" s="862">
        <v>123.41</v>
      </c>
      <c r="U60" s="862">
        <v>25.33</v>
      </c>
      <c r="V60" s="862">
        <v>11.41</v>
      </c>
      <c r="W60" s="862">
        <v>2.87</v>
      </c>
      <c r="X60" s="862">
        <v>123.59</v>
      </c>
      <c r="Y60" s="862">
        <v>45.46</v>
      </c>
    </row>
    <row r="61" spans="1:25">
      <c r="A61" s="157"/>
      <c r="B61" s="159"/>
      <c r="C61" s="159"/>
      <c r="D61" s="159"/>
      <c r="E61" s="159"/>
      <c r="F61" s="159"/>
      <c r="G61" s="159"/>
      <c r="H61" s="159"/>
      <c r="I61" s="159"/>
      <c r="P61" s="861">
        <v>6</v>
      </c>
      <c r="Q61" s="862">
        <v>25.42</v>
      </c>
      <c r="R61" s="862">
        <v>21.42</v>
      </c>
      <c r="S61" s="862">
        <v>200.58</v>
      </c>
      <c r="T61" s="862">
        <v>108.48</v>
      </c>
      <c r="U61" s="862">
        <v>22.99</v>
      </c>
      <c r="V61" s="862">
        <v>10.57</v>
      </c>
      <c r="W61" s="862">
        <v>3.01</v>
      </c>
      <c r="X61" s="862">
        <v>85.48</v>
      </c>
      <c r="Y61" s="862">
        <v>28.56</v>
      </c>
    </row>
    <row r="62" spans="1:25">
      <c r="A62" s="157"/>
      <c r="B62" s="159"/>
      <c r="C62" s="159"/>
      <c r="D62" s="159"/>
      <c r="E62" s="159"/>
      <c r="F62" s="159"/>
      <c r="G62" s="159"/>
      <c r="H62" s="159"/>
      <c r="I62" s="159"/>
      <c r="P62" s="861">
        <v>7</v>
      </c>
      <c r="Q62" s="862">
        <v>35.43</v>
      </c>
      <c r="R62" s="862">
        <v>25.12</v>
      </c>
      <c r="S62" s="862">
        <v>393.69</v>
      </c>
      <c r="T62" s="862">
        <v>144.62</v>
      </c>
      <c r="U62" s="862">
        <v>39.44</v>
      </c>
      <c r="V62" s="862">
        <v>10</v>
      </c>
      <c r="W62" s="862">
        <v>2.88</v>
      </c>
      <c r="X62" s="862">
        <v>100.57</v>
      </c>
      <c r="Y62" s="862">
        <v>25.04</v>
      </c>
    </row>
    <row r="63" spans="1:25">
      <c r="A63" s="157"/>
      <c r="B63" s="159"/>
      <c r="C63" s="159"/>
      <c r="D63" s="159"/>
      <c r="E63" s="159"/>
      <c r="F63" s="159"/>
      <c r="G63" s="159"/>
      <c r="H63" s="159"/>
      <c r="I63" s="159"/>
      <c r="O63" s="832">
        <v>8</v>
      </c>
      <c r="P63" s="861">
        <v>8</v>
      </c>
      <c r="Q63" s="862">
        <v>30.45</v>
      </c>
      <c r="R63" s="862">
        <v>23.33</v>
      </c>
      <c r="S63" s="862">
        <v>345.37</v>
      </c>
      <c r="T63" s="862">
        <v>140.63</v>
      </c>
      <c r="U63" s="862">
        <v>30.47</v>
      </c>
      <c r="V63" s="862">
        <v>9.58</v>
      </c>
      <c r="W63" s="862">
        <v>2.0699999999999998</v>
      </c>
      <c r="X63" s="862">
        <v>163.72999999999999</v>
      </c>
      <c r="Y63" s="862">
        <v>58.84</v>
      </c>
    </row>
    <row r="64" spans="1:25" ht="6" customHeight="1">
      <c r="A64" s="157"/>
      <c r="B64" s="159"/>
      <c r="C64" s="159"/>
      <c r="D64" s="159"/>
      <c r="E64" s="159"/>
      <c r="F64" s="159"/>
      <c r="G64" s="159"/>
      <c r="H64" s="159"/>
      <c r="I64" s="159"/>
      <c r="P64" s="861">
        <v>9</v>
      </c>
      <c r="Q64" s="862">
        <v>37.72</v>
      </c>
      <c r="R64" s="862">
        <v>24.83</v>
      </c>
      <c r="S64" s="862">
        <v>567.22</v>
      </c>
      <c r="T64" s="862">
        <v>245.85</v>
      </c>
      <c r="U64" s="862">
        <v>67.56</v>
      </c>
      <c r="V64" s="862">
        <v>9.01</v>
      </c>
      <c r="W64" s="862">
        <v>7.33</v>
      </c>
      <c r="X64" s="862">
        <v>285.31</v>
      </c>
      <c r="Y64" s="862">
        <v>102.26</v>
      </c>
    </row>
    <row r="65" spans="1:25" ht="24.75" customHeight="1">
      <c r="A65" s="940" t="s">
        <v>743</v>
      </c>
      <c r="B65" s="940"/>
      <c r="C65" s="940"/>
      <c r="D65" s="940"/>
      <c r="E65" s="940"/>
      <c r="F65" s="940"/>
      <c r="G65" s="940"/>
      <c r="H65" s="940"/>
      <c r="I65" s="940"/>
      <c r="J65" s="940"/>
      <c r="K65" s="940"/>
      <c r="L65" s="940"/>
      <c r="P65" s="861">
        <v>10</v>
      </c>
      <c r="Q65" s="862">
        <v>36.46</v>
      </c>
      <c r="R65" s="862">
        <v>24.95</v>
      </c>
      <c r="S65" s="862">
        <v>467.04</v>
      </c>
      <c r="T65" s="862">
        <v>188.01</v>
      </c>
      <c r="U65" s="862">
        <v>50.5</v>
      </c>
      <c r="V65" s="862">
        <v>10.06</v>
      </c>
      <c r="W65" s="862">
        <v>3.71</v>
      </c>
      <c r="X65" s="862">
        <v>374.33</v>
      </c>
      <c r="Y65" s="862">
        <v>83.74</v>
      </c>
    </row>
    <row r="66" spans="1:25" ht="20.25" customHeight="1">
      <c r="P66" s="861">
        <v>11</v>
      </c>
      <c r="Q66" s="862">
        <v>35.590000000000003</v>
      </c>
      <c r="R66" s="862">
        <v>26.89</v>
      </c>
      <c r="S66" s="862">
        <v>448.3</v>
      </c>
      <c r="T66" s="862">
        <v>169.95</v>
      </c>
      <c r="U66" s="862">
        <v>51.21</v>
      </c>
      <c r="V66" s="862">
        <v>26.15</v>
      </c>
      <c r="W66" s="862">
        <v>8.66</v>
      </c>
      <c r="X66" s="862">
        <v>219.86</v>
      </c>
      <c r="Y66" s="862">
        <v>62.42</v>
      </c>
    </row>
    <row r="67" spans="1:25">
      <c r="O67" s="832">
        <v>12</v>
      </c>
      <c r="P67" s="861">
        <v>12</v>
      </c>
      <c r="Q67" s="862">
        <v>37.82</v>
      </c>
      <c r="R67" s="862">
        <v>20.6</v>
      </c>
      <c r="S67" s="862">
        <v>350.87</v>
      </c>
      <c r="T67" s="862">
        <v>146.01</v>
      </c>
      <c r="U67" s="862">
        <v>38.08</v>
      </c>
      <c r="V67" s="862">
        <v>12.43</v>
      </c>
      <c r="W67" s="862">
        <v>5.63</v>
      </c>
      <c r="X67" s="862">
        <v>190.11</v>
      </c>
      <c r="Y67" s="862">
        <v>52.01</v>
      </c>
    </row>
    <row r="68" spans="1:25">
      <c r="P68" s="861">
        <v>13</v>
      </c>
      <c r="Q68" s="862">
        <v>35.93</v>
      </c>
      <c r="R68" s="862">
        <v>24.02</v>
      </c>
      <c r="S68" s="862">
        <v>380.48</v>
      </c>
      <c r="T68" s="862">
        <v>173.02</v>
      </c>
      <c r="U68" s="862">
        <v>38.869999999999997</v>
      </c>
      <c r="V68" s="862">
        <v>11.98</v>
      </c>
      <c r="W68" s="862">
        <v>5.83</v>
      </c>
      <c r="X68" s="862">
        <v>272.08999999999997</v>
      </c>
      <c r="Y68" s="862">
        <v>65.430000000000007</v>
      </c>
    </row>
    <row r="69" spans="1:25">
      <c r="P69" s="861">
        <v>14</v>
      </c>
      <c r="Q69" s="862">
        <v>42.9</v>
      </c>
      <c r="R69" s="862">
        <v>17.87</v>
      </c>
      <c r="S69" s="862">
        <v>427.28</v>
      </c>
      <c r="T69" s="862">
        <v>137.65</v>
      </c>
      <c r="U69" s="862">
        <v>35.950000000000003</v>
      </c>
      <c r="V69" s="862">
        <v>28.72</v>
      </c>
      <c r="W69" s="862">
        <v>4.95</v>
      </c>
      <c r="X69" s="862">
        <v>301.82</v>
      </c>
      <c r="Y69" s="862">
        <v>71.06</v>
      </c>
    </row>
    <row r="70" spans="1:25">
      <c r="P70" s="861">
        <v>15</v>
      </c>
      <c r="Q70" s="862">
        <v>31.19</v>
      </c>
      <c r="R70" s="862">
        <v>17.87</v>
      </c>
      <c r="S70" s="862">
        <v>334.14</v>
      </c>
      <c r="T70" s="862">
        <v>129.9</v>
      </c>
      <c r="U70" s="862">
        <v>29.93</v>
      </c>
      <c r="V70" s="862">
        <v>16.28</v>
      </c>
      <c r="W70" s="862">
        <v>1.82</v>
      </c>
      <c r="X70" s="862">
        <v>203.49</v>
      </c>
      <c r="Y70" s="862">
        <v>77.099999999999994</v>
      </c>
    </row>
    <row r="71" spans="1:25">
      <c r="O71" s="832">
        <v>16</v>
      </c>
      <c r="P71" s="861">
        <v>16</v>
      </c>
      <c r="Q71" s="862">
        <v>22.8</v>
      </c>
      <c r="R71" s="862">
        <v>11.46</v>
      </c>
      <c r="S71" s="862">
        <v>218.96</v>
      </c>
      <c r="T71" s="862">
        <v>100.66</v>
      </c>
      <c r="U71" s="862">
        <v>21.85</v>
      </c>
      <c r="V71" s="862">
        <v>15.43</v>
      </c>
      <c r="W71" s="862">
        <v>2.33</v>
      </c>
      <c r="X71" s="862">
        <v>155.33000000000001</v>
      </c>
      <c r="Y71" s="862">
        <v>48.77</v>
      </c>
    </row>
    <row r="72" spans="1:25">
      <c r="P72" s="861">
        <v>17</v>
      </c>
      <c r="Q72" s="862">
        <v>20.18</v>
      </c>
      <c r="R72" s="862">
        <v>11.46</v>
      </c>
      <c r="S72" s="862">
        <v>180.47</v>
      </c>
      <c r="T72" s="862">
        <v>91.24</v>
      </c>
      <c r="U72" s="862">
        <v>18.89</v>
      </c>
      <c r="V72" s="862">
        <v>12.29</v>
      </c>
      <c r="W72" s="862">
        <v>1.9</v>
      </c>
      <c r="X72" s="862">
        <v>111.37</v>
      </c>
      <c r="Y72" s="862">
        <v>34.409999999999997</v>
      </c>
    </row>
    <row r="73" spans="1:25">
      <c r="P73" s="861">
        <v>18</v>
      </c>
      <c r="Q73" s="862">
        <v>19.84</v>
      </c>
      <c r="R73" s="862">
        <v>10.36</v>
      </c>
      <c r="S73" s="862">
        <v>212.89</v>
      </c>
      <c r="T73" s="862">
        <v>98.95</v>
      </c>
      <c r="U73" s="862">
        <v>19.899999999999999</v>
      </c>
      <c r="V73" s="862">
        <v>11.64</v>
      </c>
      <c r="W73" s="862">
        <v>1.46</v>
      </c>
      <c r="X73" s="862">
        <v>117.05</v>
      </c>
      <c r="Y73" s="862">
        <v>28.8</v>
      </c>
    </row>
    <row r="74" spans="1:25">
      <c r="P74" s="861">
        <v>19</v>
      </c>
      <c r="Q74" s="862">
        <v>21.4</v>
      </c>
      <c r="R74" s="862">
        <v>9.25</v>
      </c>
      <c r="S74" s="862">
        <v>199.54</v>
      </c>
      <c r="T74" s="862">
        <v>89.02</v>
      </c>
      <c r="U74" s="862">
        <v>15.9</v>
      </c>
      <c r="V74" s="862">
        <v>11</v>
      </c>
      <c r="W74" s="862">
        <v>1.36</v>
      </c>
      <c r="X74" s="862">
        <v>79.2</v>
      </c>
      <c r="Y74" s="862">
        <v>22.78</v>
      </c>
    </row>
    <row r="75" spans="1:25">
      <c r="O75" s="832">
        <v>20</v>
      </c>
      <c r="P75" s="861">
        <v>20</v>
      </c>
      <c r="Q75" s="862">
        <v>17.23</v>
      </c>
      <c r="R75" s="862">
        <v>6.32</v>
      </c>
      <c r="S75" s="862">
        <v>136.84</v>
      </c>
      <c r="T75" s="862">
        <v>72.95</v>
      </c>
      <c r="U75" s="862">
        <v>15.03</v>
      </c>
      <c r="V75" s="862">
        <v>11</v>
      </c>
      <c r="W75" s="862">
        <v>1.98</v>
      </c>
      <c r="X75" s="862">
        <v>69.37</v>
      </c>
      <c r="Y75" s="862">
        <v>17.8</v>
      </c>
    </row>
    <row r="76" spans="1:25">
      <c r="P76" s="861">
        <v>21</v>
      </c>
      <c r="Q76" s="862">
        <v>16.09</v>
      </c>
      <c r="R76" s="862">
        <v>6.32</v>
      </c>
      <c r="S76" s="862">
        <v>116.86</v>
      </c>
      <c r="T76" s="862">
        <v>99.42</v>
      </c>
      <c r="U76" s="862">
        <v>20.059999999999999</v>
      </c>
      <c r="V76" s="862">
        <v>11.01</v>
      </c>
      <c r="W76" s="862">
        <v>1.6</v>
      </c>
      <c r="X76" s="862">
        <v>68.8</v>
      </c>
      <c r="Y76" s="862">
        <v>17.84</v>
      </c>
    </row>
    <row r="77" spans="1:25">
      <c r="P77" s="861">
        <v>22</v>
      </c>
      <c r="Q77" s="862">
        <v>15.1</v>
      </c>
      <c r="R77" s="862">
        <v>5.59</v>
      </c>
      <c r="S77" s="862">
        <v>118.58</v>
      </c>
      <c r="T77" s="862">
        <v>79.099999999999994</v>
      </c>
      <c r="U77" s="862">
        <v>16</v>
      </c>
      <c r="V77" s="862">
        <v>11</v>
      </c>
      <c r="W77" s="862">
        <v>1.01</v>
      </c>
      <c r="X77" s="862">
        <v>69.05</v>
      </c>
      <c r="Y77" s="862">
        <v>16.37</v>
      </c>
    </row>
    <row r="78" spans="1:25">
      <c r="P78" s="861">
        <v>23</v>
      </c>
      <c r="Q78" s="862">
        <v>14.28</v>
      </c>
      <c r="R78" s="862">
        <v>4.8499999999999996</v>
      </c>
      <c r="S78" s="862">
        <v>112.05</v>
      </c>
      <c r="T78" s="862">
        <v>63.27</v>
      </c>
      <c r="U78" s="862">
        <v>13.78</v>
      </c>
      <c r="V78" s="862">
        <v>11</v>
      </c>
      <c r="W78" s="862">
        <v>1.82</v>
      </c>
      <c r="X78" s="862">
        <v>54.09</v>
      </c>
      <c r="Y78" s="862">
        <v>13.15</v>
      </c>
    </row>
    <row r="79" spans="1:25">
      <c r="O79" s="832">
        <v>24</v>
      </c>
      <c r="P79" s="861">
        <v>24</v>
      </c>
      <c r="Q79" s="862">
        <v>13.3</v>
      </c>
      <c r="R79" s="862">
        <v>4.8499999999999996</v>
      </c>
      <c r="S79" s="862">
        <v>91.62</v>
      </c>
      <c r="T79" s="862">
        <v>49.79</v>
      </c>
      <c r="U79" s="862">
        <v>11.29</v>
      </c>
      <c r="V79" s="862">
        <v>11</v>
      </c>
      <c r="W79" s="862">
        <v>1.89</v>
      </c>
      <c r="X79" s="862">
        <v>45.31</v>
      </c>
      <c r="Y79" s="862">
        <v>10.85</v>
      </c>
    </row>
    <row r="80" spans="1:25">
      <c r="P80" s="861">
        <v>25</v>
      </c>
      <c r="Q80" s="862">
        <v>12.63</v>
      </c>
      <c r="R80" s="862">
        <v>3.77</v>
      </c>
      <c r="S80" s="862">
        <v>81.33</v>
      </c>
      <c r="T80" s="862">
        <v>46.74</v>
      </c>
      <c r="U80" s="862">
        <v>10.02</v>
      </c>
      <c r="V80" s="862">
        <v>11</v>
      </c>
      <c r="W80" s="862">
        <v>1.77</v>
      </c>
      <c r="X80" s="862">
        <v>40.42</v>
      </c>
      <c r="Y80" s="862">
        <v>8.98</v>
      </c>
    </row>
    <row r="81" spans="15:25">
      <c r="P81" s="861">
        <v>26</v>
      </c>
      <c r="Q81" s="862">
        <v>11.92</v>
      </c>
      <c r="R81" s="862">
        <v>3.77</v>
      </c>
      <c r="S81" s="862">
        <v>80.900000000000006</v>
      </c>
      <c r="T81" s="862">
        <v>41.45</v>
      </c>
      <c r="U81" s="862">
        <v>9.24</v>
      </c>
      <c r="V81" s="862">
        <v>12</v>
      </c>
      <c r="W81" s="862">
        <v>1.86</v>
      </c>
      <c r="X81" s="862">
        <v>37.89</v>
      </c>
      <c r="Y81" s="862">
        <v>9.41</v>
      </c>
    </row>
    <row r="82" spans="15:25">
      <c r="P82" s="861">
        <v>27</v>
      </c>
      <c r="Q82" s="862">
        <v>11.92</v>
      </c>
      <c r="R82" s="862">
        <v>3.91</v>
      </c>
      <c r="S82" s="862">
        <v>82.99</v>
      </c>
      <c r="T82" s="862">
        <v>60.31</v>
      </c>
      <c r="U82" s="862">
        <v>9.73</v>
      </c>
      <c r="V82" s="862">
        <v>12</v>
      </c>
      <c r="W82" s="862">
        <v>1.9</v>
      </c>
      <c r="X82" s="862">
        <v>38.229999999999997</v>
      </c>
      <c r="Y82" s="862">
        <v>8.58</v>
      </c>
    </row>
    <row r="83" spans="15:25">
      <c r="O83" s="832">
        <v>28</v>
      </c>
      <c r="P83" s="861">
        <v>28</v>
      </c>
      <c r="Q83" s="862">
        <v>11.04</v>
      </c>
      <c r="R83" s="862">
        <v>3.91</v>
      </c>
      <c r="S83" s="862">
        <v>71.739999999999995</v>
      </c>
      <c r="T83" s="862">
        <v>39.090000000000003</v>
      </c>
      <c r="U83" s="862">
        <v>8.42</v>
      </c>
      <c r="V83" s="862">
        <v>12</v>
      </c>
      <c r="W83" s="862">
        <v>1.65</v>
      </c>
      <c r="X83" s="862">
        <v>33.9</v>
      </c>
      <c r="Y83" s="862">
        <v>6.64</v>
      </c>
    </row>
    <row r="84" spans="15:25">
      <c r="P84" s="861">
        <v>29</v>
      </c>
      <c r="Q84" s="862">
        <v>10.27</v>
      </c>
      <c r="R84" s="862">
        <v>3.42</v>
      </c>
      <c r="S84" s="862">
        <v>67.8</v>
      </c>
      <c r="T84" s="862">
        <v>32.590000000000003</v>
      </c>
      <c r="U84" s="862">
        <v>7.7</v>
      </c>
      <c r="V84" s="862">
        <v>10.51</v>
      </c>
      <c r="W84" s="862">
        <v>1.79</v>
      </c>
      <c r="X84" s="862">
        <v>31.97</v>
      </c>
      <c r="Y84" s="862">
        <v>6.49</v>
      </c>
    </row>
    <row r="85" spans="15:25">
      <c r="P85" s="861">
        <v>30</v>
      </c>
      <c r="Q85" s="862">
        <v>9.4700000000000006</v>
      </c>
      <c r="R85" s="862">
        <v>3.42</v>
      </c>
      <c r="S85" s="862">
        <v>69.62</v>
      </c>
      <c r="T85" s="862">
        <v>28.39</v>
      </c>
      <c r="U85" s="862">
        <v>7.39</v>
      </c>
      <c r="V85" s="862">
        <v>12</v>
      </c>
      <c r="W85" s="862">
        <v>1.64</v>
      </c>
      <c r="X85" s="862">
        <v>31.76</v>
      </c>
      <c r="Y85" s="862">
        <v>6.15</v>
      </c>
    </row>
    <row r="86" spans="15:25">
      <c r="P86" s="861">
        <v>31</v>
      </c>
      <c r="Q86" s="862">
        <v>9.0500000000000007</v>
      </c>
      <c r="R86" s="862">
        <v>3.3</v>
      </c>
      <c r="S86" s="862">
        <v>61.71</v>
      </c>
      <c r="T86" s="862">
        <v>26.51</v>
      </c>
      <c r="U86" s="862">
        <v>7.02</v>
      </c>
      <c r="V86" s="862">
        <v>12</v>
      </c>
      <c r="W86" s="862">
        <v>1.87</v>
      </c>
      <c r="X86" s="862">
        <v>31.68</v>
      </c>
      <c r="Y86" s="862">
        <v>5.51</v>
      </c>
    </row>
    <row r="87" spans="15:25">
      <c r="O87" s="832">
        <v>32</v>
      </c>
      <c r="P87" s="861">
        <v>32</v>
      </c>
      <c r="Q87" s="862">
        <v>9.9</v>
      </c>
      <c r="R87" s="862">
        <v>2.68</v>
      </c>
      <c r="S87" s="862">
        <v>65.38</v>
      </c>
      <c r="T87" s="862">
        <v>24.1</v>
      </c>
      <c r="U87" s="862">
        <v>6.7</v>
      </c>
      <c r="V87" s="862">
        <v>12</v>
      </c>
      <c r="W87" s="862">
        <v>1.95</v>
      </c>
      <c r="X87" s="862">
        <v>31.01</v>
      </c>
      <c r="Y87" s="862">
        <v>5.16</v>
      </c>
    </row>
    <row r="88" spans="15:25">
      <c r="P88" s="861">
        <v>33</v>
      </c>
      <c r="Q88" s="862">
        <v>9.17</v>
      </c>
      <c r="R88" s="862">
        <v>2.4300000000000002</v>
      </c>
      <c r="S88" s="862">
        <v>59.63</v>
      </c>
      <c r="T88" s="862">
        <v>24.29</v>
      </c>
      <c r="U88" s="862">
        <v>6.44</v>
      </c>
      <c r="V88" s="862">
        <v>12</v>
      </c>
      <c r="W88" s="862">
        <v>1.82</v>
      </c>
      <c r="X88" s="862">
        <v>30.23</v>
      </c>
      <c r="Y88" s="862">
        <v>5.27</v>
      </c>
    </row>
    <row r="89" spans="15:25">
      <c r="P89" s="861">
        <v>34</v>
      </c>
      <c r="Q89" s="862">
        <v>7.78</v>
      </c>
      <c r="R89" s="862">
        <v>2.61</v>
      </c>
      <c r="S89" s="862">
        <v>60.62</v>
      </c>
      <c r="T89" s="862">
        <v>25.9</v>
      </c>
      <c r="U89" s="862">
        <v>6.62</v>
      </c>
      <c r="V89" s="862">
        <v>12</v>
      </c>
      <c r="W89" s="862">
        <v>1.89</v>
      </c>
      <c r="X89" s="862">
        <v>32.17</v>
      </c>
      <c r="Y89" s="862">
        <v>5.0599999999999996</v>
      </c>
    </row>
    <row r="90" spans="15:25">
      <c r="P90" s="861">
        <v>35</v>
      </c>
      <c r="Q90" s="862">
        <v>7.73</v>
      </c>
      <c r="R90" s="862">
        <v>3.07</v>
      </c>
      <c r="S90" s="862">
        <v>58.47</v>
      </c>
      <c r="T90" s="862">
        <v>26.33</v>
      </c>
      <c r="U90" s="862">
        <v>6.66</v>
      </c>
      <c r="V90" s="862">
        <v>12.14</v>
      </c>
      <c r="W90" s="862">
        <v>1.97</v>
      </c>
      <c r="X90" s="862">
        <v>31.63</v>
      </c>
      <c r="Y90" s="862">
        <v>4.84</v>
      </c>
    </row>
    <row r="91" spans="15:25">
      <c r="O91" s="832">
        <v>36</v>
      </c>
      <c r="P91" s="861">
        <v>36</v>
      </c>
      <c r="Q91" s="862">
        <v>7.1</v>
      </c>
      <c r="R91" s="862">
        <v>3.57</v>
      </c>
      <c r="S91" s="862">
        <v>61.13</v>
      </c>
      <c r="T91" s="862">
        <v>27.35</v>
      </c>
      <c r="U91" s="862">
        <v>6.84</v>
      </c>
      <c r="V91" s="862">
        <v>13</v>
      </c>
      <c r="W91" s="862">
        <v>1.76</v>
      </c>
      <c r="X91" s="862">
        <v>34.090000000000003</v>
      </c>
      <c r="Y91" s="862">
        <v>4.8899999999999997</v>
      </c>
    </row>
    <row r="92" spans="15:25">
      <c r="P92" s="861">
        <v>37</v>
      </c>
      <c r="Q92" s="862">
        <v>7.53</v>
      </c>
      <c r="R92" s="862">
        <v>5.04</v>
      </c>
      <c r="S92" s="862">
        <v>59.93</v>
      </c>
      <c r="T92" s="862">
        <v>34.56</v>
      </c>
      <c r="U92" s="862">
        <v>7.96</v>
      </c>
      <c r="V92" s="862">
        <v>13</v>
      </c>
      <c r="W92" s="862">
        <v>1.7</v>
      </c>
      <c r="X92" s="862">
        <v>38.06</v>
      </c>
      <c r="Y92" s="862">
        <v>8.4</v>
      </c>
    </row>
    <row r="93" spans="15:25">
      <c r="P93" s="861">
        <v>38</v>
      </c>
      <c r="Q93" s="862">
        <v>9.73</v>
      </c>
      <c r="R93" s="862">
        <v>3.75</v>
      </c>
      <c r="S93" s="862">
        <v>64.319999999999993</v>
      </c>
      <c r="T93" s="862">
        <v>41.74</v>
      </c>
      <c r="U93" s="862">
        <v>9.43</v>
      </c>
      <c r="V93" s="862">
        <v>13</v>
      </c>
      <c r="W93" s="862">
        <v>1.77</v>
      </c>
      <c r="X93" s="862">
        <v>41.12</v>
      </c>
      <c r="Y93" s="862">
        <v>6.42</v>
      </c>
    </row>
    <row r="94" spans="15:25">
      <c r="O94" s="832">
        <v>39</v>
      </c>
      <c r="P94" s="861">
        <v>39</v>
      </c>
      <c r="Q94" s="862">
        <v>7.21</v>
      </c>
      <c r="R94" s="862">
        <v>3.83</v>
      </c>
      <c r="S94" s="862">
        <v>66.83</v>
      </c>
      <c r="T94" s="862">
        <v>46.48</v>
      </c>
      <c r="U94" s="862">
        <v>7.93</v>
      </c>
      <c r="V94" s="862">
        <v>13</v>
      </c>
      <c r="W94" s="862">
        <v>1.99</v>
      </c>
      <c r="X94" s="862">
        <v>33.06</v>
      </c>
      <c r="Y94" s="862">
        <v>7.98</v>
      </c>
    </row>
    <row r="95" spans="15:25">
      <c r="P95" s="861">
        <v>40</v>
      </c>
      <c r="Q95" s="862">
        <v>6.89</v>
      </c>
      <c r="R95" s="862">
        <v>3.2</v>
      </c>
      <c r="S95" s="862">
        <v>56.32</v>
      </c>
      <c r="T95" s="862">
        <v>28.11</v>
      </c>
      <c r="U95" s="862">
        <v>6.02</v>
      </c>
      <c r="V95" s="862">
        <v>13</v>
      </c>
      <c r="W95" s="862">
        <v>1.48</v>
      </c>
      <c r="X95" s="862">
        <v>35.54</v>
      </c>
      <c r="Y95" s="862">
        <v>5.32</v>
      </c>
    </row>
    <row r="96" spans="15:25">
      <c r="P96" s="861">
        <v>41</v>
      </c>
      <c r="Q96" s="862">
        <v>7.51</v>
      </c>
      <c r="R96" s="862">
        <v>3.26</v>
      </c>
      <c r="S96" s="862">
        <v>57.18</v>
      </c>
      <c r="T96" s="862">
        <v>32.11</v>
      </c>
      <c r="U96" s="862">
        <v>6.5</v>
      </c>
      <c r="V96" s="862">
        <v>13</v>
      </c>
      <c r="W96" s="862">
        <v>1.53</v>
      </c>
      <c r="X96" s="862">
        <v>37.47</v>
      </c>
      <c r="Y96" s="862">
        <v>4.95</v>
      </c>
    </row>
    <row r="97" spans="14:25">
      <c r="P97" s="861">
        <v>42</v>
      </c>
      <c r="Q97" s="862">
        <v>7.92</v>
      </c>
      <c r="R97" s="862">
        <v>3.59</v>
      </c>
      <c r="S97" s="862">
        <v>71.87</v>
      </c>
      <c r="T97" s="862">
        <v>64.69</v>
      </c>
      <c r="U97" s="862">
        <v>9.44</v>
      </c>
      <c r="V97" s="862">
        <v>13</v>
      </c>
      <c r="W97" s="862">
        <v>1.93</v>
      </c>
      <c r="X97" s="862">
        <v>52.42</v>
      </c>
      <c r="Y97" s="862">
        <v>7.39</v>
      </c>
    </row>
    <row r="98" spans="14:25">
      <c r="O98" s="832">
        <v>43</v>
      </c>
      <c r="P98" s="861">
        <v>43</v>
      </c>
      <c r="Q98" s="862">
        <v>9.16</v>
      </c>
      <c r="R98" s="862">
        <v>3.99</v>
      </c>
      <c r="S98" s="862">
        <v>73.22</v>
      </c>
      <c r="T98" s="862">
        <v>71.16</v>
      </c>
      <c r="U98" s="862">
        <v>8.8800000000000008</v>
      </c>
      <c r="V98" s="862">
        <v>13</v>
      </c>
      <c r="W98" s="862">
        <v>1.69</v>
      </c>
      <c r="X98" s="862">
        <v>43.93</v>
      </c>
      <c r="Y98" s="862">
        <v>6.18</v>
      </c>
    </row>
    <row r="99" spans="14:25">
      <c r="P99" s="861">
        <v>44</v>
      </c>
      <c r="Q99" s="862">
        <v>8.81</v>
      </c>
      <c r="R99" s="862">
        <v>5.0199999999999996</v>
      </c>
      <c r="S99" s="862">
        <v>75.150000000000006</v>
      </c>
      <c r="T99" s="862">
        <v>62.33</v>
      </c>
      <c r="U99" s="862">
        <v>10.59</v>
      </c>
      <c r="V99" s="862">
        <v>13</v>
      </c>
      <c r="W99" s="862">
        <v>1.65</v>
      </c>
      <c r="X99" s="862">
        <v>40.229999999999997</v>
      </c>
      <c r="Y99" s="862">
        <v>8.7899999999999991</v>
      </c>
    </row>
    <row r="100" spans="14:25">
      <c r="P100" s="861">
        <v>45</v>
      </c>
      <c r="Q100" s="862">
        <v>8.3800000000000008</v>
      </c>
      <c r="R100" s="862">
        <v>4.2</v>
      </c>
      <c r="S100" s="862">
        <v>67.39</v>
      </c>
      <c r="T100" s="862">
        <v>61.76</v>
      </c>
      <c r="U100" s="862">
        <v>10.039999999999999</v>
      </c>
      <c r="V100" s="862">
        <v>13</v>
      </c>
      <c r="W100" s="862">
        <v>1.51</v>
      </c>
      <c r="X100" s="862">
        <v>41.85</v>
      </c>
      <c r="Y100" s="862">
        <v>11.45</v>
      </c>
    </row>
    <row r="101" spans="14:25">
      <c r="P101" s="861">
        <v>46</v>
      </c>
      <c r="Q101" s="862">
        <v>7.55</v>
      </c>
      <c r="R101" s="862">
        <v>3.7</v>
      </c>
      <c r="S101" s="862">
        <v>66.959999999999994</v>
      </c>
      <c r="T101" s="862">
        <v>66.040000000000006</v>
      </c>
      <c r="U101" s="862">
        <v>8.7799999999999994</v>
      </c>
      <c r="V101" s="862">
        <v>13</v>
      </c>
      <c r="W101" s="862">
        <v>1.65</v>
      </c>
      <c r="X101" s="862">
        <v>70.849999999999994</v>
      </c>
      <c r="Y101" s="862">
        <v>14.58</v>
      </c>
    </row>
    <row r="102" spans="14:25">
      <c r="P102" s="861">
        <v>47</v>
      </c>
      <c r="Q102" s="862">
        <v>7.39</v>
      </c>
      <c r="R102" s="862">
        <v>3.85</v>
      </c>
      <c r="S102" s="862">
        <v>67.72</v>
      </c>
      <c r="T102" s="862">
        <v>52.82</v>
      </c>
      <c r="U102" s="862">
        <v>7.81</v>
      </c>
      <c r="V102" s="862">
        <v>13</v>
      </c>
      <c r="W102" s="862">
        <v>1.6</v>
      </c>
      <c r="X102" s="862">
        <v>64.819999999999993</v>
      </c>
      <c r="Y102" s="862">
        <v>12.14</v>
      </c>
    </row>
    <row r="103" spans="14:25">
      <c r="O103" s="832">
        <v>48</v>
      </c>
      <c r="P103" s="861">
        <v>48</v>
      </c>
      <c r="Q103" s="862">
        <v>7.9678571564285718</v>
      </c>
      <c r="R103" s="862">
        <v>3.558142900428571</v>
      </c>
      <c r="S103" s="862">
        <v>77.366571698571434</v>
      </c>
      <c r="T103" s="862">
        <v>66.577285762857144</v>
      </c>
      <c r="U103" s="862">
        <v>9.1851428580000007</v>
      </c>
      <c r="V103" s="862">
        <v>13.005714417142858</v>
      </c>
      <c r="W103" s="862">
        <v>1.6</v>
      </c>
      <c r="X103" s="862">
        <v>47.846427917142854</v>
      </c>
      <c r="Y103" s="862">
        <v>12.516714369142859</v>
      </c>
    </row>
    <row r="104" spans="14:25">
      <c r="P104" s="861">
        <v>49</v>
      </c>
      <c r="Q104" s="862">
        <v>8.4875713758571436</v>
      </c>
      <c r="R104" s="862">
        <v>3.2600000074285718</v>
      </c>
      <c r="S104" s="862">
        <v>84.55585806714285</v>
      </c>
      <c r="T104" s="862">
        <v>72.732000077142857</v>
      </c>
      <c r="U104" s="862">
        <v>14.04828548342857</v>
      </c>
      <c r="V104" s="862">
        <v>13.002857208571429</v>
      </c>
      <c r="W104" s="862">
        <v>1.6</v>
      </c>
      <c r="X104" s="862">
        <v>57.322143555714298</v>
      </c>
      <c r="Y104" s="862">
        <v>18.826999800000003</v>
      </c>
    </row>
    <row r="105" spans="14:25">
      <c r="P105" s="861">
        <v>50</v>
      </c>
      <c r="Q105" s="862">
        <v>8.7257142747142868</v>
      </c>
      <c r="R105" s="862">
        <v>3.4628571441428577</v>
      </c>
      <c r="S105" s="862">
        <v>77.460142951428566</v>
      </c>
      <c r="T105" s="862">
        <v>64.097142899999994</v>
      </c>
      <c r="U105" s="862">
        <v>11.032857077571427</v>
      </c>
      <c r="V105" s="862">
        <v>13</v>
      </c>
      <c r="W105" s="862">
        <v>1.6000000240000001</v>
      </c>
      <c r="X105" s="862">
        <v>51.470714571428573</v>
      </c>
      <c r="Y105" s="862">
        <v>20.280285972857143</v>
      </c>
    </row>
    <row r="106" spans="14:25">
      <c r="P106" s="861">
        <v>51</v>
      </c>
      <c r="Q106" s="862">
        <v>9.7215715127142861</v>
      </c>
      <c r="R106" s="862">
        <v>4.2539999484285715</v>
      </c>
      <c r="S106" s="862">
        <v>78.166143688571424</v>
      </c>
      <c r="T106" s="862">
        <v>94.237856191428577</v>
      </c>
      <c r="U106" s="862">
        <v>14.381428445285712</v>
      </c>
      <c r="V106" s="862">
        <v>13.01285743857143</v>
      </c>
      <c r="W106" s="862">
        <v>1.6257142851428572</v>
      </c>
      <c r="X106" s="862">
        <v>65.58357184285714</v>
      </c>
      <c r="Y106" s="862">
        <v>34.849000112857141</v>
      </c>
    </row>
    <row r="107" spans="14:25">
      <c r="O107" s="832">
        <v>52</v>
      </c>
      <c r="P107" s="861">
        <v>52</v>
      </c>
      <c r="Q107" s="862">
        <v>10.323285784571427</v>
      </c>
      <c r="R107" s="862">
        <v>4.6457142829999993</v>
      </c>
      <c r="S107" s="862">
        <v>86.972714017142849</v>
      </c>
      <c r="T107" s="862">
        <v>94.357285634285716</v>
      </c>
      <c r="U107" s="862">
        <v>13.293999945714287</v>
      </c>
      <c r="V107" s="862">
        <v>13.09681579142857</v>
      </c>
      <c r="W107" s="862">
        <v>1.644999981</v>
      </c>
      <c r="X107" s="862">
        <v>104.27285767571428</v>
      </c>
      <c r="Y107" s="862">
        <v>35.335714887142856</v>
      </c>
    </row>
    <row r="108" spans="14:25">
      <c r="N108" s="832">
        <v>2018</v>
      </c>
      <c r="O108" s="832">
        <v>1</v>
      </c>
      <c r="P108" s="861">
        <v>1</v>
      </c>
      <c r="Q108" s="862">
        <v>10.34</v>
      </c>
      <c r="R108" s="862">
        <v>4.4628571428571426</v>
      </c>
      <c r="S108" s="862">
        <v>140.04142857142858</v>
      </c>
      <c r="T108" s="862">
        <v>143.09</v>
      </c>
      <c r="U108" s="862">
        <v>20.63</v>
      </c>
      <c r="V108" s="862">
        <v>13</v>
      </c>
      <c r="W108" s="862">
        <v>1.64</v>
      </c>
      <c r="X108" s="862">
        <v>201.2428571428571</v>
      </c>
      <c r="Y108" s="862">
        <v>63.23</v>
      </c>
    </row>
    <row r="109" spans="14:25">
      <c r="P109" s="861">
        <v>2</v>
      </c>
      <c r="Q109" s="862">
        <v>13.730999947142859</v>
      </c>
      <c r="R109" s="862">
        <v>3.5944285392857145</v>
      </c>
      <c r="S109" s="862">
        <v>209.91800362857143</v>
      </c>
      <c r="T109" s="862">
        <v>160.98214394285716</v>
      </c>
      <c r="U109" s="862">
        <v>36.213856559999996</v>
      </c>
      <c r="V109" s="862">
        <v>11.774285724285715</v>
      </c>
      <c r="W109" s="862">
        <v>1.5914286031428568</v>
      </c>
      <c r="X109" s="862">
        <v>229.4250030571429</v>
      </c>
      <c r="Y109" s="862">
        <v>56.654285431428562</v>
      </c>
    </row>
    <row r="110" spans="14:25">
      <c r="P110" s="861">
        <v>3</v>
      </c>
      <c r="Q110" s="862">
        <v>15.983285902857142</v>
      </c>
      <c r="R110" s="862">
        <v>8.3045714242857152</v>
      </c>
      <c r="S110" s="862">
        <v>223.6645725857143</v>
      </c>
      <c r="T110" s="862">
        <v>190.44042751428574</v>
      </c>
      <c r="U110" s="862">
        <v>30.819142750000001</v>
      </c>
      <c r="V110" s="862">
        <v>11.857142857142858</v>
      </c>
      <c r="W110" s="862">
        <v>1.5814286125714285</v>
      </c>
      <c r="X110" s="862">
        <v>261.56357028571426</v>
      </c>
      <c r="Y110" s="862">
        <v>68.516428267142857</v>
      </c>
    </row>
    <row r="111" spans="14:25">
      <c r="O111" s="832">
        <v>4</v>
      </c>
      <c r="P111" s="861">
        <v>4</v>
      </c>
      <c r="Q111" s="862">
        <v>21.988571574285714</v>
      </c>
      <c r="R111" s="862">
        <v>15.598142828000002</v>
      </c>
      <c r="S111" s="862">
        <v>346.88342720000003</v>
      </c>
      <c r="T111" s="862">
        <v>205.5832868285714</v>
      </c>
      <c r="U111" s="862">
        <v>40.893000467142862</v>
      </c>
      <c r="V111" s="862">
        <v>18.734285627142857</v>
      </c>
      <c r="W111" s="862">
        <v>1.5700000519999997</v>
      </c>
      <c r="X111" s="862">
        <v>261.98000009999998</v>
      </c>
      <c r="Y111" s="862">
        <v>58.935427530000005</v>
      </c>
    </row>
    <row r="112" spans="14:25">
      <c r="P112" s="861">
        <v>5</v>
      </c>
      <c r="Q112" s="862">
        <v>17.729000225714284</v>
      </c>
      <c r="R112" s="862">
        <v>13.724571365714285</v>
      </c>
      <c r="S112" s="862">
        <v>214.95928737142859</v>
      </c>
      <c r="T112" s="862">
        <v>93.607142857142861</v>
      </c>
      <c r="U112" s="862">
        <v>17.748285841428572</v>
      </c>
      <c r="V112" s="862">
        <v>23.390000208571426</v>
      </c>
      <c r="W112" s="862">
        <v>1.5700000519999997</v>
      </c>
      <c r="X112" s="862">
        <v>141.83571514285714</v>
      </c>
      <c r="Y112" s="862">
        <v>45.332857951428579</v>
      </c>
    </row>
    <row r="113" spans="15:25">
      <c r="P113" s="861">
        <v>6</v>
      </c>
      <c r="Q113" s="862">
        <v>13.582571572857143</v>
      </c>
      <c r="R113" s="862">
        <v>8.6634286477142854</v>
      </c>
      <c r="S113" s="862">
        <v>166.34242902857142</v>
      </c>
      <c r="T113" s="862">
        <v>108.25571334000001</v>
      </c>
      <c r="U113" s="862">
        <v>18.79157175142857</v>
      </c>
      <c r="V113" s="862">
        <v>20.201017107142857</v>
      </c>
      <c r="W113" s="862">
        <v>2.3694285491428571</v>
      </c>
      <c r="X113" s="862">
        <v>164.55714089999998</v>
      </c>
      <c r="Y113" s="862">
        <v>65.987571171428584</v>
      </c>
    </row>
    <row r="114" spans="15:25">
      <c r="P114" s="861">
        <v>7</v>
      </c>
      <c r="Q114" s="862">
        <v>14.722571237142859</v>
      </c>
      <c r="R114" s="862">
        <v>11.071428435428571</v>
      </c>
      <c r="S114" s="862">
        <v>239.50057330000001</v>
      </c>
      <c r="T114" s="862">
        <v>202.98199900000003</v>
      </c>
      <c r="U114" s="862">
        <v>42.088571821428573</v>
      </c>
      <c r="V114" s="862">
        <v>15.283185821428571</v>
      </c>
      <c r="W114" s="862">
        <v>3.1689999100000001</v>
      </c>
      <c r="X114" s="862">
        <v>355.31285748571423</v>
      </c>
      <c r="Y114" s="862">
        <v>97.722999031428586</v>
      </c>
    </row>
    <row r="115" spans="15:25">
      <c r="O115" s="832">
        <v>8</v>
      </c>
      <c r="P115" s="861">
        <v>8</v>
      </c>
      <c r="Q115" s="862">
        <v>18.48</v>
      </c>
      <c r="R115" s="862">
        <v>14.97</v>
      </c>
      <c r="S115" s="862">
        <v>357.61814662857148</v>
      </c>
      <c r="T115" s="862">
        <v>251.1</v>
      </c>
      <c r="U115" s="862">
        <v>43.74</v>
      </c>
      <c r="V115" s="862">
        <v>16.564</v>
      </c>
      <c r="W115" s="862">
        <v>3.16</v>
      </c>
      <c r="X115" s="862">
        <v>437.78</v>
      </c>
      <c r="Y115" s="862">
        <v>142.13</v>
      </c>
    </row>
    <row r="116" spans="15:25">
      <c r="P116" s="861">
        <v>9</v>
      </c>
      <c r="Q116" s="862">
        <v>21.652428627142854</v>
      </c>
      <c r="R116" s="862">
        <v>14.185285431142857</v>
      </c>
      <c r="S116" s="862">
        <v>333.90885488571433</v>
      </c>
      <c r="T116" s="862">
        <v>204.95843285714287</v>
      </c>
      <c r="U116" s="862">
        <v>31.755000522857138</v>
      </c>
      <c r="V116" s="862">
        <v>15.852976190476195</v>
      </c>
      <c r="W116" s="862">
        <v>3.1689999100000001</v>
      </c>
      <c r="X116" s="862">
        <v>424.14571271428576</v>
      </c>
      <c r="Y116" s="862">
        <v>142.13857270714286</v>
      </c>
    </row>
    <row r="117" spans="15:25">
      <c r="P117" s="861">
        <v>10</v>
      </c>
      <c r="Q117" s="862">
        <v>30.272714344285713</v>
      </c>
      <c r="R117" s="862">
        <v>17.434571538571429</v>
      </c>
      <c r="S117" s="862">
        <v>431.64157101428572</v>
      </c>
      <c r="T117" s="862">
        <v>177.15485925714287</v>
      </c>
      <c r="U117" s="862">
        <v>31.196571622857142</v>
      </c>
      <c r="V117" s="862">
        <v>14.442</v>
      </c>
      <c r="W117" s="862">
        <v>4.7437142644285712</v>
      </c>
      <c r="X117" s="862">
        <v>293.69142804285718</v>
      </c>
      <c r="Y117" s="862">
        <v>72.30971418</v>
      </c>
    </row>
    <row r="118" spans="15:25">
      <c r="P118" s="861">
        <v>11</v>
      </c>
      <c r="Q118" s="862">
        <v>28.071857179999999</v>
      </c>
      <c r="R118" s="862">
        <v>17.048571724285715</v>
      </c>
      <c r="S118" s="862">
        <v>485.98543439999997</v>
      </c>
      <c r="T118" s="862">
        <v>169.375</v>
      </c>
      <c r="U118" s="862">
        <v>52.626284462857136</v>
      </c>
      <c r="V118" s="862">
        <v>18.273</v>
      </c>
      <c r="W118" s="862">
        <v>3.0879999738571429</v>
      </c>
      <c r="X118" s="862">
        <v>511.54500034285724</v>
      </c>
      <c r="Y118" s="862">
        <v>119.7894287057143</v>
      </c>
    </row>
    <row r="119" spans="15:25">
      <c r="O119" s="832">
        <v>12</v>
      </c>
      <c r="P119" s="861">
        <v>12</v>
      </c>
      <c r="Q119" s="862">
        <v>29.90999984714286</v>
      </c>
      <c r="R119" s="862">
        <v>21.62</v>
      </c>
      <c r="S119" s="862">
        <v>465.24414497142863</v>
      </c>
      <c r="T119" s="862">
        <v>201.58328465714288</v>
      </c>
      <c r="U119" s="862">
        <v>57.669144221428567</v>
      </c>
      <c r="V119" s="862">
        <v>23.244</v>
      </c>
      <c r="W119" s="862">
        <v>4.5095714328571432</v>
      </c>
      <c r="X119" s="862">
        <v>433.89143152857145</v>
      </c>
      <c r="Y119" s="862">
        <v>152.80443028571429</v>
      </c>
    </row>
    <row r="120" spans="15:25">
      <c r="P120" s="861">
        <v>13</v>
      </c>
      <c r="Q120" s="862">
        <v>28.360142844285718</v>
      </c>
      <c r="R120" s="862">
        <v>17.439428465714283</v>
      </c>
      <c r="S120" s="862">
        <v>396.37686155714289</v>
      </c>
      <c r="T120" s="862">
        <v>163.75585502857143</v>
      </c>
      <c r="U120" s="862">
        <v>35.725570951428573</v>
      </c>
      <c r="V120" s="862">
        <v>23.143392837142859</v>
      </c>
      <c r="W120" s="862">
        <v>3.3929999999999998</v>
      </c>
      <c r="X120" s="862">
        <v>281.79928587142859</v>
      </c>
      <c r="Y120" s="862">
        <v>107.32928468714286</v>
      </c>
    </row>
    <row r="121" spans="15:25">
      <c r="P121" s="861">
        <v>14</v>
      </c>
      <c r="Q121" s="862">
        <v>23.830285752857144</v>
      </c>
      <c r="R121" s="862">
        <v>12.833285604571429</v>
      </c>
      <c r="S121" s="862">
        <v>226.32643345714288</v>
      </c>
      <c r="T121" s="862">
        <v>133.53585814285714</v>
      </c>
      <c r="U121" s="862">
        <v>28.622000282857147</v>
      </c>
      <c r="V121" s="862">
        <v>19.16</v>
      </c>
      <c r="W121" s="862">
        <v>1.736</v>
      </c>
      <c r="X121" s="862">
        <v>176.23214502857144</v>
      </c>
      <c r="Y121" s="862">
        <v>80.936570849999995</v>
      </c>
    </row>
    <row r="122" spans="15:25">
      <c r="P122" s="861">
        <v>15</v>
      </c>
      <c r="Q122" s="862">
        <v>27</v>
      </c>
      <c r="R122" s="862">
        <v>15.571285655714286</v>
      </c>
      <c r="S122" s="862">
        <v>207.40800040000002</v>
      </c>
      <c r="T122" s="862">
        <v>107.59514291428572</v>
      </c>
      <c r="U122" s="862">
        <v>30.753999982857145</v>
      </c>
      <c r="V122" s="862">
        <v>14.377143042857142</v>
      </c>
      <c r="W122" s="862">
        <v>1.8612856864285716</v>
      </c>
      <c r="X122" s="862">
        <v>130.09</v>
      </c>
      <c r="Y122" s="862">
        <v>42.693143572857146</v>
      </c>
    </row>
    <row r="123" spans="15:25">
      <c r="O123" s="832">
        <v>16</v>
      </c>
      <c r="P123" s="861">
        <v>16</v>
      </c>
      <c r="Q123" s="862">
        <v>19.899999999999999</v>
      </c>
      <c r="R123" s="862">
        <v>12.83</v>
      </c>
      <c r="S123" s="862">
        <v>166.38871437142856</v>
      </c>
      <c r="T123" s="862">
        <v>95.78</v>
      </c>
      <c r="U123" s="862">
        <v>29.88</v>
      </c>
      <c r="V123" s="862">
        <v>12.36</v>
      </c>
      <c r="W123" s="862">
        <v>1.9</v>
      </c>
      <c r="X123" s="862">
        <v>96.9</v>
      </c>
      <c r="Y123" s="862">
        <v>33.717142651428574</v>
      </c>
    </row>
    <row r="124" spans="15:25">
      <c r="P124" s="861">
        <v>17</v>
      </c>
      <c r="Q124" s="862">
        <v>19.14</v>
      </c>
      <c r="R124" s="862">
        <v>13.52</v>
      </c>
      <c r="S124" s="862">
        <v>168.19342804285716</v>
      </c>
      <c r="T124" s="862">
        <v>95.39</v>
      </c>
      <c r="U124" s="862">
        <v>22.257285525714284</v>
      </c>
      <c r="V124" s="862">
        <v>13.4</v>
      </c>
      <c r="W124" s="862">
        <v>1.7940000124285713</v>
      </c>
      <c r="X124" s="862">
        <v>89.59</v>
      </c>
      <c r="Y124" s="862">
        <v>27.06</v>
      </c>
    </row>
    <row r="125" spans="15:25">
      <c r="P125" s="861">
        <v>18</v>
      </c>
      <c r="Q125" s="862">
        <v>19.703571455714286</v>
      </c>
      <c r="R125" s="862">
        <v>14.166857039571427</v>
      </c>
      <c r="S125" s="862">
        <v>171.5428597714286</v>
      </c>
      <c r="T125" s="862">
        <v>85.958285739999994</v>
      </c>
      <c r="U125" s="862">
        <v>21.651714052857141</v>
      </c>
      <c r="V125" s="862">
        <v>12.785805702857145</v>
      </c>
      <c r="W125" s="862">
        <v>2.3024285860000004</v>
      </c>
      <c r="X125" s="862">
        <v>89.602142331428567</v>
      </c>
      <c r="Y125" s="862">
        <v>22.269714081428571</v>
      </c>
    </row>
    <row r="126" spans="15:25">
      <c r="P126" s="861">
        <v>19</v>
      </c>
      <c r="Q126" s="862">
        <v>15.48828561</v>
      </c>
      <c r="R126" s="862">
        <v>12.650857108142857</v>
      </c>
      <c r="S126" s="862">
        <v>146.54485865714287</v>
      </c>
      <c r="T126" s="862">
        <v>88.244000028571435</v>
      </c>
      <c r="U126" s="862">
        <v>19.037142890000002</v>
      </c>
      <c r="V126" s="862">
        <v>11.328391347142857</v>
      </c>
      <c r="W126" s="862">
        <v>1.8057142665714285</v>
      </c>
      <c r="X126" s="862">
        <v>75.568572998571426</v>
      </c>
      <c r="Y126" s="862">
        <v>17.565999711428571</v>
      </c>
    </row>
    <row r="127" spans="15:25">
      <c r="O127" s="832">
        <v>20</v>
      </c>
      <c r="P127" s="861">
        <v>20</v>
      </c>
      <c r="Q127" s="862">
        <v>14.601142882857145</v>
      </c>
      <c r="R127" s="862">
        <v>10.013285772</v>
      </c>
      <c r="S127" s="862">
        <v>112.76242937142857</v>
      </c>
      <c r="T127" s="862">
        <v>64.809571402857145</v>
      </c>
      <c r="U127" s="862">
        <v>16.531571660000001</v>
      </c>
      <c r="V127" s="862">
        <v>10.899261474285714</v>
      </c>
      <c r="W127" s="862">
        <v>1.7767143248571429</v>
      </c>
      <c r="X127" s="862">
        <v>62.208570752857149</v>
      </c>
      <c r="Y127" s="862">
        <v>14.502285821428572</v>
      </c>
    </row>
    <row r="128" spans="15:25">
      <c r="P128" s="861">
        <v>21</v>
      </c>
      <c r="Q128" s="862">
        <v>13.411285537142858</v>
      </c>
      <c r="R128" s="862">
        <v>7.8631429672857154</v>
      </c>
      <c r="S128" s="862">
        <v>94.636570517142857</v>
      </c>
      <c r="T128" s="862">
        <v>49.303714208571428</v>
      </c>
      <c r="U128" s="862">
        <v>13.450571468571427</v>
      </c>
      <c r="V128" s="862">
        <v>11.166911400000002</v>
      </c>
      <c r="W128" s="862">
        <v>1.8437143055714282</v>
      </c>
      <c r="X128" s="862">
        <v>54.38714218285714</v>
      </c>
      <c r="Y128" s="862">
        <v>12.214999879999999</v>
      </c>
    </row>
    <row r="129" spans="16:25">
      <c r="P129" s="861">
        <v>22</v>
      </c>
      <c r="Q129" s="862">
        <v>12.490285737142855</v>
      </c>
      <c r="R129" s="862">
        <v>6.4215714250000007</v>
      </c>
      <c r="S129" s="862">
        <v>81.718714031428576</v>
      </c>
      <c r="T129" s="862">
        <v>42.928571428571431</v>
      </c>
      <c r="U129" s="862">
        <v>11.897571562857141</v>
      </c>
      <c r="V129" s="862">
        <v>10.57333578442857</v>
      </c>
      <c r="W129" s="862">
        <v>1.8770000252857142</v>
      </c>
      <c r="X129" s="862">
        <v>48.837857382857138</v>
      </c>
      <c r="Y129" s="862">
        <v>10.894571441428569</v>
      </c>
    </row>
    <row r="131" spans="16:25">
      <c r="Q131" s="832" t="s">
        <v>310</v>
      </c>
      <c r="R131" s="832" t="s">
        <v>311</v>
      </c>
      <c r="S131" s="832" t="s">
        <v>312</v>
      </c>
      <c r="T131" s="832" t="s">
        <v>313</v>
      </c>
      <c r="U131" s="832" t="s">
        <v>314</v>
      </c>
      <c r="V131" s="832" t="s">
        <v>315</v>
      </c>
      <c r="W131" s="832" t="s">
        <v>316</v>
      </c>
      <c r="X131" s="832" t="s">
        <v>317</v>
      </c>
      <c r="Y131" s="832" t="s">
        <v>318</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45" zoomScaleNormal="100" zoomScaleSheetLayoutView="145" zoomScalePageLayoutView="160" workbookViewId="0">
      <selection activeCell="Q26" sqref="Q26"/>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843" customWidth="1"/>
    <col min="14" max="15" width="9.33203125" style="832"/>
    <col min="16" max="16384" width="9.33203125" style="3"/>
  </cols>
  <sheetData>
    <row r="1" spans="1:15" ht="11.25" customHeight="1"/>
    <row r="2" spans="1:15" ht="11.25" customHeight="1">
      <c r="A2" s="920" t="s">
        <v>510</v>
      </c>
      <c r="B2" s="920"/>
      <c r="C2" s="920"/>
      <c r="D2" s="920"/>
      <c r="E2" s="920"/>
      <c r="F2" s="920"/>
      <c r="G2" s="920"/>
      <c r="H2" s="920"/>
      <c r="I2" s="920"/>
      <c r="J2" s="920"/>
      <c r="K2" s="920"/>
    </row>
    <row r="3" spans="1:15" ht="11.25" customHeight="1">
      <c r="A3" s="253"/>
      <c r="B3" s="253"/>
      <c r="C3" s="253"/>
      <c r="D3" s="253"/>
      <c r="E3" s="253"/>
      <c r="F3" s="253"/>
      <c r="G3" s="253"/>
      <c r="H3" s="253"/>
      <c r="I3" s="253"/>
      <c r="J3" s="253"/>
      <c r="K3" s="665"/>
      <c r="L3" s="45"/>
    </row>
    <row r="4" spans="1:15" ht="11.25" customHeight="1">
      <c r="A4" s="905" t="s">
        <v>511</v>
      </c>
      <c r="B4" s="905"/>
      <c r="C4" s="905"/>
      <c r="D4" s="905"/>
      <c r="E4" s="905"/>
      <c r="F4" s="905"/>
      <c r="G4" s="905"/>
      <c r="H4" s="905"/>
      <c r="I4" s="254"/>
      <c r="J4" s="254"/>
      <c r="L4" s="45"/>
    </row>
    <row r="5" spans="1:15" ht="7.5" customHeight="1">
      <c r="A5" s="255"/>
      <c r="B5" s="255"/>
      <c r="C5" s="255"/>
      <c r="D5" s="255"/>
      <c r="E5" s="255"/>
      <c r="F5" s="255"/>
      <c r="G5" s="255"/>
      <c r="H5" s="255"/>
      <c r="I5" s="255"/>
      <c r="J5" s="255"/>
      <c r="L5" s="10"/>
    </row>
    <row r="6" spans="1:15" ht="11.25" customHeight="1">
      <c r="A6" s="255"/>
      <c r="B6" s="259" t="s">
        <v>512</v>
      </c>
      <c r="C6" s="255"/>
      <c r="D6" s="255"/>
      <c r="E6" s="255"/>
      <c r="F6" s="255"/>
      <c r="G6" s="255"/>
      <c r="H6" s="255"/>
      <c r="I6" s="255"/>
      <c r="J6" s="255"/>
      <c r="L6" s="20"/>
    </row>
    <row r="7" spans="1:15" ht="7.5" customHeight="1">
      <c r="A7" s="255"/>
      <c r="B7" s="256"/>
      <c r="C7" s="255"/>
      <c r="D7" s="255"/>
      <c r="E7" s="255"/>
      <c r="F7" s="255"/>
      <c r="G7" s="255"/>
      <c r="H7" s="255"/>
      <c r="I7" s="255"/>
      <c r="J7" s="255"/>
      <c r="L7" s="16"/>
    </row>
    <row r="8" spans="1:15" ht="21" customHeight="1">
      <c r="A8" s="255"/>
      <c r="B8" s="686" t="s">
        <v>178</v>
      </c>
      <c r="C8" s="687" t="s">
        <v>179</v>
      </c>
      <c r="D8" s="687" t="s">
        <v>180</v>
      </c>
      <c r="E8" s="687" t="s">
        <v>182</v>
      </c>
      <c r="F8" s="687" t="s">
        <v>181</v>
      </c>
      <c r="G8" s="688" t="s">
        <v>183</v>
      </c>
      <c r="H8" s="264"/>
      <c r="I8" s="264"/>
      <c r="J8" s="264"/>
      <c r="L8" s="34"/>
      <c r="M8" s="844" t="s">
        <v>179</v>
      </c>
      <c r="N8" s="845" t="str">
        <f>M8&amp;"
 ("&amp;ROUND(HLOOKUP(M8,$C$8:$G$9,2,0),2)&amp;"   USD/MWh)"</f>
        <v>PIURA OESTE 220
 (9,83   USD/MWh)</v>
      </c>
    </row>
    <row r="9" spans="1:15" ht="18" customHeight="1">
      <c r="A9" s="255"/>
      <c r="B9" s="689" t="s">
        <v>184</v>
      </c>
      <c r="C9" s="424">
        <v>9.8283515632697611</v>
      </c>
      <c r="D9" s="424">
        <v>9.6399543996032797</v>
      </c>
      <c r="E9" s="424">
        <v>9.4905633836729084</v>
      </c>
      <c r="F9" s="424">
        <v>9.4411823313857504</v>
      </c>
      <c r="G9" s="424">
        <v>9.3537834128946749</v>
      </c>
      <c r="H9" s="264"/>
      <c r="I9" s="264"/>
      <c r="J9" s="264"/>
      <c r="K9" s="264"/>
      <c r="L9" s="29"/>
      <c r="M9" s="844" t="s">
        <v>180</v>
      </c>
      <c r="N9" s="845" t="str">
        <f>M9&amp;"
("&amp;ROUND(HLOOKUP(M9,$C$8:$G$9,2,0),2)&amp;" USD/MWh)"</f>
        <v>CHICLAYO 220
(9,64 USD/MWh)</v>
      </c>
    </row>
    <row r="10" spans="1:15" ht="14.25" customHeight="1">
      <c r="A10" s="255"/>
      <c r="B10" s="942"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942"/>
      <c r="D10" s="942"/>
      <c r="E10" s="942"/>
      <c r="F10" s="942"/>
      <c r="G10" s="942"/>
      <c r="H10" s="942"/>
      <c r="I10" s="942"/>
      <c r="J10" s="264"/>
      <c r="K10" s="264"/>
      <c r="L10" s="29"/>
      <c r="M10" s="844" t="s">
        <v>182</v>
      </c>
      <c r="N10" s="845" t="str">
        <f>M10&amp;"
("&amp;ROUND(HLOOKUP(M10,$C$8:$G$9,2,0),2)&amp;" USD/MWh)"</f>
        <v>TRUJILLO 220
(9,49 USD/MWh)</v>
      </c>
    </row>
    <row r="11" spans="1:15" ht="11.25" customHeight="1">
      <c r="A11" s="255"/>
      <c r="B11" s="265"/>
      <c r="C11" s="264"/>
      <c r="D11" s="264"/>
      <c r="E11" s="264"/>
      <c r="F11" s="264"/>
      <c r="G11" s="264"/>
      <c r="H11" s="264"/>
      <c r="I11" s="264"/>
      <c r="J11" s="264"/>
      <c r="K11" s="264"/>
      <c r="L11" s="29"/>
      <c r="M11" s="844" t="s">
        <v>181</v>
      </c>
      <c r="N11" s="845" t="str">
        <f>M11&amp;"
("&amp;ROUND(HLOOKUP(M11,$C$8:$G$9,2,0),2)&amp;" USD/MWh)"</f>
        <v>CHIMBOTE1 138
(9,44 USD/MWh)</v>
      </c>
    </row>
    <row r="12" spans="1:15" ht="11.25" customHeight="1">
      <c r="A12" s="255"/>
      <c r="B12" s="264"/>
      <c r="C12" s="264"/>
      <c r="D12" s="264"/>
      <c r="E12" s="264"/>
      <c r="F12" s="264"/>
      <c r="G12" s="264"/>
      <c r="H12" s="264"/>
      <c r="I12" s="264"/>
      <c r="J12" s="264"/>
      <c r="K12" s="264"/>
      <c r="L12" s="31"/>
      <c r="M12" s="844" t="s">
        <v>183</v>
      </c>
      <c r="N12" s="845" t="str">
        <f>M12&amp;"
("&amp;ROUND(HLOOKUP(M12,$C$8:$G$9,2,0),2)&amp;" USD/MWh)"</f>
        <v>CAJAMARCA 220
(9,35 USD/MWh)</v>
      </c>
    </row>
    <row r="13" spans="1:15" ht="11.25" customHeight="1">
      <c r="A13" s="255"/>
      <c r="B13" s="264"/>
      <c r="C13" s="264"/>
      <c r="D13" s="264"/>
      <c r="E13" s="264"/>
      <c r="F13" s="264"/>
      <c r="G13" s="264"/>
      <c r="H13" s="264"/>
      <c r="I13" s="264"/>
      <c r="J13" s="264"/>
      <c r="K13" s="264"/>
      <c r="L13" s="34"/>
      <c r="M13" s="844"/>
      <c r="N13" s="845"/>
      <c r="O13" s="844"/>
    </row>
    <row r="14" spans="1:15" ht="11.25" customHeight="1">
      <c r="A14" s="255"/>
      <c r="B14" s="264"/>
      <c r="C14" s="264"/>
      <c r="D14" s="264"/>
      <c r="E14" s="264"/>
      <c r="F14" s="264"/>
      <c r="G14" s="264"/>
      <c r="H14" s="264"/>
      <c r="I14" s="264"/>
      <c r="J14" s="264"/>
      <c r="K14" s="264"/>
      <c r="L14" s="29"/>
      <c r="M14" s="844" t="s">
        <v>186</v>
      </c>
      <c r="N14" s="845" t="str">
        <f t="shared" ref="N14:N20" si="0">M14&amp;"
("&amp;ROUND(HLOOKUP(M14,$C$26:$I$27,2,0),2)&amp;" USD/MWh)"</f>
        <v>CHAVARRIA 220
(9,18 USD/MWh)</v>
      </c>
    </row>
    <row r="15" spans="1:15" ht="11.25" customHeight="1">
      <c r="A15" s="255"/>
      <c r="B15" s="264"/>
      <c r="C15" s="264"/>
      <c r="D15" s="264"/>
      <c r="E15" s="264"/>
      <c r="F15" s="264"/>
      <c r="G15" s="264"/>
      <c r="H15" s="264"/>
      <c r="I15" s="264"/>
      <c r="J15" s="264"/>
      <c r="K15" s="264"/>
      <c r="L15" s="29"/>
      <c r="M15" s="844" t="s">
        <v>188</v>
      </c>
      <c r="N15" s="845" t="str">
        <f t="shared" si="0"/>
        <v>INDEPENDENCIA 220
(9,13 USD/MWh)</v>
      </c>
    </row>
    <row r="16" spans="1:15" ht="11.25" customHeight="1">
      <c r="A16" s="255"/>
      <c r="B16" s="264"/>
      <c r="C16" s="264"/>
      <c r="D16" s="264"/>
      <c r="E16" s="264"/>
      <c r="F16" s="264"/>
      <c r="G16" s="264"/>
      <c r="H16" s="264"/>
      <c r="I16" s="264"/>
      <c r="J16" s="264"/>
      <c r="K16" s="264"/>
      <c r="L16" s="29"/>
      <c r="M16" s="844" t="s">
        <v>189</v>
      </c>
      <c r="N16" s="845" t="str">
        <f t="shared" si="0"/>
        <v>CARABAYLLO 220
(9,15 USD/MWh)</v>
      </c>
    </row>
    <row r="17" spans="1:14" ht="11.25" customHeight="1">
      <c r="A17" s="255"/>
      <c r="B17" s="264"/>
      <c r="C17" s="264"/>
      <c r="D17" s="264"/>
      <c r="E17" s="264"/>
      <c r="F17" s="264"/>
      <c r="G17" s="264"/>
      <c r="H17" s="264"/>
      <c r="I17" s="264"/>
      <c r="J17" s="264"/>
      <c r="K17" s="264"/>
      <c r="L17" s="29"/>
      <c r="M17" s="844" t="s">
        <v>185</v>
      </c>
      <c r="N17" s="845" t="str">
        <f t="shared" si="0"/>
        <v>SANTA ROSA 220
(9,17 USD/MWh)</v>
      </c>
    </row>
    <row r="18" spans="1:14" ht="11.25" customHeight="1">
      <c r="A18" s="255"/>
      <c r="B18" s="264"/>
      <c r="C18" s="264"/>
      <c r="D18" s="264"/>
      <c r="E18" s="264"/>
      <c r="F18" s="264"/>
      <c r="G18" s="264"/>
      <c r="H18" s="264"/>
      <c r="I18" s="264"/>
      <c r="J18" s="264"/>
      <c r="K18" s="264"/>
      <c r="L18" s="29"/>
      <c r="M18" s="844" t="s">
        <v>187</v>
      </c>
      <c r="N18" s="845" t="str">
        <f t="shared" si="0"/>
        <v>SAN JUAN 220
(9,16 USD/MWh)</v>
      </c>
    </row>
    <row r="19" spans="1:14" ht="11.25" customHeight="1">
      <c r="A19" s="255"/>
      <c r="B19" s="264"/>
      <c r="C19" s="264"/>
      <c r="D19" s="264"/>
      <c r="E19" s="264"/>
      <c r="F19" s="264"/>
      <c r="G19" s="264"/>
      <c r="H19" s="264"/>
      <c r="I19" s="264"/>
      <c r="J19" s="264"/>
      <c r="K19" s="264"/>
      <c r="L19" s="39"/>
      <c r="M19" s="844" t="s">
        <v>190</v>
      </c>
      <c r="N19" s="845" t="str">
        <f t="shared" si="0"/>
        <v>POMACOCHA 220
(8,94 USD/MWh)</v>
      </c>
    </row>
    <row r="20" spans="1:14" ht="11.25" customHeight="1">
      <c r="A20" s="255"/>
      <c r="B20" s="262"/>
      <c r="C20" s="262"/>
      <c r="D20" s="262"/>
      <c r="E20" s="262"/>
      <c r="F20" s="262"/>
      <c r="G20" s="264"/>
      <c r="H20" s="264"/>
      <c r="I20" s="264"/>
      <c r="J20" s="264"/>
      <c r="K20" s="264"/>
      <c r="L20" s="29"/>
      <c r="M20" s="844" t="s">
        <v>191</v>
      </c>
      <c r="N20" s="845" t="str">
        <f t="shared" si="0"/>
        <v>OROYA NUEVA 50
(8,77 USD/MWh)</v>
      </c>
    </row>
    <row r="21" spans="1:14" ht="11.25" customHeight="1">
      <c r="A21" s="255"/>
      <c r="B21" s="943" t="str">
        <f>"Gráfico N°20: Costos marginales medios registrados en las principales barras del área norte durante el mes de "&amp;'1. Resumen'!Q4</f>
        <v>Gráfico N°20: Costos marginales medios registrados en las principales barras del área norte durante el mes de mayo</v>
      </c>
      <c r="C21" s="943"/>
      <c r="D21" s="943"/>
      <c r="E21" s="943"/>
      <c r="F21" s="943"/>
      <c r="G21" s="943"/>
      <c r="H21" s="943"/>
      <c r="I21" s="943"/>
      <c r="J21" s="264"/>
      <c r="K21" s="264"/>
      <c r="L21" s="29"/>
      <c r="M21" s="844"/>
      <c r="N21" s="845"/>
    </row>
    <row r="22" spans="1:14" ht="7.5" customHeight="1">
      <c r="A22" s="255"/>
      <c r="B22" s="257"/>
      <c r="C22" s="257"/>
      <c r="D22" s="257"/>
      <c r="E22" s="257"/>
      <c r="F22" s="257"/>
      <c r="G22" s="255"/>
      <c r="H22" s="255"/>
      <c r="I22" s="255"/>
      <c r="J22" s="255"/>
      <c r="K22" s="255"/>
      <c r="L22" s="20"/>
      <c r="M22" s="844"/>
      <c r="N22" s="845"/>
    </row>
    <row r="23" spans="1:14" ht="11.25" customHeight="1">
      <c r="A23" s="255"/>
      <c r="B23" s="257"/>
      <c r="C23" s="257"/>
      <c r="D23" s="257"/>
      <c r="E23" s="257"/>
      <c r="F23" s="257"/>
      <c r="G23" s="255"/>
      <c r="H23" s="255"/>
      <c r="I23" s="255"/>
      <c r="J23" s="255"/>
      <c r="K23" s="255"/>
      <c r="L23" s="22"/>
      <c r="M23" s="844" t="s">
        <v>192</v>
      </c>
      <c r="N23" s="845" t="str">
        <f t="shared" ref="N23:N29" si="1">M23&amp;"
("&amp;ROUND(HLOOKUP(M23,$C$45:$I$46,2,0),2)&amp;" USD/MWh)"</f>
        <v>TINTAYA NUEVA 220
(9,93 USD/MWh)</v>
      </c>
    </row>
    <row r="24" spans="1:14" ht="11.25" customHeight="1">
      <c r="A24" s="255"/>
      <c r="B24" s="260" t="s">
        <v>513</v>
      </c>
      <c r="C24" s="257"/>
      <c r="D24" s="257"/>
      <c r="E24" s="257"/>
      <c r="F24" s="257"/>
      <c r="G24" s="255"/>
      <c r="H24" s="255"/>
      <c r="I24" s="255"/>
      <c r="J24" s="255"/>
      <c r="K24" s="255"/>
      <c r="L24" s="20"/>
      <c r="M24" s="844" t="s">
        <v>193</v>
      </c>
      <c r="N24" s="845" t="str">
        <f t="shared" si="1"/>
        <v>PUNO 138
(9,71 USD/MWh)</v>
      </c>
    </row>
    <row r="25" spans="1:14" ht="6.75" customHeight="1">
      <c r="A25" s="255"/>
      <c r="B25" s="257"/>
      <c r="C25" s="257"/>
      <c r="D25" s="257"/>
      <c r="E25" s="257"/>
      <c r="F25" s="257"/>
      <c r="G25" s="255"/>
      <c r="H25" s="255"/>
      <c r="I25" s="255"/>
      <c r="J25" s="255"/>
      <c r="K25" s="255"/>
      <c r="L25" s="20"/>
      <c r="M25" s="844" t="s">
        <v>194</v>
      </c>
      <c r="N25" s="845" t="str">
        <f t="shared" si="1"/>
        <v>SOCABAYA 220
(9,59 USD/MWh)</v>
      </c>
    </row>
    <row r="26" spans="1:14" ht="25.5" customHeight="1">
      <c r="A26" s="255"/>
      <c r="B26" s="690" t="s">
        <v>178</v>
      </c>
      <c r="C26" s="687" t="s">
        <v>186</v>
      </c>
      <c r="D26" s="687" t="s">
        <v>185</v>
      </c>
      <c r="E26" s="687" t="s">
        <v>187</v>
      </c>
      <c r="F26" s="687" t="s">
        <v>189</v>
      </c>
      <c r="G26" s="687" t="s">
        <v>188</v>
      </c>
      <c r="H26" s="687" t="s">
        <v>190</v>
      </c>
      <c r="I26" s="688" t="s">
        <v>191</v>
      </c>
      <c r="J26" s="261"/>
      <c r="K26" s="264"/>
      <c r="L26" s="29"/>
      <c r="M26" s="844" t="s">
        <v>195</v>
      </c>
      <c r="N26" s="845" t="str">
        <f t="shared" si="1"/>
        <v>MOQUEGUA 138
(9,58 USD/MWh)</v>
      </c>
    </row>
    <row r="27" spans="1:14" ht="18" customHeight="1">
      <c r="A27" s="255"/>
      <c r="B27" s="691" t="s">
        <v>184</v>
      </c>
      <c r="C27" s="424">
        <v>9.1755990694851999</v>
      </c>
      <c r="D27" s="424">
        <v>9.1706185796697532</v>
      </c>
      <c r="E27" s="424">
        <v>9.1639690636474125</v>
      </c>
      <c r="F27" s="424">
        <v>9.1505015565370336</v>
      </c>
      <c r="G27" s="424">
        <v>9.1344632691751961</v>
      </c>
      <c r="H27" s="424">
        <v>8.9428833761109132</v>
      </c>
      <c r="I27" s="424">
        <v>8.7707617931848247</v>
      </c>
      <c r="J27" s="263"/>
      <c r="K27" s="264"/>
      <c r="L27" s="29"/>
      <c r="M27" s="844" t="s">
        <v>196</v>
      </c>
      <c r="N27" s="845" t="str">
        <f t="shared" si="1"/>
        <v>DOLORESPATA 138
(9,28 USD/MWh)</v>
      </c>
    </row>
    <row r="28" spans="1:14" ht="19.5" customHeight="1">
      <c r="A28" s="255"/>
      <c r="B28" s="944"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944"/>
      <c r="D28" s="944"/>
      <c r="E28" s="944"/>
      <c r="F28" s="944"/>
      <c r="G28" s="944"/>
      <c r="H28" s="944"/>
      <c r="I28" s="944"/>
      <c r="J28" s="264"/>
      <c r="K28" s="264"/>
      <c r="L28" s="29"/>
      <c r="M28" s="844" t="s">
        <v>197</v>
      </c>
      <c r="N28" s="845" t="str">
        <f t="shared" si="1"/>
        <v>COTARUSE 220
(9,19 USD/MWh)</v>
      </c>
    </row>
    <row r="29" spans="1:14" ht="11.25" customHeight="1">
      <c r="A29" s="255"/>
      <c r="B29" s="262"/>
      <c r="C29" s="262"/>
      <c r="D29" s="262"/>
      <c r="E29" s="262"/>
      <c r="F29" s="262"/>
      <c r="G29" s="262"/>
      <c r="H29" s="262"/>
      <c r="I29" s="262"/>
      <c r="J29" s="262"/>
      <c r="K29" s="262"/>
      <c r="L29" s="29"/>
      <c r="M29" s="844" t="s">
        <v>198</v>
      </c>
      <c r="N29" s="845" t="str">
        <f t="shared" si="1"/>
        <v>SAN GABAN 138
(9,3 USD/MWh)</v>
      </c>
    </row>
    <row r="30" spans="1:14" ht="11.25" customHeight="1">
      <c r="A30" s="255"/>
      <c r="B30" s="262"/>
      <c r="C30" s="262"/>
      <c r="D30" s="262"/>
      <c r="E30" s="262"/>
      <c r="F30" s="262"/>
      <c r="G30" s="262"/>
      <c r="H30" s="262"/>
      <c r="I30" s="262"/>
      <c r="J30" s="262"/>
      <c r="K30" s="262"/>
      <c r="L30" s="29"/>
      <c r="M30" s="844"/>
      <c r="N30" s="831"/>
    </row>
    <row r="31" spans="1:14" ht="11.25" customHeight="1">
      <c r="A31" s="255"/>
      <c r="B31" s="262"/>
      <c r="C31" s="262"/>
      <c r="D31" s="262"/>
      <c r="E31" s="262"/>
      <c r="F31" s="262"/>
      <c r="G31" s="262"/>
      <c r="H31" s="262"/>
      <c r="I31" s="262"/>
      <c r="J31" s="262"/>
      <c r="K31" s="262"/>
      <c r="L31" s="29"/>
      <c r="M31" s="844"/>
      <c r="N31" s="831"/>
    </row>
    <row r="32" spans="1:14" ht="11.25" customHeight="1">
      <c r="A32" s="255"/>
      <c r="B32" s="262"/>
      <c r="C32" s="262"/>
      <c r="D32" s="262"/>
      <c r="E32" s="262"/>
      <c r="F32" s="262"/>
      <c r="G32" s="262"/>
      <c r="H32" s="262"/>
      <c r="I32" s="262"/>
      <c r="J32" s="262"/>
      <c r="K32" s="262"/>
      <c r="L32" s="29"/>
      <c r="M32" s="844"/>
    </row>
    <row r="33" spans="1:12" ht="11.25" customHeight="1">
      <c r="A33" s="255"/>
      <c r="B33" s="262"/>
      <c r="C33" s="262"/>
      <c r="D33" s="262"/>
      <c r="E33" s="262"/>
      <c r="F33" s="262"/>
      <c r="G33" s="262"/>
      <c r="H33" s="262"/>
      <c r="I33" s="262"/>
      <c r="J33" s="262"/>
      <c r="K33" s="262"/>
      <c r="L33" s="29"/>
    </row>
    <row r="34" spans="1:12" ht="11.25" customHeight="1">
      <c r="A34" s="255"/>
      <c r="B34" s="262"/>
      <c r="C34" s="262"/>
      <c r="D34" s="262"/>
      <c r="E34" s="262"/>
      <c r="F34" s="262"/>
      <c r="G34" s="262"/>
      <c r="H34" s="262"/>
      <c r="I34" s="262"/>
      <c r="J34" s="262"/>
      <c r="K34" s="262"/>
      <c r="L34" s="29"/>
    </row>
    <row r="35" spans="1:12" ht="11.25" customHeight="1">
      <c r="A35" s="255"/>
      <c r="B35" s="262"/>
      <c r="C35" s="262"/>
      <c r="D35" s="262"/>
      <c r="E35" s="262"/>
      <c r="F35" s="262"/>
      <c r="G35" s="262"/>
      <c r="H35" s="262"/>
      <c r="I35" s="262"/>
      <c r="J35" s="262"/>
      <c r="K35" s="262"/>
      <c r="L35" s="48"/>
    </row>
    <row r="36" spans="1:12" ht="11.25" customHeight="1">
      <c r="A36" s="255"/>
      <c r="B36" s="262"/>
      <c r="C36" s="262"/>
      <c r="D36" s="262"/>
      <c r="E36" s="262"/>
      <c r="F36" s="262"/>
      <c r="G36" s="262"/>
      <c r="H36" s="262"/>
      <c r="I36" s="262"/>
      <c r="J36" s="262"/>
      <c r="K36" s="262"/>
      <c r="L36" s="29"/>
    </row>
    <row r="37" spans="1:12" ht="11.25" customHeight="1">
      <c r="A37" s="255"/>
      <c r="B37" s="262"/>
      <c r="C37" s="262"/>
      <c r="D37" s="262"/>
      <c r="E37" s="262"/>
      <c r="F37" s="262"/>
      <c r="G37" s="262"/>
      <c r="H37" s="262"/>
      <c r="I37" s="262"/>
      <c r="J37" s="262"/>
      <c r="K37" s="262"/>
      <c r="L37" s="29"/>
    </row>
    <row r="38" spans="1:12" ht="11.25" customHeight="1">
      <c r="A38" s="255"/>
      <c r="B38" s="262"/>
      <c r="C38" s="262"/>
      <c r="D38" s="262"/>
      <c r="E38" s="262"/>
      <c r="F38" s="262"/>
      <c r="G38" s="262"/>
      <c r="H38" s="262"/>
      <c r="I38" s="262"/>
      <c r="J38" s="262"/>
      <c r="K38" s="262"/>
      <c r="L38" s="29"/>
    </row>
    <row r="39" spans="1:12" ht="11.25" customHeight="1">
      <c r="A39" s="255"/>
      <c r="B39" s="262"/>
      <c r="C39" s="262"/>
      <c r="D39" s="262"/>
      <c r="E39" s="262"/>
      <c r="F39" s="262"/>
      <c r="G39" s="262"/>
      <c r="H39" s="262"/>
      <c r="I39" s="262"/>
      <c r="J39" s="262"/>
      <c r="K39" s="262"/>
      <c r="L39" s="29"/>
    </row>
    <row r="40" spans="1:12" ht="13.5" customHeight="1">
      <c r="A40" s="255"/>
      <c r="B40" s="942" t="str">
        <f>"Gráfico N°21: Costos marginales medios registrados en las principales barras del área centro durante el mes de "&amp;'1. Resumen'!Q4</f>
        <v>Gráfico N°21: Costos marginales medios registrados en las principales barras del área centro durante el mes de mayo</v>
      </c>
      <c r="C40" s="942"/>
      <c r="D40" s="942"/>
      <c r="E40" s="942"/>
      <c r="F40" s="942"/>
      <c r="G40" s="942"/>
      <c r="H40" s="942"/>
      <c r="I40" s="942"/>
      <c r="J40" s="262"/>
      <c r="K40" s="262"/>
      <c r="L40" s="29"/>
    </row>
    <row r="41" spans="1:12" ht="6.75" customHeight="1">
      <c r="A41" s="255"/>
      <c r="B41" s="262"/>
      <c r="C41" s="262"/>
      <c r="D41" s="262"/>
      <c r="E41" s="262"/>
      <c r="F41" s="262"/>
      <c r="G41" s="262"/>
      <c r="H41" s="262"/>
      <c r="I41" s="262"/>
      <c r="J41" s="262"/>
      <c r="K41" s="262"/>
      <c r="L41" s="29"/>
    </row>
    <row r="42" spans="1:12" ht="8.25" customHeight="1">
      <c r="A42" s="255"/>
      <c r="B42" s="257"/>
      <c r="C42" s="257"/>
      <c r="D42" s="257"/>
      <c r="E42" s="257"/>
      <c r="F42" s="257"/>
      <c r="G42" s="257"/>
      <c r="H42" s="257"/>
      <c r="I42" s="257"/>
      <c r="J42" s="257"/>
      <c r="K42" s="257"/>
      <c r="L42" s="15"/>
    </row>
    <row r="43" spans="1:12" ht="11.25" customHeight="1">
      <c r="A43" s="255"/>
      <c r="B43" s="260" t="s">
        <v>514</v>
      </c>
      <c r="C43" s="257"/>
      <c r="D43" s="257"/>
      <c r="E43" s="257"/>
      <c r="F43" s="257"/>
      <c r="G43" s="257"/>
      <c r="H43" s="257"/>
      <c r="I43" s="257"/>
      <c r="J43" s="257"/>
      <c r="K43" s="257"/>
      <c r="L43" s="14"/>
    </row>
    <row r="44" spans="1:12" ht="6.75" customHeight="1">
      <c r="A44" s="255"/>
      <c r="B44" s="257"/>
      <c r="C44" s="257"/>
      <c r="D44" s="257"/>
      <c r="E44" s="257"/>
      <c r="F44" s="257"/>
      <c r="G44" s="257"/>
      <c r="H44" s="257"/>
      <c r="I44" s="257"/>
      <c r="J44" s="257"/>
      <c r="K44" s="257"/>
      <c r="L44" s="14"/>
    </row>
    <row r="45" spans="1:12" ht="27" customHeight="1">
      <c r="A45" s="255"/>
      <c r="B45" s="690" t="s">
        <v>178</v>
      </c>
      <c r="C45" s="687" t="s">
        <v>192</v>
      </c>
      <c r="D45" s="687" t="s">
        <v>193</v>
      </c>
      <c r="E45" s="687" t="s">
        <v>194</v>
      </c>
      <c r="F45" s="687" t="s">
        <v>195</v>
      </c>
      <c r="G45" s="687" t="s">
        <v>198</v>
      </c>
      <c r="H45" s="687" t="s">
        <v>196</v>
      </c>
      <c r="I45" s="688" t="s">
        <v>197</v>
      </c>
      <c r="J45" s="261"/>
      <c r="K45" s="262"/>
    </row>
    <row r="46" spans="1:12" ht="18.75" customHeight="1">
      <c r="A46" s="255"/>
      <c r="B46" s="691" t="s">
        <v>184</v>
      </c>
      <c r="C46" s="424">
        <v>9.9250765679498514</v>
      </c>
      <c r="D46" s="424">
        <v>9.7135567225648831</v>
      </c>
      <c r="E46" s="424">
        <v>9.5911253487480259</v>
      </c>
      <c r="F46" s="424">
        <v>9.5792825834121711</v>
      </c>
      <c r="G46" s="424">
        <v>9.2988862395806482</v>
      </c>
      <c r="H46" s="424">
        <v>9.2801251217231293</v>
      </c>
      <c r="I46" s="424">
        <v>9.1925755288900266</v>
      </c>
      <c r="J46" s="263"/>
      <c r="K46" s="262"/>
    </row>
    <row r="47" spans="1:12" ht="18" customHeight="1">
      <c r="A47" s="255"/>
      <c r="B47" s="944" t="str">
        <f>"Cuadro N°13: Valor de los costos marginales medios registrados en las principales barras del área sur durante el mes de "&amp;'1. Resumen'!Q4</f>
        <v>Cuadro N°13: Valor de los costos marginales medios registrados en las principales barras del área sur durante el mes de mayo</v>
      </c>
      <c r="C47" s="944"/>
      <c r="D47" s="944"/>
      <c r="E47" s="944"/>
      <c r="F47" s="944"/>
      <c r="G47" s="944"/>
      <c r="H47" s="944"/>
      <c r="I47" s="944"/>
      <c r="J47" s="263"/>
      <c r="K47" s="262"/>
    </row>
    <row r="48" spans="1:12" ht="12.75">
      <c r="A48" s="255"/>
      <c r="B48" s="262"/>
      <c r="C48" s="262"/>
      <c r="D48" s="262"/>
      <c r="E48" s="262"/>
      <c r="F48" s="262"/>
      <c r="G48" s="264"/>
      <c r="H48" s="264"/>
      <c r="I48" s="264"/>
      <c r="J48" s="264"/>
      <c r="K48" s="262"/>
    </row>
    <row r="49" spans="1:11" ht="12.75">
      <c r="A49" s="255"/>
      <c r="B49" s="264"/>
      <c r="C49" s="264"/>
      <c r="D49" s="264"/>
      <c r="E49" s="264"/>
      <c r="F49" s="264"/>
      <c r="G49" s="264"/>
      <c r="H49" s="264"/>
      <c r="I49" s="264"/>
      <c r="J49" s="264"/>
      <c r="K49" s="262"/>
    </row>
    <row r="50" spans="1:11" ht="12.75">
      <c r="A50" s="255"/>
      <c r="B50" s="132"/>
      <c r="C50" s="132"/>
      <c r="D50" s="132"/>
      <c r="E50" s="132"/>
      <c r="F50" s="132"/>
      <c r="G50" s="132"/>
      <c r="H50" s="132"/>
      <c r="I50" s="132"/>
      <c r="J50" s="132"/>
      <c r="K50" s="262"/>
    </row>
    <row r="51" spans="1:11" ht="12.75">
      <c r="A51" s="255"/>
      <c r="B51" s="132"/>
      <c r="C51" s="132"/>
      <c r="D51" s="132"/>
      <c r="E51" s="132"/>
      <c r="F51" s="132"/>
      <c r="G51" s="132"/>
      <c r="H51" s="132"/>
      <c r="I51" s="132"/>
      <c r="J51" s="132"/>
      <c r="K51" s="262"/>
    </row>
    <row r="52" spans="1:11" ht="12.75">
      <c r="A52" s="255"/>
      <c r="B52" s="132"/>
      <c r="C52" s="132"/>
      <c r="D52" s="132"/>
      <c r="E52" s="132"/>
      <c r="F52" s="132"/>
      <c r="G52" s="132"/>
      <c r="H52" s="132"/>
      <c r="I52" s="132"/>
      <c r="J52" s="132"/>
      <c r="K52" s="262"/>
    </row>
    <row r="53" spans="1:11" ht="12.75">
      <c r="A53" s="255"/>
      <c r="B53" s="132"/>
      <c r="C53" s="132"/>
      <c r="D53" s="132"/>
      <c r="E53" s="132"/>
      <c r="F53" s="132"/>
      <c r="G53" s="132"/>
      <c r="H53" s="132"/>
      <c r="I53" s="132"/>
      <c r="J53" s="132"/>
      <c r="K53" s="262"/>
    </row>
    <row r="54" spans="1:11" ht="12.75">
      <c r="A54" s="255"/>
      <c r="B54" s="132"/>
      <c r="C54" s="132"/>
      <c r="D54" s="132"/>
      <c r="E54" s="132"/>
      <c r="F54" s="132"/>
      <c r="G54" s="132"/>
      <c r="H54" s="132"/>
      <c r="I54" s="132"/>
      <c r="J54" s="132"/>
      <c r="K54" s="262"/>
    </row>
    <row r="55" spans="1:11" ht="12.75">
      <c r="A55" s="255"/>
      <c r="B55" s="132"/>
      <c r="C55" s="132"/>
      <c r="D55" s="132"/>
      <c r="E55" s="132"/>
      <c r="F55" s="132"/>
      <c r="G55" s="132"/>
      <c r="H55" s="132"/>
      <c r="I55" s="132"/>
      <c r="J55" s="132"/>
      <c r="K55" s="262"/>
    </row>
    <row r="56" spans="1:11" ht="12.75">
      <c r="A56" s="255"/>
      <c r="B56" s="264"/>
      <c r="C56" s="264"/>
      <c r="D56" s="264"/>
      <c r="E56" s="264"/>
      <c r="F56" s="264"/>
      <c r="G56" s="264"/>
      <c r="H56" s="264"/>
      <c r="I56" s="264"/>
      <c r="J56" s="264"/>
      <c r="K56" s="262"/>
    </row>
    <row r="57" spans="1:11" ht="12.75">
      <c r="A57" s="255"/>
      <c r="B57" s="264"/>
      <c r="C57" s="264"/>
      <c r="D57" s="264"/>
      <c r="E57" s="264"/>
      <c r="F57" s="264"/>
      <c r="G57" s="264"/>
      <c r="H57" s="264"/>
      <c r="I57" s="264"/>
      <c r="J57" s="264"/>
      <c r="K57" s="262"/>
    </row>
    <row r="58" spans="1:11" ht="12.75">
      <c r="A58" s="255"/>
      <c r="B58" s="942" t="str">
        <f>"Gráfico N°22: Costos marginales medios registrados en las principales barras del área sur durante el mes de "&amp;'1. Resumen'!Q4</f>
        <v>Gráfico N°22: Costos marginales medios registrados en las principales barras del área sur durante el mes de mayo</v>
      </c>
      <c r="C58" s="942"/>
      <c r="D58" s="942"/>
      <c r="E58" s="942"/>
      <c r="F58" s="942"/>
      <c r="G58" s="942"/>
      <c r="H58" s="942"/>
      <c r="I58" s="942"/>
      <c r="J58" s="264"/>
      <c r="K58" s="262"/>
    </row>
    <row r="59" spans="1:11" ht="12.75">
      <c r="A59" s="92"/>
      <c r="B59" s="157"/>
      <c r="C59" s="157"/>
      <c r="D59" s="157"/>
      <c r="E59" s="157"/>
      <c r="F59" s="157"/>
      <c r="G59" s="157"/>
      <c r="H59" s="264"/>
      <c r="I59" s="264"/>
      <c r="J59" s="264"/>
      <c r="K59" s="262"/>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Q26" sqref="Q26"/>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05" t="s">
        <v>516</v>
      </c>
      <c r="B2" s="905"/>
      <c r="C2" s="905"/>
      <c r="D2" s="905"/>
      <c r="E2" s="905"/>
      <c r="F2" s="905"/>
      <c r="G2" s="905"/>
      <c r="H2" s="905"/>
      <c r="I2" s="905"/>
      <c r="J2" s="905"/>
      <c r="K2" s="905"/>
      <c r="L2" s="905"/>
    </row>
    <row r="3" spans="1:12" ht="11.25" customHeight="1">
      <c r="A3" s="255"/>
      <c r="B3" s="255"/>
      <c r="C3" s="255"/>
      <c r="D3" s="255"/>
      <c r="E3" s="255"/>
      <c r="F3" s="255"/>
      <c r="G3" s="255"/>
      <c r="H3" s="255"/>
      <c r="I3" s="255"/>
      <c r="J3" s="255"/>
      <c r="K3" s="255"/>
      <c r="L3" s="266"/>
    </row>
    <row r="4" spans="1:12" ht="11.25" customHeight="1">
      <c r="A4" s="255"/>
      <c r="B4" s="255"/>
      <c r="C4" s="255"/>
      <c r="D4" s="255"/>
      <c r="E4" s="255"/>
      <c r="F4" s="255"/>
      <c r="G4" s="255"/>
      <c r="H4" s="255"/>
      <c r="I4" s="255"/>
      <c r="J4" s="255"/>
      <c r="K4" s="255"/>
      <c r="L4" s="84"/>
    </row>
    <row r="5" spans="1:12" ht="11.25" customHeight="1">
      <c r="A5" s="255"/>
      <c r="B5" s="255"/>
      <c r="C5" s="255"/>
      <c r="D5" s="255"/>
      <c r="E5" s="255"/>
      <c r="F5" s="255"/>
      <c r="G5" s="255"/>
      <c r="H5" s="255"/>
      <c r="I5" s="255"/>
      <c r="J5" s="255"/>
      <c r="K5" s="255"/>
      <c r="L5" s="84"/>
    </row>
    <row r="6" spans="1:12" ht="11.25" customHeight="1">
      <c r="A6" s="255"/>
      <c r="B6" s="255"/>
      <c r="C6" s="255"/>
      <c r="D6" s="255"/>
      <c r="E6" s="255"/>
      <c r="F6" s="255"/>
      <c r="G6" s="255"/>
      <c r="H6" s="255"/>
      <c r="I6" s="255"/>
      <c r="J6" s="255"/>
      <c r="K6" s="255"/>
      <c r="L6" s="84"/>
    </row>
    <row r="7" spans="1:12" ht="11.25" customHeight="1">
      <c r="A7" s="255"/>
      <c r="B7" s="256"/>
      <c r="C7" s="255"/>
      <c r="D7" s="255"/>
      <c r="E7" s="255"/>
      <c r="F7" s="255"/>
      <c r="G7" s="255"/>
      <c r="H7" s="255"/>
      <c r="I7" s="255"/>
      <c r="J7" s="255"/>
      <c r="K7" s="255"/>
      <c r="L7" s="84"/>
    </row>
    <row r="8" spans="1:12" ht="11.25" customHeight="1">
      <c r="A8" s="255"/>
      <c r="B8" s="256"/>
      <c r="C8" s="255"/>
      <c r="D8" s="255"/>
      <c r="E8" s="255"/>
      <c r="F8" s="255"/>
      <c r="G8" s="255"/>
      <c r="H8" s="255"/>
      <c r="I8" s="255"/>
      <c r="J8" s="255"/>
      <c r="K8" s="255"/>
      <c r="L8" s="84"/>
    </row>
    <row r="9" spans="1:12" ht="11.25" customHeight="1">
      <c r="A9" s="255"/>
      <c r="B9" s="256"/>
      <c r="C9" s="255"/>
      <c r="D9" s="255"/>
      <c r="E9" s="255"/>
      <c r="F9" s="255"/>
      <c r="G9" s="255"/>
      <c r="H9" s="255"/>
      <c r="I9" s="255"/>
      <c r="J9" s="255"/>
      <c r="K9" s="255"/>
      <c r="L9" s="84"/>
    </row>
    <row r="10" spans="1:12" ht="11.25" customHeight="1">
      <c r="A10" s="255"/>
      <c r="B10" s="255"/>
      <c r="C10" s="255"/>
      <c r="D10" s="255"/>
      <c r="E10" s="255"/>
      <c r="F10" s="255"/>
      <c r="G10" s="255"/>
      <c r="H10" s="255"/>
      <c r="I10" s="255"/>
      <c r="J10" s="255"/>
      <c r="K10" s="255"/>
      <c r="L10" s="84"/>
    </row>
    <row r="11" spans="1:12" ht="11.25" customHeight="1">
      <c r="A11" s="255"/>
      <c r="B11" s="255"/>
      <c r="C11" s="255"/>
      <c r="D11" s="255"/>
      <c r="E11" s="255"/>
      <c r="F11" s="255"/>
      <c r="G11" s="255"/>
      <c r="H11" s="255"/>
      <c r="I11" s="255"/>
      <c r="J11" s="255"/>
      <c r="K11" s="255"/>
      <c r="L11" s="84"/>
    </row>
    <row r="12" spans="1:12" ht="11.25" customHeight="1">
      <c r="A12" s="255"/>
      <c r="B12" s="255"/>
      <c r="C12" s="255"/>
      <c r="D12" s="255"/>
      <c r="E12" s="255"/>
      <c r="F12" s="255"/>
      <c r="G12" s="255"/>
      <c r="H12" s="255"/>
      <c r="I12" s="255"/>
      <c r="J12" s="255"/>
      <c r="K12" s="255"/>
      <c r="L12" s="84"/>
    </row>
    <row r="13" spans="1:12" ht="11.25" customHeight="1">
      <c r="A13" s="255"/>
      <c r="B13" s="255"/>
      <c r="C13" s="255"/>
      <c r="D13" s="255"/>
      <c r="E13" s="255"/>
      <c r="F13" s="255"/>
      <c r="G13" s="255"/>
      <c r="H13" s="255"/>
      <c r="I13" s="255"/>
      <c r="J13" s="255"/>
      <c r="K13" s="255"/>
      <c r="L13" s="84"/>
    </row>
    <row r="14" spans="1:12" ht="11.25" customHeight="1">
      <c r="A14" s="255"/>
      <c r="B14" s="255"/>
      <c r="C14" s="255"/>
      <c r="D14" s="255"/>
      <c r="E14" s="255"/>
      <c r="F14" s="255"/>
      <c r="G14" s="255"/>
      <c r="H14" s="255"/>
      <c r="I14" s="255"/>
      <c r="J14" s="255"/>
      <c r="K14" s="255"/>
      <c r="L14" s="84"/>
    </row>
    <row r="15" spans="1:12" ht="11.25" customHeight="1">
      <c r="A15" s="255"/>
      <c r="B15" s="255"/>
      <c r="C15" s="255"/>
      <c r="D15" s="255"/>
      <c r="E15" s="255"/>
      <c r="F15" s="255"/>
      <c r="G15" s="255"/>
      <c r="H15" s="255"/>
      <c r="I15" s="255"/>
      <c r="J15" s="255"/>
      <c r="K15" s="255"/>
      <c r="L15" s="84"/>
    </row>
    <row r="16" spans="1:12" ht="11.25" customHeight="1">
      <c r="A16" s="255"/>
      <c r="B16" s="255"/>
      <c r="C16" s="255"/>
      <c r="D16" s="255"/>
      <c r="E16" s="255"/>
      <c r="F16" s="255"/>
      <c r="G16" s="255"/>
      <c r="H16" s="255"/>
      <c r="I16" s="255"/>
      <c r="J16" s="255"/>
      <c r="K16" s="255"/>
      <c r="L16" s="84"/>
    </row>
    <row r="17" spans="1:12" ht="11.25" customHeight="1">
      <c r="A17" s="255"/>
      <c r="B17" s="255"/>
      <c r="C17" s="255"/>
      <c r="D17" s="255"/>
      <c r="E17" s="255"/>
      <c r="F17" s="255"/>
      <c r="G17" s="255"/>
      <c r="H17" s="255"/>
      <c r="I17" s="255"/>
      <c r="J17" s="255"/>
      <c r="K17" s="255"/>
      <c r="L17" s="84"/>
    </row>
    <row r="18" spans="1:12" ht="11.25" customHeight="1">
      <c r="A18" s="255"/>
      <c r="B18" s="255"/>
      <c r="C18" s="255"/>
      <c r="D18" s="255"/>
      <c r="E18" s="255"/>
      <c r="F18" s="255"/>
      <c r="G18" s="255"/>
      <c r="H18" s="255"/>
      <c r="I18" s="255"/>
      <c r="J18" s="255"/>
      <c r="K18" s="255"/>
      <c r="L18" s="266"/>
    </row>
    <row r="19" spans="1:12" ht="11.25" customHeight="1">
      <c r="A19" s="255"/>
      <c r="B19" s="255"/>
      <c r="C19" s="255"/>
      <c r="D19" s="255"/>
      <c r="E19" s="255"/>
      <c r="F19" s="255"/>
      <c r="G19" s="255"/>
      <c r="H19" s="255"/>
      <c r="I19" s="255"/>
      <c r="J19" s="255"/>
      <c r="K19" s="255"/>
      <c r="L19" s="266"/>
    </row>
    <row r="20" spans="1:12" ht="11.25" customHeight="1">
      <c r="A20" s="255"/>
      <c r="B20" s="255"/>
      <c r="C20" s="255"/>
      <c r="D20" s="255"/>
      <c r="E20" s="255"/>
      <c r="F20" s="255"/>
      <c r="G20" s="255"/>
      <c r="H20" s="255"/>
      <c r="I20" s="255"/>
      <c r="J20" s="255"/>
      <c r="K20" s="255"/>
      <c r="L20" s="266"/>
    </row>
    <row r="21" spans="1:12" ht="11.25" customHeight="1">
      <c r="A21" s="255"/>
      <c r="B21" s="255"/>
      <c r="C21" s="255"/>
      <c r="D21" s="255"/>
      <c r="E21" s="255"/>
      <c r="F21" s="255"/>
      <c r="G21" s="255"/>
      <c r="H21" s="255"/>
      <c r="I21" s="255"/>
      <c r="J21" s="255"/>
      <c r="K21" s="255"/>
      <c r="L21" s="266"/>
    </row>
    <row r="22" spans="1:12" ht="11.25" customHeight="1">
      <c r="A22" s="255"/>
      <c r="B22" s="255"/>
      <c r="C22" s="255"/>
      <c r="D22" s="255"/>
      <c r="E22" s="255"/>
      <c r="F22" s="255"/>
      <c r="G22" s="255"/>
      <c r="H22" s="255"/>
      <c r="I22" s="255"/>
      <c r="J22" s="255"/>
      <c r="K22" s="255"/>
      <c r="L22" s="266"/>
    </row>
    <row r="23" spans="1:12" ht="11.25" customHeight="1">
      <c r="A23" s="255"/>
      <c r="B23" s="255"/>
      <c r="C23" s="255"/>
      <c r="D23" s="255"/>
      <c r="E23" s="255"/>
      <c r="F23" s="255"/>
      <c r="G23" s="255"/>
      <c r="H23" s="255"/>
      <c r="I23" s="255"/>
      <c r="J23" s="255"/>
      <c r="K23" s="255"/>
      <c r="L23" s="266"/>
    </row>
    <row r="24" spans="1:12" ht="11.25" customHeight="1">
      <c r="A24" s="255"/>
      <c r="B24" s="255"/>
      <c r="C24" s="255"/>
      <c r="D24" s="255"/>
      <c r="E24" s="255"/>
      <c r="F24" s="255"/>
      <c r="G24" s="255"/>
      <c r="H24" s="255"/>
      <c r="I24" s="255"/>
      <c r="J24" s="255"/>
      <c r="K24" s="255"/>
      <c r="L24" s="266"/>
    </row>
    <row r="25" spans="1:12" ht="11.25" customHeight="1">
      <c r="A25" s="255"/>
      <c r="B25" s="255"/>
      <c r="C25" s="255"/>
      <c r="D25" s="255"/>
      <c r="E25" s="255"/>
      <c r="F25" s="255"/>
      <c r="G25" s="255"/>
      <c r="H25" s="255"/>
      <c r="I25" s="255"/>
      <c r="J25" s="255"/>
      <c r="K25" s="255"/>
      <c r="L25" s="266"/>
    </row>
    <row r="26" spans="1:12" ht="11.25" customHeight="1">
      <c r="A26" s="255"/>
      <c r="B26" s="255"/>
      <c r="C26" s="255"/>
      <c r="D26" s="255"/>
      <c r="E26" s="255"/>
      <c r="F26" s="255"/>
      <c r="G26" s="255"/>
      <c r="H26" s="255"/>
      <c r="I26" s="255"/>
      <c r="J26" s="255"/>
      <c r="K26" s="255"/>
      <c r="L26" s="266"/>
    </row>
    <row r="27" spans="1:12" ht="11.25" customHeight="1">
      <c r="A27" s="255"/>
      <c r="B27" s="255"/>
      <c r="C27" s="255"/>
      <c r="D27" s="255"/>
      <c r="E27" s="255"/>
      <c r="F27" s="255"/>
      <c r="G27" s="255"/>
      <c r="H27" s="255"/>
      <c r="I27" s="255"/>
      <c r="J27" s="255"/>
      <c r="K27" s="255"/>
      <c r="L27" s="266"/>
    </row>
    <row r="28" spans="1:12" ht="11.25" customHeight="1">
      <c r="A28" s="255"/>
      <c r="B28" s="255"/>
      <c r="C28" s="255"/>
      <c r="D28" s="255"/>
      <c r="E28" s="255"/>
      <c r="F28" s="255"/>
      <c r="G28" s="255"/>
      <c r="H28" s="255"/>
      <c r="I28" s="255"/>
      <c r="J28" s="255"/>
      <c r="K28" s="255"/>
      <c r="L28" s="266"/>
    </row>
    <row r="29" spans="1:12" ht="11.25" customHeight="1">
      <c r="A29" s="255"/>
      <c r="B29" s="255"/>
      <c r="C29" s="255"/>
      <c r="D29" s="255"/>
      <c r="E29" s="255"/>
      <c r="F29" s="255"/>
      <c r="G29" s="255"/>
      <c r="H29" s="255"/>
      <c r="I29" s="255"/>
      <c r="J29" s="255"/>
      <c r="K29" s="255"/>
      <c r="L29" s="266"/>
    </row>
    <row r="30" spans="1:12" ht="11.25" customHeight="1">
      <c r="A30" s="255"/>
      <c r="B30" s="255"/>
      <c r="C30" s="255"/>
      <c r="D30" s="255"/>
      <c r="E30" s="255"/>
      <c r="F30" s="255"/>
      <c r="G30" s="255"/>
      <c r="H30" s="255"/>
      <c r="I30" s="255"/>
      <c r="J30" s="255"/>
      <c r="K30" s="255"/>
      <c r="L30" s="266"/>
    </row>
    <row r="31" spans="1:12" ht="11.25" customHeight="1">
      <c r="A31" s="255"/>
      <c r="B31" s="255"/>
      <c r="C31" s="255"/>
      <c r="D31" s="255"/>
      <c r="E31" s="255"/>
      <c r="F31" s="255"/>
      <c r="G31" s="255"/>
      <c r="H31" s="255"/>
      <c r="I31" s="255"/>
      <c r="J31" s="255"/>
      <c r="K31" s="255"/>
      <c r="L31" s="266"/>
    </row>
    <row r="32" spans="1:12" ht="11.25" customHeight="1">
      <c r="A32" s="255"/>
      <c r="B32" s="255"/>
      <c r="C32" s="255"/>
      <c r="D32" s="255"/>
      <c r="E32" s="255"/>
      <c r="F32" s="255"/>
      <c r="G32" s="255"/>
      <c r="H32" s="255"/>
      <c r="I32" s="255"/>
      <c r="J32" s="255"/>
      <c r="K32" s="255"/>
      <c r="L32" s="91"/>
    </row>
    <row r="33" spans="1:12" ht="11.25" customHeight="1">
      <c r="A33" s="255"/>
      <c r="B33" s="255"/>
      <c r="C33" s="255"/>
      <c r="D33" s="255"/>
      <c r="E33" s="255"/>
      <c r="F33" s="255"/>
      <c r="G33" s="255"/>
      <c r="H33" s="255"/>
      <c r="I33" s="255"/>
      <c r="J33" s="255"/>
      <c r="K33" s="255"/>
      <c r="L33" s="91"/>
    </row>
    <row r="34" spans="1:12" ht="11.25" customHeight="1">
      <c r="A34" s="255"/>
      <c r="B34" s="255"/>
      <c r="C34" s="255"/>
      <c r="D34" s="255"/>
      <c r="E34" s="255"/>
      <c r="F34" s="255"/>
      <c r="G34" s="255"/>
      <c r="H34" s="255"/>
      <c r="I34" s="255"/>
      <c r="J34" s="255"/>
      <c r="K34" s="255"/>
      <c r="L34" s="91"/>
    </row>
    <row r="35" spans="1:12" ht="11.25" customHeight="1">
      <c r="A35" s="255"/>
      <c r="B35" s="255"/>
      <c r="C35" s="255"/>
      <c r="D35" s="255"/>
      <c r="E35" s="255"/>
      <c r="F35" s="255"/>
      <c r="G35" s="255"/>
      <c r="H35" s="255"/>
      <c r="I35" s="255"/>
      <c r="J35" s="255"/>
      <c r="K35" s="255"/>
      <c r="L35" s="91"/>
    </row>
    <row r="36" spans="1:12" ht="11.25" customHeight="1">
      <c r="A36" s="255"/>
      <c r="B36" s="255"/>
      <c r="C36" s="255"/>
      <c r="D36" s="255"/>
      <c r="E36" s="255"/>
      <c r="F36" s="255"/>
      <c r="G36" s="255"/>
      <c r="H36" s="255"/>
      <c r="I36" s="255"/>
      <c r="J36" s="255"/>
      <c r="K36" s="255"/>
      <c r="L36" s="91"/>
    </row>
    <row r="37" spans="1:12" ht="11.25" customHeight="1">
      <c r="A37" s="255"/>
      <c r="B37" s="255"/>
      <c r="C37" s="255"/>
      <c r="D37" s="255"/>
      <c r="E37" s="255"/>
      <c r="F37" s="255"/>
      <c r="G37" s="255"/>
      <c r="H37" s="255"/>
      <c r="I37" s="255"/>
      <c r="J37" s="255"/>
      <c r="K37" s="255"/>
      <c r="L37" s="91"/>
    </row>
    <row r="38" spans="1:12" ht="11.25" customHeight="1">
      <c r="A38" s="255"/>
      <c r="B38" s="255"/>
      <c r="C38" s="255"/>
      <c r="D38" s="255"/>
      <c r="E38" s="255"/>
      <c r="F38" s="255"/>
      <c r="G38" s="255"/>
      <c r="H38" s="255"/>
      <c r="I38" s="255"/>
      <c r="J38" s="255"/>
      <c r="K38" s="255"/>
      <c r="L38" s="91"/>
    </row>
    <row r="39" spans="1:12" ht="11.25" customHeight="1">
      <c r="A39" s="255"/>
      <c r="B39" s="255"/>
      <c r="C39" s="255"/>
      <c r="D39" s="255"/>
      <c r="E39" s="255"/>
      <c r="F39" s="255"/>
      <c r="G39" s="255"/>
      <c r="H39" s="255"/>
      <c r="I39" s="255"/>
      <c r="J39" s="255"/>
      <c r="K39" s="255"/>
      <c r="L39" s="91"/>
    </row>
    <row r="40" spans="1:12" ht="11.25" customHeight="1">
      <c r="A40" s="255"/>
      <c r="B40" s="255"/>
      <c r="C40" s="255"/>
      <c r="D40" s="255"/>
      <c r="E40" s="255"/>
      <c r="F40" s="255"/>
      <c r="G40" s="255"/>
      <c r="H40" s="255"/>
      <c r="I40" s="255"/>
      <c r="J40" s="255"/>
      <c r="K40" s="255"/>
      <c r="L40" s="91"/>
    </row>
    <row r="41" spans="1:12" ht="11.25" customHeight="1">
      <c r="A41" s="255"/>
      <c r="B41" s="255"/>
      <c r="C41" s="255"/>
      <c r="D41" s="255"/>
      <c r="E41" s="255"/>
      <c r="F41" s="255"/>
      <c r="G41" s="255"/>
      <c r="H41" s="255"/>
      <c r="I41" s="255"/>
      <c r="J41" s="255"/>
      <c r="K41" s="255"/>
      <c r="L41" s="91"/>
    </row>
    <row r="42" spans="1:12" ht="11.25" customHeight="1">
      <c r="A42" s="255"/>
      <c r="B42" s="255"/>
      <c r="C42" s="255"/>
      <c r="D42" s="255"/>
      <c r="E42" s="255"/>
      <c r="F42" s="255"/>
      <c r="G42" s="255"/>
      <c r="H42" s="255"/>
      <c r="I42" s="255"/>
      <c r="J42" s="255"/>
      <c r="K42" s="255"/>
      <c r="L42" s="91"/>
    </row>
    <row r="43" spans="1:12" ht="11.25" customHeight="1">
      <c r="A43" s="255"/>
      <c r="B43" s="255"/>
      <c r="C43" s="255"/>
      <c r="D43" s="255"/>
      <c r="E43" s="255"/>
      <c r="F43" s="255"/>
      <c r="G43" s="255"/>
      <c r="H43" s="255"/>
      <c r="I43" s="255"/>
      <c r="J43" s="255"/>
      <c r="K43" s="255"/>
      <c r="L43" s="91"/>
    </row>
    <row r="44" spans="1:12" ht="11.25" customHeight="1">
      <c r="A44" s="92"/>
      <c r="B44" s="92"/>
      <c r="C44" s="92"/>
      <c r="D44" s="92"/>
      <c r="E44" s="92"/>
      <c r="F44" s="92"/>
      <c r="G44" s="92"/>
      <c r="H44" s="92"/>
      <c r="I44" s="92"/>
      <c r="J44" s="92"/>
      <c r="K44" s="255"/>
      <c r="L44" s="91"/>
    </row>
    <row r="45" spans="1:12" ht="11.25" customHeight="1">
      <c r="A45" s="92"/>
      <c r="B45" s="92"/>
      <c r="C45" s="92"/>
      <c r="D45" s="92"/>
      <c r="E45" s="92"/>
      <c r="F45" s="92"/>
      <c r="G45" s="92"/>
      <c r="H45" s="92"/>
      <c r="I45" s="92"/>
      <c r="J45" s="92"/>
      <c r="K45" s="255"/>
      <c r="L45" s="91"/>
    </row>
    <row r="46" spans="1:12" ht="11.25" customHeight="1">
      <c r="A46" s="92"/>
      <c r="B46" s="92"/>
      <c r="C46" s="92"/>
      <c r="D46" s="92"/>
      <c r="E46" s="92"/>
      <c r="F46" s="92"/>
      <c r="G46" s="92"/>
      <c r="H46" s="92"/>
      <c r="I46" s="92"/>
      <c r="J46" s="92"/>
      <c r="K46" s="255"/>
      <c r="L46" s="91"/>
    </row>
    <row r="47" spans="1:12" ht="11.25" customHeight="1">
      <c r="A47" s="92"/>
      <c r="B47" s="92"/>
      <c r="C47" s="92"/>
      <c r="D47" s="92"/>
      <c r="E47" s="92"/>
      <c r="F47" s="92"/>
      <c r="G47" s="92"/>
      <c r="H47" s="92"/>
      <c r="I47" s="92"/>
      <c r="J47" s="92"/>
      <c r="K47" s="255"/>
      <c r="L47" s="91"/>
    </row>
    <row r="48" spans="1:12" ht="11.25" customHeight="1">
      <c r="A48" s="92"/>
      <c r="B48" s="92"/>
      <c r="C48" s="92"/>
      <c r="D48" s="92"/>
      <c r="E48" s="92"/>
      <c r="F48" s="92"/>
      <c r="G48" s="92"/>
      <c r="H48" s="92"/>
      <c r="I48" s="92"/>
      <c r="J48" s="92"/>
      <c r="K48" s="255"/>
      <c r="L48" s="91"/>
    </row>
    <row r="49" spans="1:12" ht="11.25" customHeight="1">
      <c r="A49" s="92"/>
      <c r="B49" s="92"/>
      <c r="C49" s="92"/>
      <c r="D49" s="92"/>
      <c r="E49" s="92"/>
      <c r="F49" s="92"/>
      <c r="G49" s="92"/>
      <c r="H49" s="92"/>
      <c r="I49" s="92"/>
      <c r="J49" s="92"/>
      <c r="K49" s="255"/>
      <c r="L49" s="91"/>
    </row>
    <row r="50" spans="1:12" ht="12.75">
      <c r="A50" s="92"/>
      <c r="B50" s="92"/>
      <c r="C50" s="92"/>
      <c r="D50" s="92"/>
      <c r="E50" s="92"/>
      <c r="F50" s="92"/>
      <c r="G50" s="92"/>
      <c r="H50" s="92"/>
      <c r="I50" s="92"/>
      <c r="J50" s="92"/>
      <c r="K50" s="255"/>
      <c r="L50" s="91"/>
    </row>
    <row r="51" spans="1:12" ht="12.75">
      <c r="A51" s="92"/>
      <c r="B51" s="92"/>
      <c r="C51" s="92"/>
      <c r="D51" s="92"/>
      <c r="E51" s="92"/>
      <c r="F51" s="92"/>
      <c r="G51" s="92"/>
      <c r="H51" s="92"/>
      <c r="I51" s="92"/>
      <c r="J51" s="92"/>
      <c r="K51" s="255"/>
      <c r="L51" s="91"/>
    </row>
    <row r="52" spans="1:12" ht="12.75">
      <c r="A52" s="92"/>
      <c r="B52" s="92"/>
      <c r="C52" s="92"/>
      <c r="D52" s="92"/>
      <c r="E52" s="92"/>
      <c r="F52" s="92"/>
      <c r="G52" s="92"/>
      <c r="H52" s="92"/>
      <c r="I52" s="92"/>
      <c r="J52" s="92"/>
      <c r="K52" s="255"/>
      <c r="L52" s="91"/>
    </row>
    <row r="53" spans="1:12" ht="12.75">
      <c r="A53" s="92"/>
      <c r="B53" s="92"/>
      <c r="C53" s="92"/>
      <c r="D53" s="92"/>
      <c r="E53" s="92"/>
      <c r="F53" s="92"/>
      <c r="G53" s="92"/>
      <c r="H53" s="92"/>
      <c r="I53" s="92"/>
      <c r="J53" s="92"/>
      <c r="K53" s="255"/>
      <c r="L53" s="91"/>
    </row>
    <row r="54" spans="1:12" ht="12.75">
      <c r="A54" s="92"/>
      <c r="B54" s="92"/>
      <c r="C54" s="92"/>
      <c r="D54" s="92"/>
      <c r="E54" s="92"/>
      <c r="F54" s="92"/>
      <c r="G54" s="92"/>
      <c r="H54" s="92"/>
      <c r="I54" s="92"/>
      <c r="J54" s="92"/>
      <c r="K54" s="255"/>
      <c r="L54" s="91"/>
    </row>
    <row r="55" spans="1:12" ht="12.75">
      <c r="A55" s="92"/>
      <c r="B55" s="92"/>
      <c r="C55" s="92"/>
      <c r="D55" s="92"/>
      <c r="E55" s="92"/>
      <c r="F55" s="92"/>
      <c r="G55" s="92"/>
      <c r="H55" s="92"/>
      <c r="I55" s="92"/>
      <c r="J55" s="92"/>
      <c r="K55" s="255"/>
      <c r="L55" s="91"/>
    </row>
    <row r="56" spans="1:12" ht="12.75">
      <c r="A56" s="92"/>
      <c r="B56" s="92"/>
      <c r="C56" s="92"/>
      <c r="D56" s="92"/>
      <c r="E56" s="92"/>
      <c r="F56" s="92"/>
      <c r="G56" s="92"/>
      <c r="H56" s="92"/>
      <c r="I56" s="92"/>
      <c r="J56" s="92"/>
      <c r="K56" s="255"/>
      <c r="L56" s="91"/>
    </row>
    <row r="57" spans="1:12" ht="12.75">
      <c r="A57" s="92"/>
      <c r="B57" s="92"/>
      <c r="C57" s="92"/>
      <c r="D57" s="92"/>
      <c r="E57" s="92"/>
      <c r="F57" s="92"/>
      <c r="G57" s="92"/>
      <c r="H57" s="92"/>
      <c r="I57" s="92"/>
      <c r="J57" s="92"/>
      <c r="K57" s="255"/>
      <c r="L57" s="91"/>
    </row>
    <row r="58" spans="1:12" ht="12.75">
      <c r="A58" s="92"/>
      <c r="B58" s="92"/>
      <c r="C58" s="92"/>
      <c r="D58" s="92"/>
      <c r="E58" s="92"/>
      <c r="F58" s="92"/>
      <c r="G58" s="92"/>
      <c r="H58" s="92"/>
      <c r="I58" s="92"/>
      <c r="J58" s="92"/>
      <c r="K58" s="255"/>
      <c r="L58" s="91"/>
    </row>
    <row r="59" spans="1:12" ht="12.75">
      <c r="A59" s="92"/>
      <c r="B59" s="92"/>
      <c r="C59" s="92"/>
      <c r="D59" s="92"/>
      <c r="E59" s="92"/>
      <c r="F59" s="92"/>
      <c r="G59" s="92"/>
      <c r="H59" s="92"/>
      <c r="I59" s="92"/>
      <c r="J59" s="92"/>
      <c r="K59" s="255"/>
      <c r="L59" s="91"/>
    </row>
    <row r="60" spans="1:12" ht="12.75">
      <c r="A60" s="92"/>
      <c r="B60" s="92"/>
      <c r="C60" s="92"/>
      <c r="D60" s="92"/>
      <c r="E60" s="92"/>
      <c r="F60" s="92"/>
      <c r="G60" s="92"/>
      <c r="H60" s="92"/>
      <c r="I60" s="92"/>
      <c r="J60" s="92"/>
      <c r="K60" s="255"/>
      <c r="L60" s="91"/>
    </row>
    <row r="61" spans="1:12" ht="12.75">
      <c r="A61" s="92"/>
      <c r="B61" s="92"/>
      <c r="C61" s="92"/>
      <c r="D61" s="92"/>
      <c r="E61" s="92"/>
      <c r="F61" s="92"/>
      <c r="G61" s="92"/>
      <c r="H61" s="92"/>
      <c r="I61" s="92"/>
      <c r="J61" s="92"/>
      <c r="K61" s="255"/>
      <c r="L61" s="91"/>
    </row>
    <row r="62" spans="1:12" ht="12.75">
      <c r="A62" s="92"/>
      <c r="B62" s="92"/>
      <c r="C62" s="92"/>
      <c r="D62" s="92"/>
      <c r="E62" s="92"/>
      <c r="F62" s="92"/>
      <c r="G62" s="92"/>
      <c r="H62" s="92"/>
      <c r="I62" s="92"/>
      <c r="J62" s="92"/>
      <c r="K62" s="255"/>
      <c r="L62" s="91"/>
    </row>
    <row r="63" spans="1:12" ht="12.75">
      <c r="A63" s="92"/>
      <c r="B63" s="92"/>
      <c r="C63" s="92"/>
      <c r="D63" s="92"/>
      <c r="E63" s="92"/>
      <c r="F63" s="92"/>
      <c r="G63" s="92"/>
      <c r="H63" s="92"/>
      <c r="I63" s="92"/>
      <c r="J63" s="92"/>
      <c r="K63" s="255"/>
      <c r="L63" s="91"/>
    </row>
    <row r="64" spans="1:12" ht="12.75">
      <c r="A64" s="92"/>
      <c r="B64" s="92"/>
      <c r="C64" s="92"/>
      <c r="D64" s="92"/>
      <c r="E64" s="92"/>
      <c r="F64" s="92"/>
      <c r="G64" s="92"/>
      <c r="H64" s="92"/>
      <c r="I64" s="92"/>
      <c r="J64" s="92"/>
      <c r="K64" s="255"/>
      <c r="L64" s="91"/>
    </row>
    <row r="65" spans="1:12" ht="12.75">
      <c r="A65" s="92"/>
      <c r="B65" s="92"/>
      <c r="C65" s="92"/>
      <c r="D65" s="92"/>
      <c r="E65" s="92"/>
      <c r="F65" s="92"/>
      <c r="G65" s="92"/>
      <c r="H65" s="92"/>
      <c r="I65" s="92"/>
      <c r="J65" s="92"/>
      <c r="K65" s="255"/>
      <c r="L65" s="91"/>
    </row>
    <row r="66" spans="1:12" ht="12.75">
      <c r="A66" s="92"/>
      <c r="B66" s="92"/>
      <c r="C66" s="92"/>
      <c r="D66" s="92"/>
      <c r="E66" s="92"/>
      <c r="F66" s="92"/>
      <c r="G66" s="92"/>
      <c r="H66" s="92"/>
      <c r="I66" s="92"/>
      <c r="J66" s="92"/>
      <c r="K66" s="255"/>
      <c r="L66" s="91"/>
    </row>
    <row r="67" spans="1:12" ht="12.75">
      <c r="A67" s="92"/>
      <c r="B67" s="92"/>
      <c r="C67" s="92"/>
      <c r="D67" s="92"/>
      <c r="E67" s="92"/>
      <c r="F67" s="92"/>
      <c r="G67" s="92"/>
      <c r="H67" s="92"/>
      <c r="I67" s="92"/>
      <c r="J67" s="92"/>
      <c r="K67" s="255"/>
      <c r="L67" s="91"/>
    </row>
    <row r="68" spans="1:12" ht="12.75">
      <c r="A68" s="92"/>
      <c r="B68" s="92"/>
      <c r="C68" s="92"/>
      <c r="D68" s="92"/>
      <c r="E68" s="92"/>
      <c r="F68" s="92"/>
      <c r="G68" s="92"/>
      <c r="H68" s="92"/>
      <c r="I68" s="92"/>
      <c r="J68" s="92"/>
      <c r="K68" s="255"/>
      <c r="L68" s="91"/>
    </row>
    <row r="69" spans="1:12" ht="12.75">
      <c r="A69" s="92"/>
      <c r="B69" s="92"/>
      <c r="C69" s="92"/>
      <c r="D69" s="92"/>
      <c r="E69" s="92"/>
      <c r="F69" s="92"/>
      <c r="G69" s="92"/>
      <c r="H69" s="92"/>
      <c r="I69" s="92"/>
      <c r="J69" s="92"/>
      <c r="K69" s="255"/>
      <c r="L69" s="91"/>
    </row>
    <row r="70" spans="1:12" ht="12.75">
      <c r="A70" s="267"/>
      <c r="B70" s="267"/>
      <c r="C70" s="267"/>
      <c r="D70" s="267"/>
      <c r="E70" s="267"/>
      <c r="F70" s="267"/>
      <c r="G70" s="267"/>
      <c r="H70" s="267"/>
      <c r="I70" s="267"/>
      <c r="J70" s="267"/>
      <c r="K70" s="255"/>
      <c r="L70" s="91"/>
    </row>
    <row r="71" spans="1:12" ht="12.75">
      <c r="A71" s="92"/>
      <c r="B71" s="91"/>
      <c r="C71" s="91"/>
      <c r="D71" s="91"/>
      <c r="E71" s="91"/>
      <c r="F71" s="91"/>
      <c r="G71" s="91"/>
      <c r="H71" s="91"/>
      <c r="I71" s="91"/>
      <c r="J71" s="91"/>
      <c r="K71" s="255"/>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Mayo 2018
INFSGI-MES-05-2018
07/06/2018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4"/>
  <sheetViews>
    <sheetView showGridLines="0" view="pageBreakPreview" zoomScale="115" zoomScaleNormal="100" zoomScaleSheetLayoutView="115" zoomScalePageLayoutView="115" workbookViewId="0">
      <selection activeCell="Q26" sqref="Q26"/>
    </sheetView>
  </sheetViews>
  <sheetFormatPr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45" t="s">
        <v>515</v>
      </c>
      <c r="B2" s="945"/>
      <c r="C2" s="945"/>
      <c r="D2" s="945"/>
      <c r="E2" s="945"/>
      <c r="F2" s="945"/>
      <c r="G2" s="945"/>
      <c r="H2" s="945"/>
      <c r="I2" s="279"/>
      <c r="J2" s="279"/>
      <c r="K2" s="279"/>
    </row>
    <row r="3" spans="1:12" ht="11.25" customHeight="1">
      <c r="A3" s="97"/>
      <c r="B3" s="97"/>
      <c r="C3" s="97"/>
      <c r="D3" s="97"/>
      <c r="E3" s="97"/>
      <c r="F3" s="97"/>
      <c r="G3" s="97"/>
      <c r="H3" s="97"/>
      <c r="I3" s="280"/>
      <c r="J3" s="280"/>
      <c r="K3" s="280"/>
      <c r="L3" s="269"/>
    </row>
    <row r="4" spans="1:12" ht="11.25" customHeight="1">
      <c r="A4" s="935" t="s">
        <v>517</v>
      </c>
      <c r="B4" s="935"/>
      <c r="C4" s="935"/>
      <c r="D4" s="935"/>
      <c r="E4" s="935"/>
      <c r="F4" s="935"/>
      <c r="G4" s="935"/>
      <c r="H4" s="935"/>
      <c r="I4" s="270"/>
      <c r="J4" s="270"/>
      <c r="K4" s="270"/>
      <c r="L4" s="269"/>
    </row>
    <row r="5" spans="1:12" ht="11.25" customHeight="1">
      <c r="A5" s="97"/>
      <c r="B5" s="208"/>
      <c r="C5" s="98"/>
      <c r="D5" s="99"/>
      <c r="E5" s="99"/>
      <c r="F5" s="100"/>
      <c r="G5" s="96"/>
      <c r="H5" s="96"/>
      <c r="I5" s="271"/>
      <c r="J5" s="271"/>
      <c r="K5" s="271"/>
      <c r="L5" s="281"/>
    </row>
    <row r="6" spans="1:12" ht="30.75" customHeight="1">
      <c r="A6" s="286" t="s">
        <v>199</v>
      </c>
      <c r="B6" s="287" t="s">
        <v>200</v>
      </c>
      <c r="C6" s="287" t="s">
        <v>201</v>
      </c>
      <c r="D6" s="429" t="str">
        <f>UPPER('1. Resumen'!Q4)&amp;"
 "&amp;'1. Resumen'!Q5</f>
        <v>MAYO
 2018</v>
      </c>
      <c r="E6" s="429" t="str">
        <f>UPPER('1. Resumen'!Q4)&amp;"
 "&amp;'1. Resumen'!Q5-1</f>
        <v>MAYO
 2017</v>
      </c>
      <c r="F6" s="429" t="str">
        <f>UPPER('1. Resumen'!Q4)&amp;"
 "&amp;'1. Resumen'!Q5-2</f>
        <v>MAYO
 2016</v>
      </c>
      <c r="G6" s="287" t="s">
        <v>530</v>
      </c>
      <c r="H6" s="430" t="s">
        <v>202</v>
      </c>
      <c r="I6" s="271"/>
      <c r="J6" s="271"/>
      <c r="K6" s="271"/>
      <c r="L6" s="210"/>
    </row>
    <row r="7" spans="1:12" ht="22.5">
      <c r="A7" s="436" t="s">
        <v>203</v>
      </c>
      <c r="B7" s="425" t="s">
        <v>720</v>
      </c>
      <c r="C7" s="808" t="s">
        <v>719</v>
      </c>
      <c r="D7" s="288"/>
      <c r="E7" s="288">
        <v>664.63333333333344</v>
      </c>
      <c r="F7" s="288">
        <v>309.91666666666669</v>
      </c>
      <c r="G7" s="431">
        <f>+D7/E7-1</f>
        <v>-1</v>
      </c>
      <c r="H7" s="431">
        <f>+E7/F7-1</f>
        <v>1.1445549878999732</v>
      </c>
      <c r="I7" s="271"/>
      <c r="J7" s="271"/>
      <c r="K7" s="271"/>
      <c r="L7" s="74"/>
    </row>
    <row r="8" spans="1:12" ht="12.75">
      <c r="A8" s="946" t="s">
        <v>204</v>
      </c>
      <c r="B8" s="426" t="s">
        <v>205</v>
      </c>
      <c r="C8" s="808" t="s">
        <v>708</v>
      </c>
      <c r="D8" s="289"/>
      <c r="E8" s="289">
        <v>25.866666666666667</v>
      </c>
      <c r="F8" s="289">
        <v>431.30000000000007</v>
      </c>
      <c r="G8" s="431">
        <f>+D8/E8-1</f>
        <v>-1</v>
      </c>
      <c r="H8" s="431">
        <f>+E8/F8-1</f>
        <v>-0.94002627714661102</v>
      </c>
      <c r="I8" s="271"/>
      <c r="J8" s="271"/>
      <c r="K8" s="271"/>
      <c r="L8" s="209"/>
    </row>
    <row r="9" spans="1:12" ht="12.75">
      <c r="A9" s="947"/>
      <c r="B9" s="427" t="s">
        <v>583</v>
      </c>
      <c r="C9" s="808" t="s">
        <v>709</v>
      </c>
      <c r="D9" s="290"/>
      <c r="E9" s="290">
        <v>76.599999999999994</v>
      </c>
      <c r="F9" s="290"/>
      <c r="G9" s="431">
        <f t="shared" ref="G9:G17" si="0">+D9/E9-1</f>
        <v>-1</v>
      </c>
      <c r="H9" s="431"/>
      <c r="I9" s="271"/>
      <c r="J9" s="271"/>
      <c r="K9" s="272"/>
      <c r="L9" s="282"/>
    </row>
    <row r="10" spans="1:12" ht="12.75">
      <c r="A10" s="947"/>
      <c r="B10" s="427" t="s">
        <v>584</v>
      </c>
      <c r="C10" s="808" t="s">
        <v>710</v>
      </c>
      <c r="D10" s="289"/>
      <c r="E10" s="289">
        <v>14.516666666666666</v>
      </c>
      <c r="F10" s="289"/>
      <c r="G10" s="431">
        <f t="shared" si="0"/>
        <v>-1</v>
      </c>
      <c r="H10" s="431"/>
      <c r="I10" s="271"/>
      <c r="J10" s="271"/>
      <c r="K10" s="272"/>
      <c r="L10" s="282"/>
    </row>
    <row r="11" spans="1:12" ht="12.75">
      <c r="A11" s="947"/>
      <c r="B11" s="427" t="s">
        <v>721</v>
      </c>
      <c r="C11" s="808" t="s">
        <v>711</v>
      </c>
      <c r="D11" s="289"/>
      <c r="E11" s="289">
        <v>78.75</v>
      </c>
      <c r="F11" s="289"/>
      <c r="G11" s="431">
        <f t="shared" si="0"/>
        <v>-1</v>
      </c>
      <c r="H11" s="431"/>
      <c r="I11" s="271"/>
      <c r="J11" s="271"/>
      <c r="K11" s="272"/>
      <c r="L11" s="282"/>
    </row>
    <row r="12" spans="1:12" ht="12.75">
      <c r="A12" s="947"/>
      <c r="B12" s="427" t="s">
        <v>586</v>
      </c>
      <c r="C12" s="808" t="s">
        <v>712</v>
      </c>
      <c r="D12" s="289">
        <v>12.93333333333333</v>
      </c>
      <c r="E12" s="289">
        <v>67.23333333333332</v>
      </c>
      <c r="F12" s="289"/>
      <c r="G12" s="431">
        <f t="shared" si="0"/>
        <v>-0.8076351016360932</v>
      </c>
      <c r="H12" s="431"/>
      <c r="I12" s="271"/>
      <c r="J12" s="271"/>
      <c r="K12" s="272"/>
      <c r="L12" s="282"/>
    </row>
    <row r="13" spans="1:12" ht="12.75">
      <c r="A13" s="947"/>
      <c r="B13" s="427" t="s">
        <v>585</v>
      </c>
      <c r="C13" s="808" t="s">
        <v>713</v>
      </c>
      <c r="D13" s="289">
        <v>6.85</v>
      </c>
      <c r="E13" s="289">
        <v>0.76666666666666661</v>
      </c>
      <c r="F13" s="289"/>
      <c r="G13" s="431">
        <f t="shared" si="0"/>
        <v>7.9347826086956523</v>
      </c>
      <c r="H13" s="431"/>
      <c r="I13" s="271"/>
      <c r="J13" s="271"/>
      <c r="K13" s="272"/>
      <c r="L13" s="282"/>
    </row>
    <row r="14" spans="1:12" ht="12.75">
      <c r="A14" s="947"/>
      <c r="B14" s="427" t="s">
        <v>722</v>
      </c>
      <c r="C14" s="808" t="s">
        <v>714</v>
      </c>
      <c r="D14" s="289">
        <v>0.26666666666666572</v>
      </c>
      <c r="E14" s="289"/>
      <c r="F14" s="289"/>
      <c r="G14" s="431"/>
      <c r="H14" s="431"/>
      <c r="I14" s="271"/>
      <c r="J14" s="271"/>
      <c r="K14" s="272"/>
      <c r="L14" s="282"/>
    </row>
    <row r="15" spans="1:12" ht="12.75">
      <c r="A15" s="947"/>
      <c r="B15" s="427" t="s">
        <v>723</v>
      </c>
      <c r="C15" s="808" t="s">
        <v>715</v>
      </c>
      <c r="D15" s="289">
        <v>0.50000000000000089</v>
      </c>
      <c r="E15" s="289"/>
      <c r="F15" s="289"/>
      <c r="G15" s="431"/>
      <c r="H15" s="431"/>
      <c r="I15" s="271"/>
      <c r="J15" s="271"/>
      <c r="K15" s="272"/>
      <c r="L15" s="282"/>
    </row>
    <row r="16" spans="1:12" ht="12.75">
      <c r="A16" s="947"/>
      <c r="B16" s="427" t="s">
        <v>724</v>
      </c>
      <c r="C16" s="808" t="s">
        <v>716</v>
      </c>
      <c r="D16" s="289"/>
      <c r="E16" s="289">
        <v>7.5666666666666664</v>
      </c>
      <c r="F16" s="289"/>
      <c r="G16" s="431">
        <f t="shared" si="0"/>
        <v>-1</v>
      </c>
      <c r="H16" s="431"/>
      <c r="I16" s="271"/>
      <c r="J16" s="271"/>
      <c r="K16" s="272"/>
      <c r="L16" s="282"/>
    </row>
    <row r="17" spans="1:12" ht="12.75">
      <c r="A17" s="947"/>
      <c r="B17" s="427" t="s">
        <v>725</v>
      </c>
      <c r="C17" s="808" t="s">
        <v>717</v>
      </c>
      <c r="D17" s="289"/>
      <c r="E17" s="289">
        <v>4.3333333333333321</v>
      </c>
      <c r="F17" s="289">
        <v>8.56666666666667</v>
      </c>
      <c r="G17" s="431">
        <f t="shared" si="0"/>
        <v>-1</v>
      </c>
      <c r="H17" s="431">
        <f t="shared" ref="H17:H18" si="1">+E17/F17-1</f>
        <v>-0.49416342412451397</v>
      </c>
      <c r="I17" s="271"/>
      <c r="J17" s="271"/>
      <c r="K17" s="272"/>
      <c r="L17" s="282"/>
    </row>
    <row r="18" spans="1:12" ht="12.75">
      <c r="A18" s="948"/>
      <c r="B18" s="428" t="s">
        <v>726</v>
      </c>
      <c r="C18" s="809" t="s">
        <v>718</v>
      </c>
      <c r="D18" s="290"/>
      <c r="E18" s="290"/>
      <c r="F18" s="290">
        <v>3.4166666666666679</v>
      </c>
      <c r="G18" s="431"/>
      <c r="H18" s="431">
        <f t="shared" si="1"/>
        <v>-1</v>
      </c>
      <c r="I18" s="271"/>
      <c r="J18" s="271"/>
      <c r="K18" s="272"/>
      <c r="L18" s="282"/>
    </row>
    <row r="19" spans="1:12" ht="11.25" customHeight="1">
      <c r="A19" s="291" t="s">
        <v>206</v>
      </c>
      <c r="B19" s="292"/>
      <c r="C19" s="293"/>
      <c r="D19" s="294">
        <f>SUM(D7:D18)</f>
        <v>20.549999999999997</v>
      </c>
      <c r="E19" s="294">
        <f t="shared" ref="E19:F19" si="2">SUM(E7:E18)</f>
        <v>940.26666666666688</v>
      </c>
      <c r="F19" s="294">
        <f t="shared" si="2"/>
        <v>753.2</v>
      </c>
      <c r="G19" s="432">
        <f>+E19/F19-1</f>
        <v>0.2483625420428397</v>
      </c>
      <c r="H19" s="432">
        <f>+D19/E19-1</f>
        <v>-0.97814449801474757</v>
      </c>
      <c r="I19" s="271"/>
      <c r="J19" s="271"/>
      <c r="K19" s="272"/>
      <c r="L19" s="282"/>
    </row>
    <row r="20" spans="1:12" ht="11.25" customHeight="1">
      <c r="A20" s="421" t="str">
        <f>"Cuadro N° 14: Horas de operación de los principales equipos de congestión en "&amp;'1. Resumen'!Q4</f>
        <v>Cuadro N° 14: Horas de operación de los principales equipos de congestión en mayo</v>
      </c>
      <c r="B20" s="295"/>
      <c r="C20" s="296"/>
      <c r="D20" s="297"/>
      <c r="E20" s="297"/>
      <c r="F20" s="298"/>
      <c r="G20" s="96"/>
      <c r="H20" s="102"/>
      <c r="I20" s="271"/>
      <c r="J20" s="271"/>
      <c r="K20" s="272"/>
      <c r="L20" s="282"/>
    </row>
    <row r="21" spans="1:12" ht="11.25" customHeight="1">
      <c r="A21" s="158"/>
      <c r="B21" s="295"/>
      <c r="C21" s="296"/>
      <c r="D21" s="297"/>
      <c r="E21" s="297"/>
      <c r="F21" s="298"/>
      <c r="G21" s="96"/>
      <c r="H21" s="96"/>
      <c r="I21" s="271"/>
      <c r="J21" s="271"/>
      <c r="K21" s="272"/>
      <c r="L21" s="282"/>
    </row>
    <row r="22" spans="1:12" ht="11.25" customHeight="1">
      <c r="A22" s="158"/>
      <c r="B22" s="295"/>
      <c r="C22" s="296"/>
      <c r="D22" s="297"/>
      <c r="E22" s="297"/>
      <c r="F22" s="298"/>
      <c r="G22" s="96"/>
      <c r="H22" s="96"/>
      <c r="I22" s="271"/>
      <c r="J22" s="271"/>
      <c r="K22" s="272"/>
      <c r="L22" s="282"/>
    </row>
    <row r="23" spans="1:12" ht="11.25" customHeight="1">
      <c r="A23" s="97"/>
      <c r="B23" s="208"/>
      <c r="C23" s="98"/>
      <c r="D23" s="99"/>
      <c r="E23" s="99"/>
      <c r="F23" s="100"/>
      <c r="G23" s="96"/>
      <c r="H23" s="96"/>
      <c r="I23" s="271"/>
      <c r="J23" s="271"/>
      <c r="K23" s="272"/>
      <c r="L23" s="282"/>
    </row>
    <row r="24" spans="1:12" ht="11.25" customHeight="1">
      <c r="A24" s="97"/>
      <c r="B24" s="208"/>
      <c r="C24" s="98"/>
      <c r="D24" s="99"/>
      <c r="E24" s="99"/>
      <c r="F24" s="100"/>
      <c r="G24" s="96"/>
      <c r="H24" s="96"/>
      <c r="I24" s="271"/>
      <c r="J24" s="271"/>
      <c r="K24" s="272"/>
      <c r="L24" s="282"/>
    </row>
    <row r="25" spans="1:12" ht="11.25" customHeight="1">
      <c r="A25" s="97"/>
      <c r="B25" s="208"/>
      <c r="C25" s="98"/>
      <c r="D25" s="99"/>
      <c r="E25" s="99"/>
      <c r="F25" s="100"/>
      <c r="G25" s="96"/>
      <c r="H25" s="96"/>
      <c r="I25" s="271"/>
      <c r="J25" s="271"/>
      <c r="K25" s="272"/>
      <c r="L25" s="283"/>
    </row>
    <row r="26" spans="1:12" ht="11.25" customHeight="1">
      <c r="A26" s="97"/>
      <c r="B26" s="208"/>
      <c r="C26" s="98"/>
      <c r="D26" s="99"/>
      <c r="E26" s="99"/>
      <c r="F26" s="100"/>
      <c r="G26" s="96"/>
      <c r="H26" s="96"/>
      <c r="I26" s="271"/>
      <c r="J26" s="271"/>
      <c r="K26" s="272"/>
      <c r="L26" s="282"/>
    </row>
    <row r="27" spans="1:12" ht="11.25" customHeight="1">
      <c r="A27" s="97"/>
      <c r="B27" s="208"/>
      <c r="C27" s="98"/>
      <c r="D27" s="99"/>
      <c r="E27" s="99"/>
      <c r="F27" s="100"/>
      <c r="G27" s="96"/>
      <c r="H27" s="96"/>
      <c r="I27" s="271"/>
      <c r="J27" s="271"/>
      <c r="K27" s="272"/>
      <c r="L27" s="282"/>
    </row>
    <row r="28" spans="1:12" ht="11.25" customHeight="1">
      <c r="A28" s="97"/>
      <c r="B28" s="208"/>
      <c r="C28" s="98"/>
      <c r="D28" s="99"/>
      <c r="E28" s="99"/>
      <c r="F28" s="100"/>
      <c r="G28" s="96"/>
      <c r="H28" s="96"/>
      <c r="I28" s="271"/>
      <c r="J28" s="271"/>
      <c r="K28" s="271"/>
      <c r="L28" s="74"/>
    </row>
    <row r="29" spans="1:12" ht="11.25" customHeight="1">
      <c r="A29" s="97"/>
      <c r="B29" s="208"/>
      <c r="C29" s="98"/>
      <c r="D29" s="99"/>
      <c r="E29" s="99"/>
      <c r="F29" s="100"/>
      <c r="G29" s="96"/>
      <c r="H29" s="96"/>
      <c r="I29" s="271"/>
      <c r="J29" s="271"/>
      <c r="K29" s="272"/>
      <c r="L29" s="282"/>
    </row>
    <row r="30" spans="1:12" ht="11.25" customHeight="1">
      <c r="A30" s="97"/>
      <c r="B30" s="208"/>
      <c r="C30" s="98"/>
      <c r="D30" s="99"/>
      <c r="E30" s="99"/>
      <c r="F30" s="100"/>
      <c r="G30" s="96"/>
      <c r="H30" s="96"/>
      <c r="I30" s="271"/>
      <c r="J30" s="271"/>
      <c r="K30" s="273"/>
      <c r="L30" s="282"/>
    </row>
    <row r="31" spans="1:12" ht="11.25" customHeight="1">
      <c r="A31" s="97"/>
      <c r="B31" s="208"/>
      <c r="C31" s="98"/>
      <c r="D31" s="99"/>
      <c r="E31" s="99"/>
      <c r="F31" s="100"/>
      <c r="G31" s="96"/>
      <c r="H31" s="96"/>
      <c r="I31" s="271"/>
      <c r="J31" s="271"/>
      <c r="K31" s="273"/>
      <c r="L31" s="282"/>
    </row>
    <row r="32" spans="1:12" ht="11.25" customHeight="1">
      <c r="A32" s="97"/>
      <c r="B32" s="208"/>
      <c r="C32" s="98"/>
      <c r="D32" s="99"/>
      <c r="E32" s="99"/>
      <c r="F32" s="100"/>
      <c r="G32" s="96"/>
      <c r="H32" s="96"/>
      <c r="I32" s="271"/>
      <c r="J32" s="271"/>
      <c r="K32" s="273"/>
      <c r="L32" s="282"/>
    </row>
    <row r="33" spans="1:12" ht="11.25" customHeight="1">
      <c r="A33" s="97"/>
      <c r="B33" s="208"/>
      <c r="C33" s="98"/>
      <c r="D33" s="99"/>
      <c r="E33" s="99"/>
      <c r="F33" s="100"/>
      <c r="G33" s="96"/>
      <c r="H33" s="96"/>
      <c r="I33" s="271"/>
      <c r="J33" s="271"/>
      <c r="K33" s="273"/>
      <c r="L33" s="282"/>
    </row>
    <row r="34" spans="1:12" ht="11.25" customHeight="1">
      <c r="A34" s="97"/>
      <c r="B34" s="208"/>
      <c r="C34" s="98"/>
      <c r="D34" s="99"/>
      <c r="E34" s="99"/>
      <c r="F34" s="100"/>
      <c r="G34" s="96"/>
      <c r="H34" s="96"/>
      <c r="I34" s="271"/>
      <c r="J34" s="271"/>
      <c r="K34" s="273"/>
      <c r="L34" s="282"/>
    </row>
    <row r="35" spans="1:12" ht="11.25" customHeight="1">
      <c r="A35" s="97"/>
      <c r="B35" s="208"/>
      <c r="C35" s="98"/>
      <c r="D35" s="99"/>
      <c r="E35" s="99"/>
      <c r="F35" s="100"/>
      <c r="G35" s="96"/>
      <c r="H35" s="96"/>
      <c r="I35" s="271"/>
      <c r="J35" s="271"/>
      <c r="K35" s="273"/>
      <c r="L35" s="282"/>
    </row>
    <row r="36" spans="1:12" ht="11.25" customHeight="1">
      <c r="A36" s="97"/>
      <c r="B36" s="208"/>
      <c r="C36" s="98"/>
      <c r="D36" s="99"/>
      <c r="E36" s="99"/>
      <c r="F36" s="100"/>
      <c r="G36" s="96"/>
      <c r="H36" s="96"/>
      <c r="I36" s="271"/>
      <c r="J36" s="271"/>
      <c r="K36" s="273"/>
      <c r="L36" s="282"/>
    </row>
    <row r="37" spans="1:12" ht="11.25" customHeight="1">
      <c r="A37" s="97"/>
      <c r="B37" s="208"/>
      <c r="C37" s="98"/>
      <c r="D37" s="99"/>
      <c r="E37" s="99"/>
      <c r="F37" s="100"/>
      <c r="G37" s="96"/>
      <c r="H37" s="96"/>
      <c r="I37" s="271"/>
      <c r="J37" s="271"/>
      <c r="K37" s="273"/>
      <c r="L37" s="284"/>
    </row>
    <row r="38" spans="1:12" ht="11.25" customHeight="1">
      <c r="A38" s="97"/>
      <c r="B38" s="208"/>
      <c r="C38" s="98"/>
      <c r="D38" s="99"/>
      <c r="E38" s="99"/>
      <c r="F38" s="100"/>
      <c r="G38" s="96"/>
      <c r="H38" s="96"/>
      <c r="I38" s="271"/>
      <c r="J38" s="271"/>
      <c r="K38" s="273"/>
      <c r="L38" s="282"/>
    </row>
    <row r="39" spans="1:12" ht="11.25" customHeight="1">
      <c r="A39" s="97"/>
      <c r="B39" s="208"/>
      <c r="C39" s="98"/>
      <c r="D39" s="99"/>
      <c r="E39" s="99"/>
      <c r="F39" s="100"/>
      <c r="G39" s="96"/>
      <c r="H39" s="96"/>
      <c r="I39" s="271"/>
      <c r="J39" s="271"/>
      <c r="K39" s="273"/>
      <c r="L39" s="282"/>
    </row>
    <row r="40" spans="1:12" ht="11.25" customHeight="1">
      <c r="A40" s="97"/>
      <c r="B40" s="97"/>
      <c r="C40" s="97"/>
      <c r="D40" s="97"/>
      <c r="E40" s="97"/>
      <c r="F40" s="97"/>
      <c r="G40" s="97"/>
      <c r="H40" s="97"/>
      <c r="I40" s="271"/>
      <c r="J40" s="271"/>
      <c r="K40" s="273"/>
      <c r="L40" s="282"/>
    </row>
    <row r="41" spans="1:12" ht="11.25" customHeight="1">
      <c r="A41" s="97"/>
      <c r="B41" s="97"/>
      <c r="C41" s="97"/>
      <c r="D41" s="97"/>
      <c r="E41" s="97"/>
      <c r="F41" s="97"/>
      <c r="G41" s="97"/>
      <c r="H41" s="97"/>
      <c r="I41" s="271"/>
      <c r="J41" s="271"/>
      <c r="K41" s="273"/>
      <c r="L41" s="282"/>
    </row>
    <row r="42" spans="1:12" ht="11.25" customHeight="1">
      <c r="A42" s="97"/>
      <c r="B42" s="97"/>
      <c r="C42" s="97"/>
      <c r="D42" s="97"/>
      <c r="E42" s="97"/>
      <c r="F42" s="97"/>
      <c r="G42" s="97"/>
      <c r="H42" s="97"/>
      <c r="I42" s="271"/>
      <c r="J42" s="271"/>
      <c r="K42" s="273"/>
      <c r="L42" s="282"/>
    </row>
    <row r="43" spans="1:12" ht="11.25" customHeight="1">
      <c r="A43" s="97"/>
      <c r="B43" s="97"/>
      <c r="C43" s="97"/>
      <c r="D43" s="97"/>
      <c r="E43" s="97"/>
      <c r="F43" s="97"/>
      <c r="G43" s="97"/>
      <c r="H43" s="97"/>
      <c r="I43" s="271"/>
      <c r="J43" s="271"/>
      <c r="K43" s="273"/>
      <c r="L43" s="282"/>
    </row>
    <row r="44" spans="1:12" ht="11.25" customHeight="1">
      <c r="A44" s="97"/>
      <c r="B44" s="97"/>
      <c r="C44" s="97"/>
      <c r="D44" s="97"/>
      <c r="E44" s="97"/>
      <c r="F44" s="97"/>
      <c r="G44" s="97"/>
      <c r="H44" s="97"/>
      <c r="I44" s="271"/>
      <c r="J44" s="271"/>
      <c r="K44" s="275"/>
      <c r="L44" s="75"/>
    </row>
    <row r="45" spans="1:12" ht="11.25" customHeight="1">
      <c r="A45" s="97"/>
      <c r="B45" s="97"/>
      <c r="C45" s="97"/>
      <c r="D45" s="97"/>
      <c r="E45" s="97"/>
      <c r="F45" s="97"/>
      <c r="G45" s="97"/>
      <c r="H45" s="97"/>
      <c r="I45" s="271"/>
      <c r="J45" s="271"/>
      <c r="K45" s="275"/>
      <c r="L45" s="76"/>
    </row>
    <row r="46" spans="1:12" ht="11.25" customHeight="1">
      <c r="A46" s="97"/>
      <c r="B46" s="97"/>
      <c r="C46" s="97"/>
      <c r="D46" s="97"/>
      <c r="E46" s="97"/>
      <c r="F46" s="97"/>
      <c r="G46" s="97"/>
      <c r="H46" s="97"/>
      <c r="I46" s="271"/>
      <c r="J46" s="271"/>
      <c r="K46" s="275"/>
      <c r="L46" s="76"/>
    </row>
    <row r="47" spans="1:12" ht="11.25" customHeight="1">
      <c r="A47" s="97"/>
      <c r="B47" s="97"/>
      <c r="C47" s="97"/>
      <c r="D47" s="97"/>
      <c r="E47" s="97"/>
      <c r="F47" s="97"/>
      <c r="G47" s="97"/>
      <c r="H47" s="97"/>
      <c r="I47" s="271"/>
      <c r="J47" s="271"/>
      <c r="K47" s="273"/>
    </row>
    <row r="48" spans="1:12" ht="11.25" customHeight="1">
      <c r="A48" s="97"/>
      <c r="B48" s="97"/>
      <c r="C48" s="97"/>
      <c r="D48" s="97"/>
      <c r="E48" s="97"/>
      <c r="F48" s="97"/>
      <c r="G48" s="97"/>
      <c r="H48" s="97"/>
      <c r="I48" s="271"/>
      <c r="J48" s="271"/>
      <c r="K48" s="273"/>
    </row>
    <row r="49" spans="1:11" ht="12.75">
      <c r="A49" s="93"/>
      <c r="B49" s="97"/>
      <c r="C49" s="97"/>
      <c r="D49" s="97"/>
      <c r="E49" s="97"/>
      <c r="F49" s="97"/>
      <c r="G49" s="97"/>
      <c r="H49" s="97"/>
      <c r="I49" s="271"/>
      <c r="J49" s="271"/>
      <c r="K49" s="273"/>
    </row>
    <row r="50" spans="1:11" ht="12.75">
      <c r="A50" s="97"/>
      <c r="B50" s="97"/>
      <c r="C50" s="97"/>
      <c r="D50" s="97"/>
      <c r="E50" s="97"/>
      <c r="F50" s="97"/>
      <c r="G50" s="97"/>
      <c r="H50" s="97"/>
      <c r="I50" s="271"/>
      <c r="J50" s="271"/>
      <c r="K50" s="273"/>
    </row>
    <row r="51" spans="1:11" ht="12.75">
      <c r="A51" s="97"/>
      <c r="B51" s="97"/>
      <c r="C51" s="97"/>
      <c r="D51" s="97"/>
      <c r="E51" s="97"/>
      <c r="F51" s="97"/>
      <c r="G51" s="97"/>
      <c r="H51" s="97"/>
      <c r="I51" s="271"/>
      <c r="J51" s="271"/>
      <c r="K51" s="273"/>
    </row>
    <row r="52" spans="1:11" ht="12.75">
      <c r="A52" s="97"/>
      <c r="B52" s="97"/>
      <c r="C52" s="97"/>
      <c r="D52" s="97"/>
      <c r="E52" s="97"/>
      <c r="F52" s="97"/>
      <c r="G52" s="97"/>
      <c r="H52" s="97"/>
      <c r="I52" s="271"/>
      <c r="J52" s="271"/>
      <c r="K52" s="273"/>
    </row>
    <row r="53" spans="1:11" ht="12.75">
      <c r="A53" s="97"/>
      <c r="B53" s="97"/>
      <c r="C53" s="97"/>
      <c r="D53" s="97"/>
      <c r="E53" s="97"/>
      <c r="F53" s="97"/>
      <c r="G53" s="97"/>
      <c r="H53" s="97"/>
      <c r="I53" s="271"/>
      <c r="J53" s="271"/>
      <c r="K53" s="273"/>
    </row>
    <row r="54" spans="1:11" ht="12.75">
      <c r="A54" s="97"/>
      <c r="B54" s="97"/>
      <c r="C54" s="97"/>
      <c r="D54" s="97"/>
      <c r="E54" s="97"/>
      <c r="F54" s="97"/>
      <c r="G54" s="97"/>
      <c r="H54" s="97"/>
      <c r="I54" s="132"/>
      <c r="J54" s="132"/>
      <c r="K54" s="273"/>
    </row>
    <row r="55" spans="1:11" ht="12.75">
      <c r="A55" s="97"/>
      <c r="B55" s="97"/>
      <c r="C55" s="97"/>
      <c r="D55" s="97"/>
      <c r="E55" s="97"/>
      <c r="F55" s="97"/>
      <c r="G55" s="97"/>
      <c r="H55" s="97"/>
      <c r="I55" s="132"/>
      <c r="J55" s="132"/>
      <c r="K55" s="273"/>
    </row>
    <row r="56" spans="1:11" ht="12.75">
      <c r="A56" s="97"/>
      <c r="B56" s="97"/>
      <c r="C56" s="97"/>
      <c r="D56" s="97"/>
      <c r="E56" s="97"/>
      <c r="F56" s="97"/>
      <c r="G56" s="97"/>
      <c r="H56" s="97"/>
      <c r="I56" s="132"/>
      <c r="J56" s="132"/>
      <c r="K56" s="273"/>
    </row>
    <row r="57" spans="1:11" ht="12.75">
      <c r="B57" s="97"/>
      <c r="C57" s="97"/>
      <c r="D57" s="97"/>
      <c r="E57" s="97"/>
      <c r="F57" s="97"/>
      <c r="G57" s="97"/>
      <c r="H57" s="97"/>
      <c r="I57" s="132"/>
      <c r="J57" s="132"/>
      <c r="K57" s="273"/>
    </row>
    <row r="58" spans="1:11" ht="12.75">
      <c r="A58" s="421" t="str">
        <f>"Gráfico N° 23: Comparación de las horas de operación de los principales equipos de congestión en "&amp;'1. Resumen'!Q4</f>
        <v>Gráfico N° 23: Comparación de las horas de operación de los principales equipos de congestión en mayo</v>
      </c>
      <c r="B58" s="97"/>
      <c r="C58" s="97"/>
      <c r="D58" s="97"/>
      <c r="E58" s="97"/>
      <c r="F58" s="97"/>
      <c r="G58" s="97"/>
      <c r="H58" s="97"/>
      <c r="I58" s="132"/>
      <c r="J58" s="132"/>
      <c r="K58" s="273"/>
    </row>
    <row r="59" spans="1:11" ht="12.75">
      <c r="A59" s="97"/>
      <c r="B59" s="97"/>
      <c r="C59" s="97"/>
      <c r="D59" s="97"/>
      <c r="E59" s="97"/>
      <c r="F59" s="97"/>
      <c r="G59" s="97"/>
      <c r="H59" s="97"/>
      <c r="I59" s="272"/>
      <c r="J59" s="272"/>
      <c r="K59" s="273"/>
    </row>
    <row r="60" spans="1:11" ht="12.75">
      <c r="A60" s="271"/>
      <c r="B60" s="272"/>
      <c r="C60" s="272"/>
      <c r="D60" s="272"/>
      <c r="E60" s="272"/>
      <c r="F60" s="272"/>
      <c r="G60" s="272"/>
      <c r="H60" s="272"/>
      <c r="I60" s="272"/>
      <c r="J60" s="272"/>
      <c r="K60" s="273"/>
    </row>
    <row r="61" spans="1:11" ht="12.75">
      <c r="A61" s="271"/>
      <c r="B61" s="285"/>
      <c r="C61" s="273"/>
      <c r="D61" s="273"/>
      <c r="E61" s="273"/>
      <c r="F61" s="273"/>
      <c r="G61" s="272"/>
      <c r="H61" s="272"/>
      <c r="I61" s="272"/>
      <c r="J61" s="272"/>
      <c r="K61" s="273"/>
    </row>
    <row r="62" spans="1:11" ht="12.75">
      <c r="A62" s="2"/>
      <c r="B62" s="131"/>
      <c r="C62" s="131"/>
      <c r="D62" s="131"/>
      <c r="E62" s="131"/>
      <c r="F62" s="131"/>
      <c r="G62" s="131"/>
      <c r="H62" s="272"/>
      <c r="I62" s="272"/>
      <c r="J62" s="272"/>
      <c r="K62" s="273"/>
    </row>
    <row r="63" spans="1:11" ht="12.75">
      <c r="A63" s="2"/>
      <c r="B63" s="131"/>
      <c r="C63" s="131"/>
      <c r="D63" s="131"/>
      <c r="E63" s="131"/>
      <c r="F63" s="131"/>
      <c r="G63" s="131"/>
      <c r="H63" s="272"/>
      <c r="I63" s="272"/>
      <c r="J63" s="272"/>
      <c r="K63" s="272"/>
    </row>
    <row r="64" spans="1:11" ht="12.75">
      <c r="A64" s="2"/>
      <c r="B64" s="131"/>
      <c r="C64" s="131"/>
      <c r="D64" s="131"/>
      <c r="E64" s="131"/>
      <c r="F64" s="131"/>
      <c r="G64" s="131"/>
      <c r="H64" s="272"/>
      <c r="I64" s="272"/>
      <c r="J64" s="272"/>
      <c r="K64" s="272"/>
    </row>
  </sheetData>
  <mergeCells count="3">
    <mergeCell ref="A4:H4"/>
    <mergeCell ref="A2:H2"/>
    <mergeCell ref="A8:A18"/>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45" zoomScaleNormal="160" zoomScaleSheetLayoutView="145" zoomScalePageLayoutView="160" workbookViewId="0">
      <selection activeCell="Q26" sqref="Q26"/>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51" t="s">
        <v>207</v>
      </c>
      <c r="B2" s="951"/>
      <c r="C2" s="951"/>
      <c r="D2" s="951"/>
      <c r="E2" s="951"/>
      <c r="F2" s="951"/>
      <c r="G2" s="951"/>
      <c r="H2" s="951"/>
      <c r="I2" s="951"/>
      <c r="J2" s="951"/>
      <c r="K2" s="206"/>
    </row>
    <row r="3" spans="1:13" ht="6.75" customHeight="1">
      <c r="A3" s="25"/>
      <c r="B3" s="299"/>
      <c r="C3" s="300"/>
      <c r="D3" s="24"/>
      <c r="E3" s="24"/>
      <c r="F3" s="301"/>
      <c r="G3" s="83"/>
      <c r="H3" s="83"/>
      <c r="I3" s="89"/>
      <c r="J3" s="206"/>
      <c r="K3" s="206"/>
      <c r="L3" s="269"/>
    </row>
    <row r="4" spans="1:13" ht="11.25" customHeight="1">
      <c r="A4" s="952" t="s">
        <v>208</v>
      </c>
      <c r="B4" s="952"/>
      <c r="C4" s="952"/>
      <c r="D4" s="952"/>
      <c r="E4" s="952"/>
      <c r="F4" s="952"/>
      <c r="G4" s="952"/>
      <c r="H4" s="952"/>
      <c r="I4" s="952"/>
      <c r="J4" s="952"/>
      <c r="K4" s="206"/>
      <c r="L4" s="269"/>
    </row>
    <row r="5" spans="1:13" ht="38.25" customHeight="1">
      <c r="A5" s="949" t="s">
        <v>209</v>
      </c>
      <c r="B5" s="732" t="s">
        <v>210</v>
      </c>
      <c r="C5" s="732" t="s">
        <v>211</v>
      </c>
      <c r="D5" s="732" t="s">
        <v>212</v>
      </c>
      <c r="E5" s="732" t="s">
        <v>213</v>
      </c>
      <c r="F5" s="732" t="s">
        <v>214</v>
      </c>
      <c r="G5" s="732" t="s">
        <v>215</v>
      </c>
      <c r="H5" s="732" t="s">
        <v>216</v>
      </c>
      <c r="I5" s="782" t="s">
        <v>217</v>
      </c>
      <c r="J5" s="732" t="s">
        <v>218</v>
      </c>
      <c r="K5" s="302"/>
    </row>
    <row r="6" spans="1:13" ht="11.25" customHeight="1">
      <c r="A6" s="950"/>
      <c r="B6" s="732" t="s">
        <v>219</v>
      </c>
      <c r="C6" s="732" t="s">
        <v>220</v>
      </c>
      <c r="D6" s="732" t="s">
        <v>221</v>
      </c>
      <c r="E6" s="732" t="s">
        <v>222</v>
      </c>
      <c r="F6" s="732" t="s">
        <v>223</v>
      </c>
      <c r="G6" s="732" t="s">
        <v>224</v>
      </c>
      <c r="H6" s="732" t="s">
        <v>225</v>
      </c>
      <c r="I6" s="783"/>
      <c r="J6" s="732" t="s">
        <v>226</v>
      </c>
      <c r="K6" s="26"/>
    </row>
    <row r="7" spans="1:13">
      <c r="A7" s="733" t="s">
        <v>527</v>
      </c>
      <c r="B7" s="734">
        <v>6</v>
      </c>
      <c r="C7" s="735">
        <v>6</v>
      </c>
      <c r="D7" s="735">
        <v>2</v>
      </c>
      <c r="E7" s="736">
        <v>9</v>
      </c>
      <c r="F7" s="735">
        <v>6</v>
      </c>
      <c r="G7" s="735"/>
      <c r="H7" s="735"/>
      <c r="I7" s="737">
        <f>+SUM(B7:H7)</f>
        <v>29</v>
      </c>
      <c r="J7" s="738">
        <v>305.40000000000003</v>
      </c>
      <c r="K7" s="29"/>
    </row>
    <row r="8" spans="1:13">
      <c r="A8" s="739" t="s">
        <v>178</v>
      </c>
      <c r="B8" s="740"/>
      <c r="C8" s="740"/>
      <c r="D8" s="740"/>
      <c r="E8" s="741"/>
      <c r="F8" s="740">
        <v>1</v>
      </c>
      <c r="G8" s="740"/>
      <c r="H8" s="740"/>
      <c r="I8" s="742">
        <f>+SUM(B8:H8)</f>
        <v>1</v>
      </c>
      <c r="J8" s="743">
        <v>17.97</v>
      </c>
      <c r="K8" s="31"/>
    </row>
    <row r="9" spans="1:13">
      <c r="A9" s="781" t="s">
        <v>660</v>
      </c>
      <c r="B9" s="734"/>
      <c r="C9" s="735"/>
      <c r="D9" s="735"/>
      <c r="E9" s="736">
        <v>2</v>
      </c>
      <c r="F9" s="735"/>
      <c r="G9" s="735"/>
      <c r="H9" s="735">
        <v>1</v>
      </c>
      <c r="I9" s="737">
        <f>+SUM(B9:H9)</f>
        <v>3</v>
      </c>
      <c r="J9" s="738">
        <v>28.85</v>
      </c>
      <c r="K9" s="29"/>
    </row>
    <row r="10" spans="1:13">
      <c r="A10" s="739" t="s">
        <v>577</v>
      </c>
      <c r="B10" s="740"/>
      <c r="C10" s="740"/>
      <c r="D10" s="740"/>
      <c r="E10" s="741">
        <v>2</v>
      </c>
      <c r="F10" s="740">
        <v>2</v>
      </c>
      <c r="G10" s="740">
        <v>1</v>
      </c>
      <c r="H10" s="740"/>
      <c r="I10" s="742">
        <f>+SUM(B10:H10)</f>
        <v>5</v>
      </c>
      <c r="J10" s="743">
        <v>88.38</v>
      </c>
      <c r="K10" s="29"/>
    </row>
    <row r="11" spans="1:13" ht="16.5">
      <c r="A11" s="781" t="s">
        <v>661</v>
      </c>
      <c r="B11" s="734"/>
      <c r="C11" s="735">
        <v>1</v>
      </c>
      <c r="D11" s="735"/>
      <c r="E11" s="736"/>
      <c r="F11" s="735"/>
      <c r="G11" s="735"/>
      <c r="H11" s="735"/>
      <c r="I11" s="737">
        <f>+SUM(B11:H11)</f>
        <v>1</v>
      </c>
      <c r="J11" s="738">
        <v>80.69</v>
      </c>
      <c r="K11" s="29"/>
    </row>
    <row r="12" spans="1:13">
      <c r="A12" s="739" t="s">
        <v>217</v>
      </c>
      <c r="B12" s="740">
        <f>+SUM(B7:B11)</f>
        <v>6</v>
      </c>
      <c r="C12" s="740">
        <f t="shared" ref="C12:I12" si="0">+SUM(C7:C11)</f>
        <v>7</v>
      </c>
      <c r="D12" s="740">
        <f t="shared" si="0"/>
        <v>2</v>
      </c>
      <c r="E12" s="741">
        <f t="shared" si="0"/>
        <v>13</v>
      </c>
      <c r="F12" s="740">
        <f t="shared" si="0"/>
        <v>9</v>
      </c>
      <c r="G12" s="740">
        <f t="shared" si="0"/>
        <v>1</v>
      </c>
      <c r="H12" s="740">
        <f t="shared" si="0"/>
        <v>1</v>
      </c>
      <c r="I12" s="742">
        <f t="shared" si="0"/>
        <v>39</v>
      </c>
      <c r="J12" s="846">
        <f>+SUM(J7:J11)</f>
        <v>521.29</v>
      </c>
      <c r="K12" s="29"/>
    </row>
    <row r="13" spans="1:13" ht="11.25" customHeight="1">
      <c r="A13" s="95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2018</v>
      </c>
      <c r="B13" s="954"/>
      <c r="C13" s="954"/>
      <c r="D13" s="954"/>
      <c r="E13" s="954"/>
      <c r="F13" s="954"/>
      <c r="G13" s="954"/>
      <c r="H13" s="954"/>
      <c r="I13" s="954"/>
      <c r="J13" s="954"/>
      <c r="K13" s="29"/>
    </row>
    <row r="14" spans="1:13" ht="11.25" customHeight="1">
      <c r="A14" s="3"/>
      <c r="B14" s="3"/>
      <c r="C14" s="3"/>
      <c r="D14" s="3"/>
      <c r="E14" s="3"/>
      <c r="F14" s="3"/>
      <c r="G14" s="3"/>
      <c r="H14" s="3"/>
      <c r="I14" s="3"/>
      <c r="J14" s="3"/>
      <c r="K14" s="29"/>
    </row>
    <row r="15" spans="1:13" s="806" customFormat="1" ht="11.25" customHeight="1">
      <c r="A15" s="953" t="s">
        <v>578</v>
      </c>
      <c r="B15" s="953"/>
      <c r="C15" s="953"/>
      <c r="D15" s="953"/>
      <c r="E15" s="953"/>
      <c r="F15" s="953"/>
      <c r="G15" s="953"/>
      <c r="H15" s="953"/>
      <c r="I15" s="953"/>
      <c r="J15" s="953"/>
      <c r="K15" s="804"/>
      <c r="L15" s="805"/>
      <c r="M15" s="805"/>
    </row>
    <row r="16" spans="1:13" ht="11.25" customHeight="1">
      <c r="A16" s="25"/>
      <c r="B16" s="305"/>
      <c r="C16" s="304"/>
      <c r="D16" s="304"/>
      <c r="E16" s="304"/>
      <c r="F16" s="304"/>
      <c r="G16" s="247"/>
      <c r="H16" s="247"/>
      <c r="I16" s="159"/>
      <c r="J16" s="252"/>
      <c r="K16" s="252"/>
      <c r="L16" s="29"/>
    </row>
    <row r="17" spans="1:12" ht="11.25" customHeight="1">
      <c r="A17" s="958" t="str">
        <f>"FALLAS  POR TIPO DE CAUSA  -  "&amp;UPPER('1. Resumen'!Q4)&amp;" "&amp;'1. Resumen'!Q5</f>
        <v>FALLAS  POR TIPO DE CAUSA  -  MAYO 2018</v>
      </c>
      <c r="B17" s="958"/>
      <c r="C17" s="958"/>
      <c r="D17" s="958"/>
      <c r="E17" s="958" t="str">
        <f>"FALLAS  POR TIPO DE EQUIPO  -  "&amp;UPPER('1. Resumen'!Q4)&amp;" "&amp;'1. Resumen'!Q5</f>
        <v>FALLAS  POR TIPO DE EQUIPO  -  MAYO 2018</v>
      </c>
      <c r="F17" s="958"/>
      <c r="G17" s="958"/>
      <c r="H17" s="958"/>
      <c r="I17" s="958"/>
      <c r="J17" s="958"/>
      <c r="K17" s="252"/>
      <c r="L17" s="29"/>
    </row>
    <row r="18" spans="1:12" ht="11.25" customHeight="1">
      <c r="A18" s="25"/>
      <c r="E18" s="304"/>
      <c r="F18" s="304"/>
      <c r="G18" s="247"/>
      <c r="H18" s="247"/>
      <c r="I18" s="159"/>
      <c r="J18" s="132"/>
      <c r="K18" s="132"/>
      <c r="L18" s="29"/>
    </row>
    <row r="19" spans="1:12" ht="11.25" customHeight="1">
      <c r="A19" s="25"/>
      <c r="B19" s="305"/>
      <c r="C19" s="304"/>
      <c r="D19" s="304"/>
      <c r="E19" s="304"/>
      <c r="F19" s="304"/>
      <c r="G19" s="247"/>
      <c r="H19" s="247"/>
      <c r="I19" s="159"/>
      <c r="J19" s="132"/>
      <c r="K19" s="132"/>
      <c r="L19" s="39"/>
    </row>
    <row r="20" spans="1:12" ht="11.25" customHeight="1">
      <c r="A20" s="25"/>
      <c r="B20" s="305"/>
      <c r="C20" s="304"/>
      <c r="D20" s="304"/>
      <c r="E20" s="304"/>
      <c r="F20" s="304"/>
      <c r="G20" s="247"/>
      <c r="H20" s="247"/>
      <c r="I20" s="159"/>
      <c r="J20" s="132"/>
      <c r="K20" s="132"/>
      <c r="L20" s="29"/>
    </row>
    <row r="21" spans="1:12" ht="11.25" customHeight="1">
      <c r="A21" s="25"/>
      <c r="B21" s="305"/>
      <c r="C21" s="304"/>
      <c r="D21" s="304"/>
      <c r="E21" s="304"/>
      <c r="F21" s="304"/>
      <c r="G21" s="247"/>
      <c r="H21" s="247"/>
      <c r="I21" s="159"/>
      <c r="J21" s="132"/>
      <c r="K21" s="132"/>
      <c r="L21" s="29"/>
    </row>
    <row r="22" spans="1:12" ht="11.25" customHeight="1">
      <c r="A22" s="25"/>
      <c r="B22" s="305"/>
      <c r="C22" s="304"/>
      <c r="D22" s="304"/>
      <c r="E22" s="304"/>
      <c r="F22" s="304"/>
      <c r="G22" s="247"/>
      <c r="H22" s="247"/>
      <c r="I22" s="159"/>
      <c r="J22" s="132"/>
      <c r="K22" s="132"/>
      <c r="L22" s="29"/>
    </row>
    <row r="23" spans="1:12" ht="11.25" customHeight="1">
      <c r="A23" s="25"/>
      <c r="B23" s="305"/>
      <c r="C23" s="304"/>
      <c r="D23" s="304"/>
      <c r="E23" s="304"/>
      <c r="F23" s="304"/>
      <c r="G23" s="247"/>
      <c r="H23" s="247"/>
      <c r="I23" s="159"/>
      <c r="J23" s="132"/>
      <c r="K23" s="132"/>
      <c r="L23" s="39"/>
    </row>
    <row r="24" spans="1:12" ht="11.25" customHeight="1">
      <c r="A24" s="25"/>
      <c r="B24" s="305"/>
      <c r="C24" s="304"/>
      <c r="D24" s="304"/>
      <c r="E24" s="304"/>
      <c r="F24" s="304"/>
      <c r="G24" s="247"/>
      <c r="H24" s="247"/>
      <c r="I24" s="159"/>
      <c r="J24" s="132"/>
      <c r="K24" s="132"/>
      <c r="L24" s="29"/>
    </row>
    <row r="25" spans="1:12" ht="11.25" customHeight="1">
      <c r="A25" s="25"/>
      <c r="B25" s="305"/>
      <c r="C25" s="304"/>
      <c r="D25" s="304"/>
      <c r="E25" s="304"/>
      <c r="F25" s="304"/>
      <c r="G25" s="247"/>
      <c r="H25" s="247"/>
      <c r="I25" s="159"/>
      <c r="J25" s="132"/>
      <c r="K25" s="132"/>
      <c r="L25" s="29"/>
    </row>
    <row r="26" spans="1:12" ht="11.25" customHeight="1">
      <c r="A26" s="25"/>
      <c r="B26" s="305"/>
      <c r="C26" s="304"/>
      <c r="D26" s="304"/>
      <c r="E26" s="304"/>
      <c r="F26" s="304"/>
      <c r="G26" s="247"/>
      <c r="H26" s="247"/>
      <c r="I26" s="159"/>
      <c r="J26" s="132"/>
      <c r="K26" s="132"/>
      <c r="L26" s="29"/>
    </row>
    <row r="27" spans="1:12" ht="11.25" customHeight="1">
      <c r="A27" s="25"/>
      <c r="B27" s="305"/>
      <c r="C27" s="304"/>
      <c r="D27" s="304"/>
      <c r="E27" s="304"/>
      <c r="F27" s="304"/>
      <c r="G27" s="247"/>
      <c r="H27" s="247"/>
      <c r="I27" s="159"/>
      <c r="J27" s="132"/>
      <c r="K27" s="132"/>
      <c r="L27" s="29"/>
    </row>
    <row r="28" spans="1:12" ht="11.25" customHeight="1">
      <c r="A28" s="25"/>
      <c r="B28" s="305"/>
      <c r="C28" s="304"/>
      <c r="D28" s="304"/>
      <c r="E28" s="304"/>
      <c r="F28" s="304"/>
      <c r="G28" s="247"/>
      <c r="H28" s="247"/>
      <c r="I28" s="159"/>
      <c r="J28" s="132"/>
      <c r="K28" s="132"/>
      <c r="L28" s="29"/>
    </row>
    <row r="29" spans="1:12" ht="11.25" customHeight="1">
      <c r="A29" s="25"/>
      <c r="B29" s="305"/>
      <c r="C29" s="304"/>
      <c r="D29" s="304"/>
      <c r="E29" s="304"/>
      <c r="F29" s="304"/>
      <c r="G29" s="247"/>
      <c r="H29" s="247"/>
      <c r="I29" s="159"/>
      <c r="J29" s="132"/>
      <c r="K29" s="132"/>
      <c r="L29" s="29"/>
    </row>
    <row r="30" spans="1:12" ht="11.25" customHeight="1">
      <c r="A30" s="25"/>
      <c r="B30" s="305"/>
      <c r="C30" s="304"/>
      <c r="D30" s="304"/>
      <c r="E30" s="304"/>
      <c r="F30" s="304"/>
      <c r="G30" s="247"/>
      <c r="H30" s="247"/>
      <c r="I30" s="159"/>
      <c r="J30" s="132"/>
      <c r="K30" s="132"/>
      <c r="L30" s="29"/>
    </row>
    <row r="31" spans="1:12" ht="11.25" customHeight="1">
      <c r="A31" s="25"/>
      <c r="B31" s="305"/>
      <c r="C31" s="304"/>
      <c r="D31" s="304"/>
      <c r="E31" s="304"/>
      <c r="F31" s="304"/>
      <c r="G31" s="247"/>
      <c r="H31" s="247"/>
      <c r="I31" s="159"/>
      <c r="J31" s="132"/>
      <c r="K31" s="132"/>
      <c r="L31" s="29"/>
    </row>
    <row r="32" spans="1:12" ht="11.25" customHeight="1">
      <c r="A32" s="25"/>
      <c r="B32" s="305"/>
      <c r="C32" s="304"/>
      <c r="D32" s="304"/>
      <c r="E32" s="304"/>
      <c r="F32" s="304"/>
      <c r="G32" s="247"/>
      <c r="H32" s="247"/>
      <c r="I32" s="159"/>
      <c r="J32" s="132"/>
      <c r="K32" s="132"/>
      <c r="L32" s="29"/>
    </row>
    <row r="33" spans="1:12" ht="11.25" customHeight="1">
      <c r="A33" s="25"/>
      <c r="B33" s="305"/>
      <c r="C33" s="304"/>
      <c r="D33" s="304"/>
      <c r="E33" s="304"/>
      <c r="F33" s="304"/>
      <c r="G33" s="247"/>
      <c r="H33" s="247"/>
      <c r="I33" s="159"/>
      <c r="J33" s="132"/>
      <c r="K33" s="132"/>
      <c r="L33" s="29"/>
    </row>
    <row r="34" spans="1:12" ht="11.25" customHeight="1">
      <c r="A34" s="25"/>
      <c r="B34" s="305"/>
      <c r="C34" s="304"/>
      <c r="D34" s="304"/>
      <c r="E34" s="304"/>
      <c r="F34" s="304"/>
      <c r="G34" s="247"/>
      <c r="H34" s="247"/>
      <c r="I34" s="159"/>
      <c r="J34" s="132"/>
      <c r="K34" s="132"/>
      <c r="L34" s="29"/>
    </row>
    <row r="35" spans="1:12" ht="23.25" customHeight="1">
      <c r="A35" s="957" t="s">
        <v>568</v>
      </c>
      <c r="B35" s="957"/>
      <c r="C35" s="957"/>
      <c r="D35" s="433"/>
      <c r="E35" s="960" t="s">
        <v>569</v>
      </c>
      <c r="F35" s="960"/>
      <c r="G35" s="960"/>
      <c r="H35" s="960"/>
      <c r="I35" s="960"/>
      <c r="J35" s="960"/>
      <c r="K35" s="306"/>
      <c r="L35" s="29"/>
    </row>
    <row r="36" spans="1:12" ht="11.25" customHeight="1">
      <c r="A36" s="25"/>
      <c r="B36" s="200"/>
      <c r="C36" s="200"/>
      <c r="D36" s="200"/>
      <c r="E36" s="200"/>
      <c r="F36" s="200"/>
      <c r="G36" s="252"/>
      <c r="H36" s="252"/>
      <c r="I36" s="252"/>
      <c r="J36" s="306"/>
      <c r="K36" s="306"/>
      <c r="L36" s="29"/>
    </row>
    <row r="37" spans="1:12" ht="6.75" customHeight="1">
      <c r="A37" s="25"/>
      <c r="B37" s="200"/>
      <c r="C37" s="200"/>
      <c r="D37" s="200"/>
      <c r="E37" s="200"/>
      <c r="F37" s="200"/>
      <c r="G37" s="252"/>
      <c r="H37" s="252"/>
      <c r="I37" s="252"/>
      <c r="J37" s="306"/>
      <c r="K37" s="306"/>
      <c r="L37" s="307"/>
    </row>
    <row r="38" spans="1:12" ht="11.25" customHeight="1">
      <c r="A38" s="959" t="str">
        <f>"ENERGIA INTERRUMPIDA APROXIMADA POR TIPO DE EQUIPO (MWh)  -  "&amp;UPPER('1. Resumen'!Q4)&amp;" "&amp;'1. Resumen'!Q5</f>
        <v>ENERGIA INTERRUMPIDA APROXIMADA POR TIPO DE EQUIPO (MWh)  -  MAYO 2018</v>
      </c>
      <c r="B38" s="959"/>
      <c r="C38" s="959"/>
      <c r="D38" s="959"/>
      <c r="E38" s="959"/>
      <c r="F38" s="959"/>
      <c r="G38" s="959"/>
      <c r="H38" s="959"/>
      <c r="I38" s="959"/>
      <c r="J38" s="959"/>
      <c r="K38" s="306"/>
      <c r="L38" s="308"/>
    </row>
    <row r="39" spans="1:12" ht="11.25" customHeight="1">
      <c r="A39" s="25"/>
      <c r="B39" s="200"/>
      <c r="C39" s="200"/>
      <c r="D39" s="200"/>
      <c r="E39" s="200"/>
      <c r="F39" s="200"/>
      <c r="G39" s="252"/>
      <c r="H39" s="252"/>
      <c r="I39" s="252"/>
      <c r="J39" s="306"/>
      <c r="K39" s="306"/>
      <c r="L39" s="308"/>
    </row>
    <row r="40" spans="1:12" ht="11.25" customHeight="1">
      <c r="A40" s="25"/>
      <c r="B40" s="200"/>
      <c r="C40" s="252"/>
      <c r="D40" s="252"/>
      <c r="E40" s="252"/>
      <c r="F40" s="252"/>
      <c r="G40" s="252"/>
      <c r="H40" s="252"/>
      <c r="I40" s="252"/>
      <c r="J40" s="306"/>
      <c r="K40" s="306"/>
      <c r="L40" s="308"/>
    </row>
    <row r="41" spans="1:12" ht="11.25" customHeight="1">
      <c r="A41" s="25"/>
      <c r="B41" s="200"/>
      <c r="C41" s="252"/>
      <c r="D41" s="252"/>
      <c r="E41" s="252"/>
      <c r="F41" s="252"/>
      <c r="G41" s="252"/>
      <c r="H41" s="252"/>
    </row>
    <row r="42" spans="1:12" ht="12.75">
      <c r="A42" s="25"/>
      <c r="B42" s="200"/>
      <c r="J42" s="306"/>
      <c r="K42" s="306"/>
      <c r="L42" s="308"/>
    </row>
    <row r="43" spans="1:12" ht="12.75">
      <c r="A43" s="25"/>
      <c r="B43" s="200"/>
      <c r="C43" s="200"/>
      <c r="D43" s="200"/>
      <c r="E43" s="200"/>
      <c r="F43" s="200"/>
      <c r="G43" s="252"/>
      <c r="H43" s="252"/>
      <c r="I43" s="252"/>
      <c r="J43" s="306"/>
      <c r="K43" s="306"/>
      <c r="L43" s="308"/>
    </row>
    <row r="44" spans="1:12" ht="12.75">
      <c r="A44" s="25"/>
      <c r="B44" s="200"/>
      <c r="C44" s="200"/>
      <c r="D44" s="200"/>
      <c r="E44" s="200"/>
      <c r="F44" s="200"/>
      <c r="G44" s="252"/>
      <c r="H44" s="252"/>
      <c r="I44" s="252"/>
      <c r="J44" s="306"/>
      <c r="K44" s="306"/>
      <c r="L44" s="308"/>
    </row>
    <row r="45" spans="1:12" ht="12.75">
      <c r="A45" s="25"/>
      <c r="B45" s="200"/>
      <c r="C45" s="200"/>
      <c r="D45" s="200"/>
      <c r="E45" s="200"/>
      <c r="F45" s="200"/>
      <c r="G45" s="252"/>
      <c r="H45" s="252"/>
      <c r="I45" s="252"/>
      <c r="J45" s="306"/>
      <c r="K45" s="306"/>
      <c r="L45" s="308"/>
    </row>
    <row r="46" spans="1:12" ht="12.75">
      <c r="A46" s="25"/>
      <c r="B46" s="200"/>
      <c r="C46" s="200"/>
      <c r="D46" s="200"/>
      <c r="E46" s="200"/>
      <c r="F46" s="200"/>
      <c r="G46" s="252"/>
      <c r="H46" s="252"/>
      <c r="I46" s="252"/>
      <c r="J46" s="306"/>
      <c r="K46" s="306"/>
      <c r="L46" s="308"/>
    </row>
    <row r="47" spans="1:12" ht="12.75">
      <c r="A47" s="206"/>
      <c r="B47" s="252"/>
      <c r="C47" s="252"/>
      <c r="D47" s="252"/>
      <c r="E47" s="252"/>
      <c r="F47" s="252"/>
      <c r="G47" s="252"/>
      <c r="H47" s="252"/>
      <c r="I47" s="252"/>
      <c r="J47" s="306"/>
      <c r="K47" s="306"/>
      <c r="L47" s="308"/>
    </row>
    <row r="48" spans="1:12" ht="12.75">
      <c r="A48" s="206"/>
      <c r="B48" s="252"/>
      <c r="C48" s="252"/>
      <c r="D48" s="252"/>
      <c r="E48" s="252"/>
      <c r="F48" s="252"/>
      <c r="G48" s="252"/>
      <c r="H48" s="252"/>
      <c r="I48" s="252"/>
      <c r="J48" s="306"/>
      <c r="K48" s="306"/>
      <c r="L48" s="308"/>
    </row>
    <row r="49" spans="1:12" ht="12.75">
      <c r="A49" s="206"/>
      <c r="B49" s="252"/>
      <c r="C49" s="252"/>
      <c r="D49" s="252"/>
      <c r="E49" s="252"/>
      <c r="F49" s="252"/>
      <c r="G49" s="252"/>
      <c r="H49" s="252"/>
      <c r="I49" s="252"/>
      <c r="J49" s="306"/>
      <c r="K49" s="306"/>
      <c r="L49" s="308"/>
    </row>
    <row r="50" spans="1:12" ht="12.75">
      <c r="A50" s="206"/>
      <c r="B50" s="252"/>
      <c r="C50" s="252"/>
      <c r="D50" s="252"/>
      <c r="E50" s="252"/>
      <c r="F50" s="252"/>
      <c r="G50" s="252"/>
      <c r="H50" s="252"/>
      <c r="I50" s="252"/>
      <c r="J50" s="306"/>
      <c r="K50" s="306"/>
      <c r="L50" s="308"/>
    </row>
    <row r="51" spans="1:12" ht="12.75">
      <c r="A51" s="206"/>
      <c r="B51" s="252"/>
      <c r="C51" s="252"/>
      <c r="D51" s="252"/>
      <c r="E51" s="252"/>
      <c r="F51" s="252"/>
      <c r="G51" s="252"/>
      <c r="H51" s="252"/>
      <c r="I51" s="252"/>
      <c r="J51" s="306"/>
      <c r="K51" s="306"/>
      <c r="L51" s="308"/>
    </row>
    <row r="52" spans="1:12" ht="12.75">
      <c r="A52" s="206"/>
      <c r="B52" s="252"/>
      <c r="C52" s="252"/>
      <c r="D52" s="252"/>
      <c r="E52" s="252"/>
      <c r="F52" s="252"/>
      <c r="G52" s="252"/>
      <c r="H52" s="252"/>
      <c r="I52" s="252"/>
      <c r="J52" s="306"/>
      <c r="K52" s="306"/>
      <c r="L52" s="308"/>
    </row>
    <row r="53" spans="1:12">
      <c r="A53" s="434" t="str">
        <f>"Gráfico N°26: Comparación de la energía interrumpida aproximada por tipo de equipo en "&amp;'1. Resumen'!Q4&amp;" "&amp;'1. Resumen'!Q5</f>
        <v>Gráfico N°26: Comparación de la energía interrumpida aproximada por tipo de equipo en mayo 2018</v>
      </c>
      <c r="B53" s="252"/>
      <c r="C53" s="252"/>
      <c r="D53" s="252"/>
      <c r="E53" s="252"/>
      <c r="F53" s="252"/>
      <c r="G53" s="252"/>
      <c r="H53" s="252"/>
      <c r="I53" s="252"/>
      <c r="J53" s="306"/>
      <c r="K53" s="306"/>
      <c r="L53" s="308"/>
    </row>
    <row r="54" spans="1:12">
      <c r="A54" s="3"/>
      <c r="B54" s="252"/>
      <c r="C54" s="252"/>
      <c r="D54" s="252"/>
      <c r="E54" s="252"/>
      <c r="F54" s="252"/>
      <c r="G54" s="252"/>
      <c r="H54" s="252"/>
      <c r="I54" s="252"/>
      <c r="J54" s="306"/>
      <c r="K54" s="306"/>
      <c r="L54" s="308"/>
    </row>
    <row r="55" spans="1:12" ht="24.75" customHeight="1">
      <c r="A55" s="955" t="s">
        <v>227</v>
      </c>
      <c r="B55" s="955"/>
      <c r="C55" s="955"/>
      <c r="D55" s="955"/>
      <c r="E55" s="955"/>
      <c r="F55" s="955"/>
      <c r="G55" s="955"/>
      <c r="H55" s="955"/>
      <c r="I55" s="955"/>
      <c r="J55" s="955"/>
      <c r="K55" s="306"/>
      <c r="L55" s="308"/>
    </row>
    <row r="56" spans="1:12" ht="11.25" customHeight="1">
      <c r="A56" s="956" t="s">
        <v>228</v>
      </c>
      <c r="B56" s="956"/>
      <c r="C56" s="956"/>
      <c r="D56" s="956"/>
      <c r="E56" s="956"/>
      <c r="F56" s="956"/>
      <c r="G56" s="956"/>
      <c r="H56" s="956"/>
      <c r="I56" s="956"/>
      <c r="J56" s="956"/>
      <c r="K56" s="306"/>
      <c r="L56" s="308"/>
    </row>
    <row r="57" spans="1:12" ht="12.75">
      <c r="A57" s="206"/>
      <c r="B57" s="252"/>
      <c r="C57" s="252"/>
      <c r="D57" s="252"/>
      <c r="E57" s="252"/>
      <c r="F57" s="252"/>
      <c r="G57" s="252"/>
      <c r="H57" s="252"/>
      <c r="I57" s="252"/>
      <c r="J57" s="306"/>
      <c r="K57" s="306"/>
      <c r="L57" s="308"/>
    </row>
    <row r="58" spans="1:12" ht="12.75">
      <c r="A58" s="206"/>
      <c r="B58" s="252"/>
      <c r="C58" s="252"/>
      <c r="D58" s="252"/>
      <c r="E58" s="252"/>
      <c r="F58" s="252"/>
      <c r="G58" s="252"/>
      <c r="H58" s="252"/>
      <c r="I58" s="252"/>
      <c r="J58" s="306"/>
      <c r="K58" s="306"/>
      <c r="L58" s="308"/>
    </row>
    <row r="59" spans="1:12" ht="12.75">
      <c r="A59" s="206"/>
      <c r="B59" s="252"/>
      <c r="C59" s="252"/>
      <c r="D59" s="252"/>
      <c r="E59" s="252"/>
      <c r="F59" s="252"/>
      <c r="G59" s="252"/>
      <c r="H59" s="252"/>
      <c r="I59" s="252"/>
      <c r="J59" s="306"/>
      <c r="K59" s="306"/>
      <c r="L59" s="308"/>
    </row>
    <row r="60" spans="1:12" ht="12.75">
      <c r="A60" s="206"/>
      <c r="B60" s="252"/>
      <c r="C60" s="252"/>
      <c r="D60" s="252"/>
      <c r="E60" s="252"/>
      <c r="F60" s="252"/>
      <c r="G60" s="252"/>
      <c r="H60" s="252"/>
      <c r="I60" s="252"/>
      <c r="J60" s="306"/>
      <c r="K60" s="306"/>
      <c r="L60" s="308"/>
    </row>
    <row r="61" spans="1:12" ht="12.75">
      <c r="A61" s="206"/>
      <c r="B61" s="252"/>
      <c r="C61" s="252"/>
      <c r="D61" s="252"/>
      <c r="E61" s="252"/>
      <c r="F61" s="252"/>
      <c r="G61" s="252"/>
      <c r="H61" s="252"/>
      <c r="I61" s="252"/>
      <c r="J61" s="306"/>
      <c r="K61" s="306"/>
      <c r="L61" s="308"/>
    </row>
    <row r="62" spans="1:12" ht="12.75">
      <c r="A62" s="206"/>
      <c r="B62" s="252"/>
      <c r="C62" s="252"/>
      <c r="D62" s="252"/>
      <c r="E62" s="252"/>
      <c r="F62" s="252"/>
      <c r="G62" s="252"/>
      <c r="H62" s="252"/>
      <c r="I62" s="252"/>
      <c r="J62" s="306"/>
      <c r="K62" s="306"/>
      <c r="L62" s="308"/>
    </row>
    <row r="63" spans="1:12" ht="12.75">
      <c r="A63" s="206"/>
      <c r="B63" s="252"/>
      <c r="C63" s="252"/>
      <c r="D63" s="252"/>
      <c r="E63" s="252"/>
      <c r="F63" s="252"/>
      <c r="G63" s="252"/>
      <c r="H63" s="252"/>
      <c r="I63" s="252"/>
      <c r="J63" s="306"/>
      <c r="K63" s="306"/>
      <c r="L63" s="308"/>
    </row>
    <row r="64" spans="1:12" ht="12.75">
      <c r="A64" s="206"/>
      <c r="B64" s="252"/>
      <c r="C64" s="252"/>
      <c r="D64" s="252"/>
      <c r="E64" s="252"/>
      <c r="F64" s="252"/>
      <c r="G64" s="252"/>
      <c r="H64" s="252"/>
      <c r="I64" s="252"/>
      <c r="J64" s="306"/>
      <c r="K64" s="306"/>
      <c r="L64" s="308"/>
    </row>
    <row r="65" spans="1:12" ht="12.75">
      <c r="A65" s="206"/>
      <c r="B65" s="252"/>
      <c r="C65" s="252"/>
      <c r="D65" s="252"/>
      <c r="E65" s="252"/>
      <c r="F65" s="252"/>
      <c r="G65" s="252"/>
      <c r="H65" s="252"/>
      <c r="I65" s="252"/>
      <c r="J65" s="306"/>
      <c r="K65" s="306"/>
      <c r="L65" s="308"/>
    </row>
    <row r="66" spans="1:12" ht="12.75">
      <c r="A66" s="206"/>
      <c r="B66" s="252"/>
      <c r="C66" s="252"/>
      <c r="D66" s="252"/>
      <c r="E66" s="252"/>
      <c r="F66" s="252"/>
      <c r="G66" s="252"/>
      <c r="H66" s="252"/>
      <c r="I66" s="252"/>
      <c r="J66" s="306"/>
      <c r="K66" s="306"/>
      <c r="L66" s="308"/>
    </row>
    <row r="67" spans="1:12" ht="12.75">
      <c r="A67" s="206"/>
      <c r="B67" s="252"/>
      <c r="C67" s="3"/>
      <c r="D67" s="3"/>
      <c r="E67" s="3"/>
      <c r="F67" s="3"/>
      <c r="G67" s="3"/>
      <c r="H67" s="3"/>
      <c r="I67" s="3"/>
      <c r="J67" s="306"/>
      <c r="K67" s="306"/>
      <c r="L67" s="308"/>
    </row>
    <row r="68" spans="1:12" ht="12.75">
      <c r="A68" s="206"/>
      <c r="B68" s="252"/>
      <c r="C68" s="3"/>
      <c r="D68" s="3"/>
      <c r="E68" s="3"/>
      <c r="F68" s="3"/>
      <c r="G68" s="3"/>
      <c r="H68" s="3"/>
      <c r="I68" s="3"/>
      <c r="J68" s="306"/>
      <c r="K68" s="306"/>
      <c r="L68" s="308"/>
    </row>
    <row r="69" spans="1:12" ht="12.75">
      <c r="A69" s="206"/>
      <c r="B69" s="252"/>
      <c r="C69" s="3"/>
      <c r="D69" s="3"/>
      <c r="E69" s="3"/>
      <c r="F69" s="3"/>
      <c r="G69" s="3"/>
      <c r="H69" s="3"/>
      <c r="I69" s="3"/>
      <c r="J69" s="306"/>
      <c r="K69" s="306"/>
      <c r="L69" s="308"/>
    </row>
    <row r="70" spans="1:12" ht="12.75">
      <c r="A70" s="206"/>
      <c r="B70" s="252"/>
      <c r="C70" s="3"/>
      <c r="D70" s="3"/>
      <c r="E70" s="3"/>
      <c r="F70" s="3"/>
      <c r="G70" s="3"/>
      <c r="H70" s="3"/>
      <c r="I70" s="3"/>
      <c r="J70" s="306"/>
      <c r="K70" s="306"/>
      <c r="L70" s="308"/>
    </row>
    <row r="71" spans="1:12">
      <c r="B71" s="308"/>
      <c r="C71" s="308"/>
      <c r="D71" s="308"/>
      <c r="E71" s="308"/>
      <c r="F71" s="308"/>
      <c r="G71" s="308"/>
      <c r="H71" s="308"/>
      <c r="I71" s="308"/>
      <c r="J71" s="308"/>
      <c r="K71" s="308"/>
      <c r="L71" s="308"/>
    </row>
    <row r="72" spans="1:12">
      <c r="B72" s="308"/>
      <c r="C72" s="308"/>
      <c r="D72" s="308"/>
      <c r="E72" s="308"/>
      <c r="F72" s="308"/>
      <c r="G72" s="308"/>
      <c r="H72" s="308"/>
      <c r="I72" s="308"/>
      <c r="J72" s="308"/>
      <c r="K72" s="308"/>
      <c r="L72" s="308"/>
    </row>
    <row r="73" spans="1:12">
      <c r="B73" s="308"/>
      <c r="C73" s="308"/>
      <c r="D73" s="308"/>
      <c r="E73" s="308"/>
      <c r="F73" s="308"/>
      <c r="G73" s="308"/>
      <c r="H73" s="308"/>
      <c r="I73" s="308"/>
      <c r="J73" s="308"/>
      <c r="K73" s="308"/>
      <c r="L73" s="308"/>
    </row>
    <row r="74" spans="1:12">
      <c r="B74" s="308"/>
      <c r="C74" s="308"/>
      <c r="D74" s="308"/>
      <c r="E74" s="308"/>
      <c r="F74" s="308"/>
      <c r="G74" s="308"/>
      <c r="H74" s="308"/>
      <c r="I74" s="308"/>
      <c r="J74" s="308"/>
      <c r="K74" s="308"/>
      <c r="L74" s="308"/>
    </row>
    <row r="75" spans="1:12">
      <c r="B75" s="308"/>
      <c r="C75" s="308"/>
      <c r="D75" s="308"/>
      <c r="E75" s="308"/>
      <c r="F75" s="308"/>
      <c r="G75" s="308"/>
      <c r="H75" s="308"/>
      <c r="I75" s="308"/>
      <c r="J75" s="308"/>
      <c r="K75" s="308"/>
      <c r="L75" s="308"/>
    </row>
    <row r="76" spans="1:12">
      <c r="B76" s="308"/>
      <c r="C76" s="308"/>
      <c r="D76" s="308"/>
      <c r="E76" s="308"/>
      <c r="F76" s="308"/>
      <c r="G76" s="308"/>
      <c r="H76" s="308"/>
      <c r="I76" s="308"/>
      <c r="J76" s="308"/>
      <c r="K76" s="308"/>
      <c r="L76" s="308"/>
    </row>
    <row r="77" spans="1:12">
      <c r="B77" s="308"/>
      <c r="C77" s="308"/>
      <c r="D77" s="308"/>
      <c r="E77" s="308"/>
      <c r="F77" s="308"/>
      <c r="G77" s="308"/>
      <c r="H77" s="308"/>
      <c r="I77" s="308"/>
      <c r="J77" s="308"/>
      <c r="K77" s="308"/>
      <c r="L77" s="308"/>
    </row>
    <row r="78" spans="1:12">
      <c r="B78" s="308"/>
      <c r="C78" s="308"/>
      <c r="D78" s="308"/>
      <c r="E78" s="308"/>
      <c r="F78" s="308"/>
      <c r="G78" s="308"/>
      <c r="H78" s="308"/>
      <c r="I78" s="308"/>
      <c r="J78" s="308"/>
      <c r="K78" s="308"/>
      <c r="L78" s="308"/>
    </row>
    <row r="79" spans="1:12">
      <c r="B79" s="308"/>
      <c r="C79" s="308"/>
      <c r="D79" s="308"/>
      <c r="E79" s="308"/>
      <c r="F79" s="308"/>
      <c r="G79" s="308"/>
      <c r="H79" s="308"/>
      <c r="I79" s="308"/>
      <c r="J79" s="308"/>
      <c r="K79" s="308"/>
      <c r="L79" s="308"/>
    </row>
    <row r="80" spans="1:12">
      <c r="B80" s="308"/>
      <c r="C80" s="308"/>
      <c r="D80" s="308"/>
      <c r="E80" s="308"/>
      <c r="F80" s="308"/>
      <c r="G80" s="308"/>
      <c r="H80" s="308"/>
      <c r="I80" s="308"/>
      <c r="J80" s="308"/>
      <c r="K80" s="308"/>
      <c r="L80" s="308"/>
    </row>
    <row r="81" spans="2:12">
      <c r="B81" s="308"/>
      <c r="C81" s="308"/>
      <c r="D81" s="308"/>
      <c r="E81" s="308"/>
      <c r="F81" s="308"/>
      <c r="G81" s="308"/>
      <c r="H81" s="308"/>
      <c r="I81" s="308"/>
      <c r="J81" s="308"/>
      <c r="K81" s="308"/>
      <c r="L81" s="308"/>
    </row>
    <row r="82" spans="2:12">
      <c r="B82" s="308"/>
      <c r="C82" s="308"/>
      <c r="D82" s="308"/>
      <c r="E82" s="308"/>
      <c r="F82" s="308"/>
      <c r="G82" s="308"/>
      <c r="H82" s="308"/>
      <c r="I82" s="308"/>
      <c r="J82" s="308"/>
      <c r="K82" s="308"/>
      <c r="L82" s="308"/>
    </row>
    <row r="83" spans="2:12">
      <c r="B83" s="308"/>
      <c r="C83" s="308"/>
      <c r="D83" s="308"/>
      <c r="E83" s="308"/>
      <c r="F83" s="308"/>
      <c r="G83" s="308"/>
      <c r="H83" s="308"/>
      <c r="I83" s="308"/>
      <c r="J83" s="308"/>
      <c r="K83" s="308"/>
      <c r="L83" s="308"/>
    </row>
    <row r="84" spans="2:12">
      <c r="B84" s="308"/>
      <c r="C84" s="308"/>
      <c r="D84" s="308"/>
      <c r="E84" s="308"/>
      <c r="F84" s="308"/>
      <c r="G84" s="308"/>
      <c r="H84" s="308"/>
      <c r="I84" s="308"/>
      <c r="J84" s="308"/>
      <c r="K84" s="308"/>
      <c r="L84" s="308"/>
    </row>
    <row r="85" spans="2:12">
      <c r="B85" s="308"/>
      <c r="C85" s="308"/>
      <c r="D85" s="308"/>
      <c r="E85" s="308"/>
      <c r="F85" s="308"/>
      <c r="G85" s="308"/>
      <c r="H85" s="308"/>
      <c r="I85" s="308"/>
      <c r="J85" s="308"/>
      <c r="K85" s="308"/>
      <c r="L85" s="308"/>
    </row>
    <row r="86" spans="2:12">
      <c r="B86" s="308"/>
      <c r="C86" s="308"/>
      <c r="D86" s="308"/>
      <c r="E86" s="308"/>
      <c r="F86" s="308"/>
      <c r="G86" s="308"/>
      <c r="H86" s="308"/>
      <c r="I86" s="308"/>
      <c r="J86" s="308"/>
      <c r="K86" s="308"/>
      <c r="L86" s="308"/>
    </row>
    <row r="87" spans="2:12">
      <c r="B87" s="308"/>
      <c r="C87" s="308"/>
      <c r="D87" s="308"/>
      <c r="E87" s="308"/>
      <c r="F87" s="308"/>
      <c r="G87" s="308"/>
      <c r="H87" s="308"/>
      <c r="I87" s="308"/>
      <c r="J87" s="308"/>
      <c r="K87" s="308"/>
      <c r="L87" s="308"/>
    </row>
    <row r="88" spans="2:12">
      <c r="B88" s="308"/>
      <c r="C88" s="308"/>
      <c r="D88" s="308"/>
      <c r="E88" s="308"/>
      <c r="F88" s="308"/>
      <c r="G88" s="308"/>
      <c r="H88" s="308"/>
      <c r="I88" s="308"/>
      <c r="J88" s="308"/>
      <c r="K88" s="308"/>
      <c r="L88" s="308"/>
    </row>
    <row r="89" spans="2:12">
      <c r="B89" s="308"/>
      <c r="C89" s="308"/>
      <c r="D89" s="308"/>
      <c r="E89" s="308"/>
      <c r="F89" s="308"/>
      <c r="G89" s="308"/>
      <c r="H89" s="308"/>
      <c r="I89" s="308"/>
      <c r="J89" s="308"/>
      <c r="K89" s="308"/>
      <c r="L89" s="308"/>
    </row>
    <row r="90" spans="2:12">
      <c r="B90" s="308"/>
      <c r="C90" s="308"/>
      <c r="D90" s="308"/>
      <c r="E90" s="308"/>
      <c r="F90" s="308"/>
      <c r="G90" s="308"/>
      <c r="H90" s="308"/>
      <c r="I90" s="308"/>
      <c r="J90" s="308"/>
      <c r="K90" s="308"/>
      <c r="L90" s="308"/>
    </row>
    <row r="91" spans="2:12">
      <c r="B91" s="308"/>
      <c r="C91" s="308"/>
      <c r="D91" s="308"/>
      <c r="E91" s="308"/>
      <c r="F91" s="308"/>
      <c r="G91" s="308"/>
      <c r="H91" s="308"/>
      <c r="I91" s="308"/>
      <c r="J91" s="308"/>
      <c r="K91" s="308"/>
      <c r="L91" s="308"/>
    </row>
    <row r="92" spans="2:12">
      <c r="B92" s="308"/>
      <c r="C92" s="308"/>
      <c r="D92" s="308"/>
      <c r="E92" s="308"/>
      <c r="F92" s="308"/>
      <c r="G92" s="308"/>
      <c r="H92" s="308"/>
      <c r="I92" s="308"/>
      <c r="J92" s="308"/>
      <c r="K92" s="308"/>
      <c r="L92" s="308"/>
    </row>
    <row r="93" spans="2:12">
      <c r="B93" s="308"/>
      <c r="C93" s="308"/>
      <c r="D93" s="308"/>
      <c r="E93" s="308"/>
      <c r="F93" s="308"/>
      <c r="G93" s="308"/>
      <c r="H93" s="308"/>
      <c r="I93" s="308"/>
      <c r="J93" s="308"/>
      <c r="K93" s="308"/>
      <c r="L93" s="308"/>
    </row>
    <row r="94" spans="2:12">
      <c r="B94" s="308"/>
      <c r="C94" s="308"/>
      <c r="D94" s="308"/>
      <c r="E94" s="308"/>
      <c r="F94" s="308"/>
      <c r="G94" s="308"/>
      <c r="H94" s="308"/>
      <c r="I94" s="308"/>
      <c r="J94" s="308"/>
      <c r="K94" s="308"/>
      <c r="L94" s="308"/>
    </row>
    <row r="95" spans="2:12">
      <c r="B95" s="308"/>
      <c r="C95" s="308"/>
      <c r="D95" s="308"/>
      <c r="E95" s="308"/>
      <c r="F95" s="308"/>
      <c r="G95" s="308"/>
      <c r="H95" s="308"/>
      <c r="I95" s="308"/>
      <c r="J95" s="308"/>
      <c r="K95" s="308"/>
      <c r="L95" s="308"/>
    </row>
    <row r="96" spans="2:12">
      <c r="B96" s="308"/>
      <c r="C96" s="308"/>
      <c r="D96" s="308"/>
      <c r="E96" s="308"/>
      <c r="F96" s="308"/>
      <c r="G96" s="308"/>
      <c r="H96" s="308"/>
      <c r="I96" s="308"/>
      <c r="J96" s="308"/>
      <c r="K96" s="308"/>
      <c r="L96" s="308"/>
    </row>
    <row r="97" spans="2:12">
      <c r="B97" s="308"/>
      <c r="C97" s="308"/>
      <c r="D97" s="308"/>
      <c r="E97" s="308"/>
      <c r="F97" s="308"/>
      <c r="G97" s="308"/>
      <c r="H97" s="308"/>
      <c r="I97" s="308"/>
      <c r="J97" s="308"/>
      <c r="K97" s="308"/>
      <c r="L97" s="308"/>
    </row>
    <row r="98" spans="2:12">
      <c r="B98" s="308"/>
      <c r="C98" s="308"/>
      <c r="D98" s="308"/>
      <c r="E98" s="308"/>
      <c r="F98" s="308"/>
      <c r="G98" s="308"/>
      <c r="H98" s="308"/>
      <c r="I98" s="308"/>
      <c r="J98" s="308"/>
      <c r="K98" s="308"/>
      <c r="L98" s="308"/>
    </row>
    <row r="99" spans="2:12">
      <c r="B99" s="308"/>
      <c r="C99" s="308"/>
      <c r="D99" s="308"/>
      <c r="E99" s="308"/>
      <c r="F99" s="308"/>
      <c r="G99" s="308"/>
      <c r="H99" s="308"/>
      <c r="I99" s="308"/>
      <c r="J99" s="308"/>
      <c r="K99" s="308"/>
      <c r="L99" s="308"/>
    </row>
    <row r="100" spans="2:12">
      <c r="B100" s="308"/>
      <c r="C100" s="308"/>
      <c r="D100" s="308"/>
      <c r="E100" s="308"/>
      <c r="F100" s="308"/>
      <c r="G100" s="308"/>
      <c r="H100" s="308"/>
      <c r="I100" s="308"/>
      <c r="J100" s="308"/>
      <c r="K100" s="308"/>
      <c r="L100" s="308"/>
    </row>
    <row r="101" spans="2:12">
      <c r="B101" s="308"/>
      <c r="C101" s="308"/>
      <c r="D101" s="308"/>
      <c r="E101" s="308"/>
      <c r="F101" s="308"/>
      <c r="G101" s="308"/>
      <c r="H101" s="308"/>
      <c r="I101" s="308"/>
      <c r="J101" s="308"/>
      <c r="K101" s="308"/>
      <c r="L101" s="308"/>
    </row>
    <row r="102" spans="2:12">
      <c r="B102" s="308"/>
      <c r="C102" s="308"/>
      <c r="D102" s="308"/>
      <c r="E102" s="308"/>
      <c r="F102" s="308"/>
      <c r="G102" s="308"/>
      <c r="H102" s="308"/>
      <c r="I102" s="308"/>
      <c r="J102" s="308"/>
      <c r="K102" s="308"/>
      <c r="L102" s="308"/>
    </row>
    <row r="103" spans="2:12">
      <c r="B103" s="308"/>
      <c r="C103" s="308"/>
      <c r="D103" s="308"/>
      <c r="E103" s="308"/>
      <c r="F103" s="308"/>
      <c r="G103" s="308"/>
      <c r="H103" s="308"/>
      <c r="I103" s="308"/>
      <c r="J103" s="308"/>
      <c r="K103" s="308"/>
      <c r="L103" s="308"/>
    </row>
    <row r="104" spans="2:12">
      <c r="B104" s="308"/>
      <c r="C104" s="308"/>
      <c r="D104" s="308"/>
      <c r="E104" s="308"/>
      <c r="F104" s="308"/>
      <c r="G104" s="308"/>
      <c r="H104" s="308"/>
      <c r="I104" s="308"/>
      <c r="J104" s="308"/>
      <c r="K104" s="308"/>
      <c r="L104" s="308"/>
    </row>
    <row r="105" spans="2:12">
      <c r="B105" s="308"/>
      <c r="C105" s="308"/>
      <c r="D105" s="308"/>
      <c r="E105" s="308"/>
      <c r="F105" s="308"/>
      <c r="G105" s="308"/>
      <c r="H105" s="308"/>
      <c r="I105" s="308"/>
      <c r="J105" s="308"/>
      <c r="K105" s="308"/>
      <c r="L105" s="308"/>
    </row>
    <row r="106" spans="2:12">
      <c r="B106" s="308"/>
      <c r="C106" s="308"/>
      <c r="D106" s="308"/>
      <c r="E106" s="308"/>
      <c r="F106" s="308"/>
      <c r="G106" s="308"/>
      <c r="H106" s="308"/>
      <c r="I106" s="308"/>
      <c r="J106" s="308"/>
      <c r="K106" s="308"/>
      <c r="L106" s="308"/>
    </row>
    <row r="107" spans="2:12">
      <c r="B107" s="308"/>
      <c r="C107" s="308"/>
      <c r="D107" s="308"/>
      <c r="E107" s="308"/>
      <c r="F107" s="308"/>
      <c r="G107" s="308"/>
      <c r="H107" s="308"/>
      <c r="I107" s="308"/>
      <c r="J107" s="308"/>
      <c r="K107" s="308"/>
      <c r="L107" s="308"/>
    </row>
    <row r="108" spans="2:12">
      <c r="B108" s="308"/>
      <c r="C108" s="308"/>
      <c r="D108" s="308"/>
      <c r="E108" s="308"/>
      <c r="F108" s="308"/>
      <c r="G108" s="308"/>
      <c r="H108" s="308"/>
      <c r="I108" s="308"/>
      <c r="J108" s="308"/>
      <c r="K108" s="308"/>
      <c r="L108" s="308"/>
    </row>
    <row r="109" spans="2:12">
      <c r="B109" s="308"/>
      <c r="C109" s="308"/>
      <c r="D109" s="308"/>
      <c r="E109" s="308"/>
      <c r="F109" s="308"/>
      <c r="G109" s="308"/>
      <c r="H109" s="308"/>
      <c r="I109" s="308"/>
      <c r="J109" s="308"/>
      <c r="K109" s="308"/>
      <c r="L109" s="308"/>
    </row>
    <row r="110" spans="2:12">
      <c r="B110" s="308"/>
      <c r="C110" s="308"/>
      <c r="D110" s="308"/>
      <c r="E110" s="308"/>
      <c r="F110" s="308"/>
      <c r="G110" s="308"/>
      <c r="H110" s="308"/>
      <c r="I110" s="308"/>
      <c r="J110" s="308"/>
      <c r="K110" s="308"/>
      <c r="L110" s="308"/>
    </row>
    <row r="111" spans="2:12">
      <c r="B111" s="308"/>
      <c r="C111" s="308"/>
      <c r="D111" s="308"/>
      <c r="E111" s="308"/>
      <c r="F111" s="308"/>
      <c r="G111" s="308"/>
      <c r="H111" s="308"/>
      <c r="I111" s="308"/>
      <c r="J111" s="308"/>
      <c r="K111" s="308"/>
      <c r="L111" s="308"/>
    </row>
    <row r="112" spans="2:12">
      <c r="B112" s="308"/>
      <c r="C112" s="308"/>
      <c r="D112" s="308"/>
      <c r="E112" s="308"/>
      <c r="F112" s="308"/>
      <c r="G112" s="308"/>
      <c r="H112" s="308"/>
      <c r="I112" s="308"/>
      <c r="J112" s="308"/>
      <c r="K112" s="308"/>
      <c r="L112" s="308"/>
    </row>
    <row r="113" spans="2:12">
      <c r="B113" s="308"/>
      <c r="C113" s="308"/>
      <c r="D113" s="308"/>
      <c r="E113" s="308"/>
      <c r="F113" s="308"/>
      <c r="G113" s="308"/>
      <c r="H113" s="308"/>
      <c r="I113" s="308"/>
      <c r="J113" s="308"/>
      <c r="K113" s="308"/>
      <c r="L113" s="308"/>
    </row>
    <row r="114" spans="2:12">
      <c r="B114" s="308"/>
      <c r="C114" s="308"/>
      <c r="D114" s="308"/>
      <c r="E114" s="308"/>
      <c r="F114" s="308"/>
      <c r="G114" s="308"/>
      <c r="H114" s="308"/>
      <c r="I114" s="308"/>
      <c r="J114" s="308"/>
      <c r="K114" s="308"/>
      <c r="L114" s="308"/>
    </row>
    <row r="115" spans="2:12">
      <c r="B115" s="308"/>
      <c r="C115" s="308"/>
      <c r="D115" s="308"/>
      <c r="E115" s="308"/>
      <c r="F115" s="308"/>
      <c r="G115" s="308"/>
      <c r="H115" s="308"/>
      <c r="I115" s="308"/>
      <c r="J115" s="308"/>
      <c r="K115" s="308"/>
      <c r="L115" s="308"/>
    </row>
    <row r="116" spans="2:12">
      <c r="B116" s="308"/>
      <c r="C116" s="308"/>
      <c r="D116" s="308"/>
      <c r="E116" s="308"/>
      <c r="F116" s="308"/>
      <c r="G116" s="308"/>
      <c r="H116" s="308"/>
      <c r="I116" s="308"/>
      <c r="J116" s="308"/>
      <c r="K116" s="308"/>
      <c r="L116" s="308"/>
    </row>
    <row r="117" spans="2:12">
      <c r="B117" s="308"/>
      <c r="C117" s="308"/>
      <c r="D117" s="308"/>
      <c r="E117" s="308"/>
      <c r="F117" s="308"/>
      <c r="G117" s="308"/>
      <c r="H117" s="308"/>
      <c r="I117" s="308"/>
      <c r="J117" s="308"/>
      <c r="K117" s="308"/>
      <c r="L117" s="308"/>
    </row>
    <row r="118" spans="2:12">
      <c r="B118" s="308"/>
      <c r="C118" s="308"/>
      <c r="D118" s="308"/>
      <c r="E118" s="308"/>
      <c r="F118" s="308"/>
      <c r="G118" s="308"/>
      <c r="H118" s="308"/>
      <c r="I118" s="308"/>
      <c r="J118" s="308"/>
      <c r="K118" s="308"/>
      <c r="L118" s="308"/>
    </row>
    <row r="119" spans="2:12">
      <c r="B119" s="308"/>
      <c r="C119" s="308"/>
      <c r="D119" s="308"/>
      <c r="E119" s="308"/>
      <c r="F119" s="308"/>
      <c r="G119" s="308"/>
      <c r="H119" s="308"/>
      <c r="I119" s="308"/>
      <c r="J119" s="308"/>
      <c r="K119" s="308"/>
      <c r="L119" s="308"/>
    </row>
    <row r="120" spans="2:12">
      <c r="B120" s="308"/>
      <c r="C120" s="308"/>
      <c r="D120" s="308"/>
      <c r="E120" s="308"/>
      <c r="F120" s="308"/>
      <c r="G120" s="308"/>
      <c r="H120" s="308"/>
      <c r="I120" s="308"/>
      <c r="J120" s="308"/>
      <c r="K120" s="308"/>
      <c r="L120" s="308"/>
    </row>
    <row r="121" spans="2:12">
      <c r="B121" s="308"/>
      <c r="C121" s="308"/>
      <c r="D121" s="308"/>
      <c r="E121" s="308"/>
      <c r="F121" s="308"/>
      <c r="G121" s="308"/>
      <c r="H121" s="308"/>
      <c r="I121" s="308"/>
      <c r="J121" s="308"/>
      <c r="K121" s="308"/>
      <c r="L121" s="308"/>
    </row>
    <row r="122" spans="2:12">
      <c r="B122" s="308"/>
      <c r="C122" s="308"/>
      <c r="D122" s="308"/>
      <c r="E122" s="308"/>
      <c r="F122" s="308"/>
      <c r="G122" s="308"/>
      <c r="H122" s="308"/>
      <c r="I122" s="308"/>
      <c r="J122" s="308"/>
      <c r="K122" s="308"/>
      <c r="L122" s="308"/>
    </row>
    <row r="123" spans="2:12">
      <c r="B123" s="308"/>
      <c r="C123" s="308"/>
      <c r="D123" s="308"/>
      <c r="E123" s="308"/>
      <c r="F123" s="308"/>
      <c r="G123" s="308"/>
      <c r="H123" s="308"/>
      <c r="I123" s="308"/>
      <c r="J123" s="308"/>
      <c r="K123" s="308"/>
      <c r="L123" s="308"/>
    </row>
    <row r="124" spans="2:12">
      <c r="B124" s="308"/>
      <c r="C124" s="308"/>
      <c r="D124" s="308"/>
      <c r="E124" s="308"/>
      <c r="F124" s="308"/>
      <c r="G124" s="308"/>
      <c r="H124" s="308"/>
      <c r="I124" s="308"/>
      <c r="J124" s="308"/>
      <c r="K124" s="308"/>
      <c r="L124" s="308"/>
    </row>
    <row r="125" spans="2:12">
      <c r="B125" s="308"/>
      <c r="C125" s="308"/>
      <c r="D125" s="308"/>
      <c r="E125" s="308"/>
      <c r="F125" s="308"/>
      <c r="G125" s="308"/>
      <c r="H125" s="308"/>
      <c r="I125" s="308"/>
      <c r="J125" s="308"/>
      <c r="K125" s="308"/>
      <c r="L125" s="308"/>
    </row>
    <row r="126" spans="2:12">
      <c r="B126" s="308"/>
      <c r="C126" s="308"/>
      <c r="D126" s="308"/>
      <c r="E126" s="308"/>
      <c r="F126" s="308"/>
      <c r="G126" s="308"/>
      <c r="H126" s="308"/>
      <c r="I126" s="308"/>
      <c r="J126" s="308"/>
      <c r="K126" s="308"/>
      <c r="L126" s="308"/>
    </row>
    <row r="127" spans="2:12">
      <c r="B127" s="308"/>
      <c r="C127" s="308"/>
      <c r="D127" s="308"/>
      <c r="E127" s="308"/>
      <c r="F127" s="308"/>
      <c r="G127" s="308"/>
      <c r="H127" s="308"/>
      <c r="I127" s="308"/>
      <c r="J127" s="308"/>
      <c r="K127" s="308"/>
      <c r="L127" s="308"/>
    </row>
    <row r="128" spans="2:12">
      <c r="B128" s="308"/>
      <c r="C128" s="308"/>
      <c r="D128" s="308"/>
      <c r="E128" s="308"/>
      <c r="F128" s="308"/>
      <c r="G128" s="308"/>
      <c r="H128" s="308"/>
      <c r="I128" s="308"/>
      <c r="J128" s="308"/>
      <c r="K128" s="308"/>
      <c r="L128" s="308"/>
    </row>
    <row r="129" spans="2:12">
      <c r="B129" s="308"/>
      <c r="C129" s="308"/>
      <c r="D129" s="308"/>
      <c r="E129" s="308"/>
      <c r="F129" s="308"/>
      <c r="G129" s="308"/>
      <c r="H129" s="308"/>
      <c r="I129" s="308"/>
      <c r="J129" s="308"/>
      <c r="K129" s="308"/>
      <c r="L129" s="308"/>
    </row>
    <row r="130" spans="2:12">
      <c r="B130" s="308"/>
      <c r="C130" s="308"/>
      <c r="D130" s="308"/>
      <c r="E130" s="308"/>
      <c r="F130" s="308"/>
      <c r="G130" s="308"/>
      <c r="H130" s="308"/>
      <c r="I130" s="308"/>
      <c r="J130" s="308"/>
      <c r="K130" s="308"/>
      <c r="L130" s="308"/>
    </row>
    <row r="131" spans="2:12">
      <c r="B131" s="308"/>
      <c r="C131" s="308"/>
      <c r="D131" s="308"/>
      <c r="E131" s="308"/>
      <c r="F131" s="308"/>
      <c r="G131" s="308"/>
      <c r="H131" s="308"/>
      <c r="I131" s="308"/>
      <c r="J131" s="308"/>
      <c r="K131" s="308"/>
      <c r="L131" s="308"/>
    </row>
    <row r="132" spans="2:12">
      <c r="B132" s="308"/>
      <c r="C132" s="308"/>
      <c r="D132" s="308"/>
      <c r="E132" s="308"/>
      <c r="F132" s="308"/>
      <c r="G132" s="308"/>
      <c r="H132" s="308"/>
      <c r="I132" s="308"/>
      <c r="J132" s="308"/>
      <c r="K132" s="308"/>
      <c r="L132" s="308"/>
    </row>
    <row r="133" spans="2:12">
      <c r="B133" s="308"/>
      <c r="C133" s="308"/>
      <c r="D133" s="308"/>
      <c r="E133" s="308"/>
      <c r="F133" s="308"/>
      <c r="G133" s="308"/>
      <c r="H133" s="308"/>
      <c r="I133" s="308"/>
      <c r="J133" s="308"/>
      <c r="K133" s="308"/>
      <c r="L133" s="308"/>
    </row>
    <row r="134" spans="2:12">
      <c r="B134" s="308"/>
      <c r="C134" s="308"/>
      <c r="D134" s="308"/>
      <c r="E134" s="308"/>
      <c r="F134" s="308"/>
      <c r="G134" s="308"/>
      <c r="H134" s="308"/>
      <c r="I134" s="308"/>
      <c r="J134" s="308"/>
      <c r="K134" s="308"/>
      <c r="L134" s="308"/>
    </row>
    <row r="135" spans="2:12">
      <c r="B135" s="308"/>
      <c r="C135" s="308"/>
      <c r="D135" s="308"/>
      <c r="E135" s="308"/>
      <c r="F135" s="308"/>
      <c r="G135" s="308"/>
      <c r="H135" s="308"/>
      <c r="I135" s="308"/>
      <c r="J135" s="308"/>
      <c r="K135" s="308"/>
      <c r="L135" s="308"/>
    </row>
    <row r="136" spans="2:12">
      <c r="B136" s="308"/>
      <c r="C136" s="308"/>
      <c r="D136" s="308"/>
      <c r="E136" s="308"/>
      <c r="F136" s="308"/>
      <c r="G136" s="308"/>
      <c r="H136" s="308"/>
      <c r="I136" s="308"/>
      <c r="J136" s="308"/>
      <c r="K136" s="308"/>
      <c r="L136" s="308"/>
    </row>
    <row r="137" spans="2:12">
      <c r="B137" s="308"/>
      <c r="C137" s="308"/>
      <c r="D137" s="308"/>
      <c r="E137" s="308"/>
      <c r="F137" s="308"/>
      <c r="G137" s="308"/>
      <c r="H137" s="308"/>
      <c r="I137" s="308"/>
      <c r="J137" s="308"/>
      <c r="K137" s="308"/>
      <c r="L137" s="308"/>
    </row>
    <row r="138" spans="2:12">
      <c r="B138" s="308"/>
      <c r="C138" s="308"/>
      <c r="D138" s="308"/>
      <c r="E138" s="308"/>
      <c r="F138" s="308"/>
      <c r="G138" s="308"/>
      <c r="H138" s="308"/>
      <c r="I138" s="308"/>
      <c r="J138" s="308"/>
      <c r="K138" s="308"/>
      <c r="L138" s="308"/>
    </row>
    <row r="139" spans="2:12">
      <c r="B139" s="308"/>
      <c r="C139" s="308"/>
      <c r="D139" s="308"/>
      <c r="E139" s="308"/>
      <c r="F139" s="308"/>
      <c r="G139" s="308"/>
      <c r="H139" s="308"/>
      <c r="I139" s="308"/>
      <c r="J139" s="308"/>
      <c r="K139" s="308"/>
      <c r="L139" s="308"/>
    </row>
    <row r="140" spans="2:12">
      <c r="B140" s="308"/>
      <c r="C140" s="308"/>
      <c r="D140" s="308"/>
      <c r="E140" s="308"/>
      <c r="F140" s="308"/>
      <c r="G140" s="308"/>
      <c r="H140" s="308"/>
      <c r="I140" s="308"/>
      <c r="J140" s="308"/>
      <c r="K140" s="308"/>
      <c r="L140" s="308"/>
    </row>
    <row r="141" spans="2:12">
      <c r="B141" s="308"/>
      <c r="C141" s="308"/>
      <c r="D141" s="308"/>
      <c r="E141" s="308"/>
      <c r="F141" s="308"/>
      <c r="G141" s="308"/>
      <c r="H141" s="308"/>
      <c r="I141" s="308"/>
      <c r="J141" s="308"/>
      <c r="K141" s="308"/>
      <c r="L141" s="308"/>
    </row>
    <row r="142" spans="2:12">
      <c r="B142" s="308"/>
      <c r="C142" s="308"/>
      <c r="D142" s="308"/>
      <c r="E142" s="308"/>
      <c r="F142" s="308"/>
      <c r="G142" s="308"/>
      <c r="H142" s="308"/>
      <c r="I142" s="308"/>
      <c r="J142" s="308"/>
      <c r="K142" s="308"/>
      <c r="L142" s="308"/>
    </row>
    <row r="143" spans="2:12">
      <c r="B143" s="308"/>
      <c r="C143" s="308"/>
      <c r="D143" s="308"/>
      <c r="E143" s="308"/>
      <c r="F143" s="308"/>
      <c r="G143" s="308"/>
      <c r="H143" s="308"/>
      <c r="I143" s="308"/>
      <c r="J143" s="308"/>
      <c r="K143" s="308"/>
      <c r="L143" s="308"/>
    </row>
    <row r="144" spans="2:12">
      <c r="B144" s="308"/>
      <c r="C144" s="308"/>
      <c r="D144" s="308"/>
      <c r="E144" s="308"/>
      <c r="F144" s="308"/>
      <c r="G144" s="308"/>
      <c r="H144" s="308"/>
      <c r="I144" s="308"/>
      <c r="J144" s="308"/>
      <c r="K144" s="308"/>
      <c r="L144" s="308"/>
    </row>
    <row r="145" spans="2:12">
      <c r="B145" s="308"/>
      <c r="C145" s="308"/>
      <c r="D145" s="308"/>
      <c r="E145" s="308"/>
      <c r="F145" s="308"/>
      <c r="G145" s="308"/>
      <c r="H145" s="308"/>
      <c r="I145" s="308"/>
      <c r="J145" s="308"/>
      <c r="K145" s="308"/>
      <c r="L145" s="308"/>
    </row>
    <row r="146" spans="2:12">
      <c r="B146" s="308"/>
      <c r="C146" s="308"/>
      <c r="D146" s="308"/>
      <c r="E146" s="308"/>
      <c r="F146" s="308"/>
      <c r="G146" s="308"/>
      <c r="H146" s="308"/>
      <c r="I146" s="308"/>
      <c r="J146" s="308"/>
      <c r="K146" s="308"/>
      <c r="L146" s="308"/>
    </row>
    <row r="147" spans="2:12">
      <c r="B147" s="308"/>
      <c r="C147" s="308"/>
      <c r="D147" s="308"/>
      <c r="E147" s="308"/>
      <c r="F147" s="308"/>
      <c r="G147" s="308"/>
      <c r="H147" s="308"/>
      <c r="I147" s="308"/>
      <c r="J147" s="308"/>
      <c r="K147" s="308"/>
      <c r="L147" s="308"/>
    </row>
    <row r="148" spans="2:12">
      <c r="B148" s="308"/>
      <c r="C148" s="308"/>
      <c r="D148" s="308"/>
      <c r="E148" s="308"/>
      <c r="F148" s="308"/>
      <c r="G148" s="308"/>
      <c r="H148" s="308"/>
      <c r="I148" s="308"/>
      <c r="J148" s="308"/>
      <c r="K148" s="308"/>
      <c r="L148" s="308"/>
    </row>
    <row r="149" spans="2:12">
      <c r="B149" s="308"/>
      <c r="C149" s="308"/>
      <c r="D149" s="308"/>
      <c r="E149" s="308"/>
      <c r="F149" s="308"/>
      <c r="G149" s="308"/>
      <c r="H149" s="308"/>
      <c r="I149" s="308"/>
      <c r="J149" s="308"/>
      <c r="K149" s="308"/>
      <c r="L149" s="308"/>
    </row>
    <row r="150" spans="2:12">
      <c r="B150" s="308"/>
      <c r="C150" s="308"/>
      <c r="D150" s="308"/>
      <c r="E150" s="308"/>
      <c r="F150" s="308"/>
      <c r="G150" s="308"/>
      <c r="H150" s="308"/>
      <c r="I150" s="308"/>
      <c r="J150" s="308"/>
      <c r="K150" s="308"/>
      <c r="L150" s="308"/>
    </row>
    <row r="151" spans="2:12">
      <c r="B151" s="308"/>
      <c r="C151" s="308"/>
      <c r="D151" s="308"/>
      <c r="E151" s="308"/>
      <c r="F151" s="308"/>
      <c r="G151" s="308"/>
      <c r="H151" s="308"/>
      <c r="I151" s="308"/>
      <c r="J151" s="308"/>
      <c r="K151" s="308"/>
      <c r="L151" s="308"/>
    </row>
    <row r="152" spans="2:12">
      <c r="B152" s="308"/>
      <c r="C152" s="308"/>
      <c r="D152" s="308"/>
      <c r="E152" s="308"/>
      <c r="F152" s="308"/>
      <c r="G152" s="308"/>
      <c r="H152" s="308"/>
      <c r="I152" s="308"/>
      <c r="J152" s="308"/>
      <c r="K152" s="308"/>
      <c r="L152" s="308"/>
    </row>
    <row r="153" spans="2:12">
      <c r="B153" s="308"/>
      <c r="C153" s="308"/>
      <c r="D153" s="308"/>
      <c r="E153" s="308"/>
      <c r="F153" s="308"/>
      <c r="G153" s="308"/>
      <c r="H153" s="308"/>
      <c r="I153" s="308"/>
      <c r="J153" s="308"/>
      <c r="K153" s="308"/>
      <c r="L153" s="308"/>
    </row>
    <row r="154" spans="2:12">
      <c r="B154" s="308"/>
      <c r="C154" s="308"/>
      <c r="D154" s="308"/>
      <c r="E154" s="308"/>
      <c r="F154" s="308"/>
      <c r="G154" s="308"/>
      <c r="H154" s="308"/>
      <c r="I154" s="308"/>
      <c r="J154" s="308"/>
      <c r="K154" s="308"/>
      <c r="L154" s="308"/>
    </row>
    <row r="155" spans="2:12">
      <c r="B155" s="308"/>
      <c r="C155" s="308"/>
      <c r="D155" s="308"/>
      <c r="E155" s="308"/>
      <c r="F155" s="308"/>
      <c r="G155" s="308"/>
      <c r="H155" s="308"/>
      <c r="I155" s="308"/>
      <c r="J155" s="308"/>
      <c r="K155" s="308"/>
      <c r="L155" s="308"/>
    </row>
    <row r="156" spans="2:12">
      <c r="B156" s="308"/>
      <c r="C156" s="308"/>
      <c r="D156" s="308"/>
      <c r="E156" s="308"/>
      <c r="F156" s="308"/>
      <c r="G156" s="308"/>
      <c r="H156" s="308"/>
      <c r="I156" s="308"/>
      <c r="J156" s="308"/>
      <c r="K156" s="308"/>
      <c r="L156" s="308"/>
    </row>
    <row r="157" spans="2:12">
      <c r="B157" s="308"/>
      <c r="C157" s="308"/>
      <c r="D157" s="308"/>
      <c r="E157" s="308"/>
      <c r="F157" s="308"/>
      <c r="G157" s="308"/>
      <c r="H157" s="308"/>
      <c r="I157" s="308"/>
      <c r="J157" s="308"/>
      <c r="K157" s="308"/>
      <c r="L157" s="308"/>
    </row>
    <row r="158" spans="2:12">
      <c r="B158" s="308"/>
      <c r="C158" s="308"/>
      <c r="D158" s="308"/>
      <c r="E158" s="308"/>
      <c r="F158" s="308"/>
      <c r="G158" s="308"/>
      <c r="H158" s="308"/>
      <c r="I158" s="308"/>
      <c r="J158" s="308"/>
      <c r="K158" s="308"/>
      <c r="L158" s="308"/>
    </row>
    <row r="159" spans="2:12">
      <c r="B159" s="308"/>
      <c r="C159" s="308"/>
      <c r="D159" s="308"/>
      <c r="E159" s="308"/>
      <c r="F159" s="308"/>
      <c r="G159" s="308"/>
      <c r="H159" s="308"/>
      <c r="I159" s="308"/>
      <c r="J159" s="308"/>
      <c r="K159" s="308"/>
      <c r="L159" s="308"/>
    </row>
    <row r="160" spans="2:12">
      <c r="B160" s="308"/>
      <c r="C160" s="308"/>
      <c r="D160" s="308"/>
      <c r="E160" s="308"/>
      <c r="F160" s="308"/>
      <c r="G160" s="308"/>
      <c r="H160" s="308"/>
      <c r="I160" s="308"/>
      <c r="J160" s="308"/>
      <c r="K160" s="308"/>
      <c r="L160" s="308"/>
    </row>
    <row r="161" spans="2:12">
      <c r="B161" s="308"/>
      <c r="C161" s="308"/>
      <c r="D161" s="308"/>
      <c r="E161" s="308"/>
      <c r="F161" s="308"/>
      <c r="G161" s="308"/>
      <c r="H161" s="308"/>
      <c r="I161" s="308"/>
      <c r="J161" s="308"/>
      <c r="K161" s="308"/>
      <c r="L161" s="308"/>
    </row>
    <row r="162" spans="2:12">
      <c r="B162" s="308"/>
      <c r="C162" s="308"/>
      <c r="D162" s="308"/>
      <c r="E162" s="308"/>
      <c r="F162" s="308"/>
      <c r="G162" s="308"/>
      <c r="H162" s="308"/>
      <c r="I162" s="308"/>
      <c r="J162" s="308"/>
      <c r="K162" s="308"/>
      <c r="L162" s="308"/>
    </row>
    <row r="163" spans="2:12">
      <c r="B163" s="308"/>
      <c r="C163" s="308"/>
      <c r="D163" s="308"/>
      <c r="E163" s="308"/>
      <c r="F163" s="308"/>
      <c r="G163" s="308"/>
      <c r="H163" s="308"/>
      <c r="I163" s="308"/>
      <c r="J163" s="308"/>
      <c r="K163" s="308"/>
      <c r="L163" s="308"/>
    </row>
    <row r="164" spans="2:12">
      <c r="B164" s="308"/>
      <c r="C164" s="308"/>
      <c r="D164" s="308"/>
      <c r="E164" s="308"/>
      <c r="F164" s="308"/>
      <c r="G164" s="308"/>
      <c r="H164" s="308"/>
      <c r="I164" s="308"/>
      <c r="J164" s="308"/>
      <c r="K164" s="308"/>
      <c r="L164" s="308"/>
    </row>
    <row r="165" spans="2:12">
      <c r="B165" s="308"/>
      <c r="C165" s="308"/>
      <c r="D165" s="308"/>
      <c r="E165" s="308"/>
      <c r="F165" s="308"/>
      <c r="G165" s="308"/>
      <c r="H165" s="308"/>
      <c r="I165" s="308"/>
      <c r="J165" s="308"/>
      <c r="K165" s="308"/>
      <c r="L165" s="308"/>
    </row>
    <row r="166" spans="2:12">
      <c r="B166" s="308"/>
      <c r="C166" s="308"/>
      <c r="D166" s="308"/>
      <c r="E166" s="308"/>
      <c r="F166" s="308"/>
      <c r="G166" s="308"/>
      <c r="H166" s="308"/>
      <c r="I166" s="308"/>
      <c r="J166" s="308"/>
      <c r="K166" s="308"/>
      <c r="L166" s="308"/>
    </row>
    <row r="167" spans="2:12">
      <c r="B167" s="308"/>
      <c r="C167" s="308"/>
      <c r="D167" s="308"/>
      <c r="E167" s="308"/>
      <c r="F167" s="308"/>
      <c r="G167" s="308"/>
      <c r="H167" s="308"/>
      <c r="I167" s="308"/>
      <c r="J167" s="308"/>
      <c r="K167" s="308"/>
      <c r="L167" s="308"/>
    </row>
    <row r="168" spans="2:12">
      <c r="B168" s="308"/>
      <c r="C168" s="308"/>
      <c r="D168" s="308"/>
      <c r="E168" s="308"/>
      <c r="F168" s="308"/>
      <c r="G168" s="308"/>
      <c r="H168" s="308"/>
      <c r="I168" s="308"/>
      <c r="J168" s="308"/>
      <c r="K168" s="308"/>
      <c r="L168" s="308"/>
    </row>
    <row r="169" spans="2:12">
      <c r="B169" s="308"/>
      <c r="C169" s="308"/>
      <c r="D169" s="308"/>
      <c r="E169" s="308"/>
      <c r="F169" s="308"/>
      <c r="G169" s="308"/>
      <c r="H169" s="308"/>
      <c r="I169" s="308"/>
      <c r="J169" s="308"/>
      <c r="K169" s="308"/>
      <c r="L169" s="308"/>
    </row>
    <row r="170" spans="2:12">
      <c r="B170" s="308"/>
      <c r="C170" s="308"/>
      <c r="D170" s="308"/>
      <c r="E170" s="308"/>
      <c r="F170" s="308"/>
      <c r="G170" s="308"/>
      <c r="H170" s="308"/>
      <c r="I170" s="308"/>
      <c r="J170" s="308"/>
      <c r="K170" s="308"/>
      <c r="L170" s="308"/>
    </row>
    <row r="171" spans="2:12">
      <c r="B171" s="308"/>
      <c r="C171" s="308"/>
      <c r="D171" s="308"/>
      <c r="E171" s="308"/>
      <c r="F171" s="308"/>
      <c r="G171" s="308"/>
      <c r="H171" s="308"/>
      <c r="I171" s="308"/>
      <c r="J171" s="308"/>
      <c r="K171" s="308"/>
      <c r="L171" s="308"/>
    </row>
    <row r="172" spans="2:12">
      <c r="B172" s="308"/>
      <c r="C172" s="308"/>
      <c r="D172" s="308"/>
      <c r="E172" s="308"/>
      <c r="F172" s="308"/>
      <c r="G172" s="308"/>
      <c r="H172" s="308"/>
      <c r="I172" s="308"/>
      <c r="J172" s="308"/>
      <c r="K172" s="308"/>
      <c r="L172" s="308"/>
    </row>
    <row r="173" spans="2:12">
      <c r="B173" s="308"/>
      <c r="C173" s="308"/>
      <c r="D173" s="308"/>
      <c r="E173" s="308"/>
      <c r="F173" s="308"/>
      <c r="G173" s="308"/>
      <c r="H173" s="308"/>
      <c r="I173" s="308"/>
      <c r="J173" s="308"/>
      <c r="K173" s="308"/>
      <c r="L173" s="308"/>
    </row>
    <row r="174" spans="2:12">
      <c r="B174" s="308"/>
      <c r="C174" s="308"/>
      <c r="D174" s="308"/>
      <c r="E174" s="308"/>
      <c r="F174" s="308"/>
      <c r="G174" s="308"/>
      <c r="H174" s="308"/>
      <c r="I174" s="308"/>
      <c r="J174" s="308"/>
      <c r="K174" s="308"/>
      <c r="L174" s="308"/>
    </row>
    <row r="175" spans="2:12">
      <c r="B175" s="308"/>
      <c r="C175" s="308"/>
      <c r="D175" s="308"/>
      <c r="E175" s="308"/>
      <c r="F175" s="308"/>
      <c r="G175" s="308"/>
      <c r="H175" s="308"/>
      <c r="I175" s="308"/>
      <c r="J175" s="308"/>
      <c r="K175" s="308"/>
      <c r="L175" s="308"/>
    </row>
    <row r="176" spans="2:12">
      <c r="B176" s="308"/>
      <c r="C176" s="308"/>
      <c r="D176" s="308"/>
      <c r="E176" s="308"/>
      <c r="F176" s="308"/>
      <c r="G176" s="308"/>
      <c r="H176" s="308"/>
      <c r="I176" s="308"/>
      <c r="J176" s="308"/>
      <c r="K176" s="308"/>
      <c r="L176" s="308"/>
    </row>
    <row r="177" spans="2:12">
      <c r="B177" s="308"/>
      <c r="C177" s="308"/>
      <c r="D177" s="308"/>
      <c r="E177" s="308"/>
      <c r="F177" s="308"/>
      <c r="G177" s="308"/>
      <c r="H177" s="308"/>
      <c r="I177" s="308"/>
      <c r="J177" s="308"/>
      <c r="K177" s="308"/>
      <c r="L177" s="308"/>
    </row>
    <row r="178" spans="2:12">
      <c r="B178" s="308"/>
      <c r="C178" s="308"/>
      <c r="D178" s="308"/>
      <c r="E178" s="308"/>
      <c r="F178" s="308"/>
      <c r="G178" s="308"/>
      <c r="H178" s="308"/>
      <c r="I178" s="308"/>
      <c r="J178" s="308"/>
      <c r="K178" s="308"/>
      <c r="L178" s="308"/>
    </row>
    <row r="179" spans="2:12">
      <c r="B179" s="308"/>
      <c r="C179" s="308"/>
      <c r="D179" s="308"/>
      <c r="E179" s="308"/>
      <c r="F179" s="308"/>
      <c r="G179" s="308"/>
      <c r="H179" s="308"/>
      <c r="I179" s="308"/>
      <c r="J179" s="308"/>
      <c r="K179" s="308"/>
      <c r="L179" s="308"/>
    </row>
    <row r="180" spans="2:12">
      <c r="B180" s="308"/>
      <c r="C180" s="308"/>
      <c r="D180" s="308"/>
      <c r="E180" s="308"/>
      <c r="F180" s="308"/>
      <c r="G180" s="308"/>
      <c r="H180" s="308"/>
      <c r="I180" s="308"/>
      <c r="J180" s="308"/>
      <c r="K180" s="308"/>
      <c r="L180" s="308"/>
    </row>
    <row r="181" spans="2:12">
      <c r="B181" s="308"/>
      <c r="C181" s="308"/>
      <c r="D181" s="308"/>
      <c r="E181" s="308"/>
      <c r="F181" s="308"/>
      <c r="G181" s="308"/>
      <c r="H181" s="308"/>
      <c r="I181" s="308"/>
      <c r="J181" s="308"/>
      <c r="K181" s="308"/>
      <c r="L181" s="308"/>
    </row>
    <row r="182" spans="2:12">
      <c r="B182" s="308"/>
      <c r="C182" s="308"/>
      <c r="D182" s="308"/>
      <c r="E182" s="308"/>
      <c r="F182" s="308"/>
      <c r="G182" s="308"/>
      <c r="H182" s="308"/>
      <c r="I182" s="308"/>
      <c r="J182" s="308"/>
      <c r="K182" s="308"/>
      <c r="L182" s="308"/>
    </row>
    <row r="183" spans="2:12">
      <c r="B183" s="308"/>
      <c r="C183" s="308"/>
      <c r="D183" s="308"/>
      <c r="E183" s="308"/>
      <c r="F183" s="308"/>
      <c r="G183" s="308"/>
      <c r="H183" s="308"/>
      <c r="I183" s="308"/>
      <c r="J183" s="308"/>
      <c r="K183" s="308"/>
      <c r="L183" s="308"/>
    </row>
    <row r="184" spans="2:12">
      <c r="B184" s="308"/>
      <c r="C184" s="308"/>
      <c r="D184" s="308"/>
      <c r="E184" s="308"/>
      <c r="F184" s="308"/>
      <c r="G184" s="308"/>
      <c r="H184" s="308"/>
      <c r="I184" s="308"/>
      <c r="J184" s="308"/>
      <c r="K184" s="308"/>
      <c r="L184" s="308"/>
    </row>
    <row r="185" spans="2:12">
      <c r="B185" s="308"/>
      <c r="C185" s="308"/>
      <c r="D185" s="308"/>
      <c r="E185" s="308"/>
      <c r="F185" s="308"/>
      <c r="G185" s="308"/>
      <c r="H185" s="308"/>
      <c r="I185" s="308"/>
      <c r="J185" s="308"/>
      <c r="K185" s="308"/>
      <c r="L185" s="308"/>
    </row>
    <row r="186" spans="2:12">
      <c r="B186" s="308"/>
      <c r="C186" s="308"/>
      <c r="D186" s="308"/>
      <c r="E186" s="308"/>
      <c r="F186" s="308"/>
      <c r="G186" s="308"/>
      <c r="H186" s="308"/>
      <c r="I186" s="308"/>
      <c r="J186" s="308"/>
      <c r="K186" s="308"/>
      <c r="L186" s="308"/>
    </row>
    <row r="187" spans="2:12">
      <c r="B187" s="308"/>
      <c r="C187" s="308"/>
      <c r="D187" s="308"/>
      <c r="E187" s="308"/>
      <c r="F187" s="308"/>
      <c r="G187" s="308"/>
      <c r="H187" s="308"/>
      <c r="I187" s="308"/>
      <c r="J187" s="308"/>
      <c r="K187" s="308"/>
      <c r="L187" s="308"/>
    </row>
    <row r="188" spans="2:12">
      <c r="B188" s="308"/>
      <c r="C188" s="308"/>
      <c r="D188" s="308"/>
      <c r="E188" s="308"/>
      <c r="F188" s="308"/>
      <c r="G188" s="308"/>
      <c r="H188" s="308"/>
      <c r="I188" s="308"/>
      <c r="J188" s="308"/>
      <c r="K188" s="308"/>
      <c r="L188" s="308"/>
    </row>
    <row r="189" spans="2:12">
      <c r="B189" s="308"/>
      <c r="C189" s="308"/>
      <c r="D189" s="308"/>
      <c r="E189" s="308"/>
      <c r="F189" s="308"/>
      <c r="G189" s="308"/>
      <c r="H189" s="308"/>
      <c r="I189" s="308"/>
      <c r="J189" s="308"/>
      <c r="K189" s="308"/>
      <c r="L189" s="308"/>
    </row>
    <row r="190" spans="2:12">
      <c r="B190" s="308"/>
      <c r="C190" s="308"/>
      <c r="D190" s="308"/>
      <c r="E190" s="308"/>
      <c r="F190" s="308"/>
      <c r="G190" s="308"/>
      <c r="H190" s="308"/>
      <c r="I190" s="308"/>
      <c r="J190" s="308"/>
      <c r="K190" s="308"/>
      <c r="L190" s="308"/>
    </row>
    <row r="191" spans="2:12">
      <c r="B191" s="308"/>
      <c r="C191" s="308"/>
      <c r="D191" s="308"/>
      <c r="E191" s="308"/>
      <c r="F191" s="308"/>
      <c r="G191" s="308"/>
      <c r="H191" s="308"/>
      <c r="I191" s="308"/>
      <c r="J191" s="308"/>
      <c r="K191" s="308"/>
      <c r="L191" s="308"/>
    </row>
    <row r="192" spans="2:12">
      <c r="B192" s="308"/>
      <c r="C192" s="308"/>
      <c r="D192" s="308"/>
      <c r="E192" s="308"/>
      <c r="F192" s="308"/>
      <c r="G192" s="308"/>
      <c r="H192" s="308"/>
      <c r="I192" s="308"/>
      <c r="J192" s="308"/>
      <c r="K192" s="308"/>
      <c r="L192" s="308"/>
    </row>
    <row r="193" spans="2:12">
      <c r="B193" s="308"/>
      <c r="C193" s="308"/>
      <c r="D193" s="308"/>
      <c r="E193" s="308"/>
      <c r="F193" s="308"/>
      <c r="G193" s="308"/>
      <c r="H193" s="308"/>
      <c r="I193" s="308"/>
      <c r="J193" s="308"/>
      <c r="K193" s="308"/>
      <c r="L193" s="308"/>
    </row>
    <row r="194" spans="2:12">
      <c r="B194" s="308"/>
      <c r="C194" s="308"/>
      <c r="D194" s="308"/>
      <c r="E194" s="308"/>
      <c r="F194" s="308"/>
      <c r="G194" s="308"/>
      <c r="H194" s="308"/>
      <c r="I194" s="308"/>
      <c r="J194" s="308"/>
      <c r="K194" s="308"/>
      <c r="L194" s="308"/>
    </row>
    <row r="195" spans="2:12">
      <c r="B195" s="308"/>
      <c r="C195" s="308"/>
      <c r="D195" s="308"/>
      <c r="E195" s="308"/>
      <c r="F195" s="308"/>
      <c r="G195" s="308"/>
      <c r="H195" s="308"/>
      <c r="I195" s="308"/>
      <c r="J195" s="308"/>
      <c r="K195" s="308"/>
      <c r="L195" s="308"/>
    </row>
    <row r="196" spans="2:12">
      <c r="B196" s="308"/>
      <c r="C196" s="308"/>
      <c r="D196" s="308"/>
      <c r="E196" s="308"/>
      <c r="F196" s="308"/>
      <c r="G196" s="308"/>
      <c r="H196" s="308"/>
      <c r="I196" s="308"/>
      <c r="J196" s="308"/>
      <c r="K196" s="308"/>
      <c r="L196" s="308"/>
    </row>
    <row r="197" spans="2:12">
      <c r="B197" s="308"/>
      <c r="C197" s="308"/>
      <c r="D197" s="308"/>
      <c r="E197" s="308"/>
      <c r="F197" s="308"/>
      <c r="G197" s="308"/>
      <c r="H197" s="308"/>
      <c r="I197" s="308"/>
      <c r="J197" s="308"/>
      <c r="K197" s="308"/>
      <c r="L197" s="308"/>
    </row>
    <row r="198" spans="2:12">
      <c r="B198" s="308"/>
      <c r="C198" s="308"/>
      <c r="D198" s="308"/>
      <c r="E198" s="308"/>
      <c r="F198" s="308"/>
      <c r="G198" s="308"/>
      <c r="H198" s="308"/>
      <c r="I198" s="308"/>
      <c r="J198" s="308"/>
      <c r="K198" s="308"/>
      <c r="L198" s="308"/>
    </row>
    <row r="199" spans="2:12">
      <c r="B199" s="308"/>
      <c r="C199" s="308"/>
      <c r="D199" s="308"/>
      <c r="E199" s="308"/>
      <c r="F199" s="308"/>
      <c r="G199" s="308"/>
      <c r="H199" s="308"/>
      <c r="I199" s="308"/>
      <c r="J199" s="308"/>
      <c r="K199" s="308"/>
      <c r="L199" s="308"/>
    </row>
    <row r="200" spans="2:12">
      <c r="B200" s="308"/>
      <c r="C200" s="308"/>
      <c r="D200" s="308"/>
      <c r="E200" s="308"/>
      <c r="F200" s="308"/>
      <c r="G200" s="308"/>
      <c r="H200" s="308"/>
      <c r="I200" s="308"/>
      <c r="J200" s="308"/>
      <c r="K200" s="308"/>
      <c r="L200" s="308"/>
    </row>
    <row r="201" spans="2:12">
      <c r="B201" s="308"/>
      <c r="C201" s="308"/>
      <c r="D201" s="308"/>
      <c r="E201" s="308"/>
      <c r="F201" s="308"/>
      <c r="G201" s="308"/>
      <c r="H201" s="308"/>
      <c r="I201" s="308"/>
      <c r="J201" s="308"/>
      <c r="K201" s="308"/>
      <c r="L201" s="308"/>
    </row>
    <row r="202" spans="2:12">
      <c r="B202" s="308"/>
      <c r="C202" s="308"/>
      <c r="D202" s="308"/>
      <c r="E202" s="308"/>
      <c r="F202" s="308"/>
      <c r="G202" s="308"/>
      <c r="H202" s="308"/>
      <c r="I202" s="308"/>
      <c r="J202" s="308"/>
      <c r="K202" s="308"/>
      <c r="L202" s="308"/>
    </row>
    <row r="203" spans="2:12">
      <c r="B203" s="308"/>
      <c r="C203" s="308"/>
      <c r="D203" s="308"/>
      <c r="E203" s="308"/>
      <c r="F203" s="308"/>
      <c r="G203" s="308"/>
      <c r="H203" s="308"/>
      <c r="I203" s="308"/>
      <c r="J203" s="308"/>
      <c r="K203" s="308"/>
      <c r="L203" s="308"/>
    </row>
    <row r="204" spans="2:12">
      <c r="B204" s="308"/>
      <c r="C204" s="308"/>
      <c r="D204" s="308"/>
      <c r="E204" s="308"/>
      <c r="F204" s="308"/>
      <c r="G204" s="308"/>
      <c r="H204" s="308"/>
      <c r="I204" s="308"/>
      <c r="J204" s="308"/>
      <c r="K204" s="308"/>
      <c r="L204" s="308"/>
    </row>
    <row r="205" spans="2:12">
      <c r="B205" s="308"/>
      <c r="C205" s="308"/>
      <c r="D205" s="308"/>
      <c r="E205" s="308"/>
      <c r="F205" s="308"/>
      <c r="G205" s="308"/>
      <c r="H205" s="308"/>
      <c r="I205" s="308"/>
      <c r="J205" s="308"/>
      <c r="K205" s="308"/>
      <c r="L205" s="308"/>
    </row>
    <row r="206" spans="2:12">
      <c r="B206" s="308"/>
      <c r="C206" s="308"/>
      <c r="D206" s="308"/>
      <c r="E206" s="308"/>
      <c r="F206" s="308"/>
      <c r="G206" s="308"/>
      <c r="H206" s="308"/>
      <c r="I206" s="308"/>
      <c r="J206" s="308"/>
      <c r="K206" s="308"/>
      <c r="L206" s="308"/>
    </row>
    <row r="207" spans="2:12">
      <c r="B207" s="308"/>
      <c r="C207" s="308"/>
      <c r="D207" s="308"/>
      <c r="E207" s="308"/>
      <c r="F207" s="308"/>
      <c r="G207" s="308"/>
      <c r="H207" s="308"/>
      <c r="I207" s="308"/>
      <c r="J207" s="308"/>
      <c r="K207" s="308"/>
      <c r="L207" s="308"/>
    </row>
    <row r="208" spans="2:12">
      <c r="B208" s="308"/>
      <c r="C208" s="308"/>
      <c r="D208" s="308"/>
      <c r="E208" s="308"/>
      <c r="F208" s="308"/>
      <c r="G208" s="308"/>
      <c r="H208" s="308"/>
      <c r="I208" s="308"/>
      <c r="J208" s="308"/>
      <c r="K208" s="308"/>
      <c r="L208" s="308"/>
    </row>
    <row r="209" spans="2:12">
      <c r="B209" s="308"/>
      <c r="C209" s="308"/>
      <c r="D209" s="308"/>
      <c r="E209" s="308"/>
      <c r="F209" s="308"/>
      <c r="G209" s="308"/>
      <c r="H209" s="308"/>
      <c r="I209" s="308"/>
      <c r="J209" s="308"/>
      <c r="K209" s="308"/>
      <c r="L209" s="308"/>
    </row>
    <row r="210" spans="2:12">
      <c r="B210" s="308"/>
      <c r="C210" s="308"/>
      <c r="D210" s="308"/>
      <c r="E210" s="308"/>
      <c r="F210" s="308"/>
      <c r="G210" s="308"/>
      <c r="H210" s="308"/>
      <c r="I210" s="308"/>
      <c r="J210" s="308"/>
      <c r="K210" s="308"/>
      <c r="L210" s="308"/>
    </row>
    <row r="211" spans="2:12">
      <c r="B211" s="308"/>
      <c r="C211" s="308"/>
      <c r="D211" s="308"/>
      <c r="E211" s="308"/>
      <c r="F211" s="308"/>
      <c r="G211" s="308"/>
      <c r="H211" s="308"/>
      <c r="I211" s="308"/>
      <c r="J211" s="308"/>
      <c r="K211" s="308"/>
      <c r="L211" s="308"/>
    </row>
    <row r="212" spans="2:12">
      <c r="B212" s="308"/>
      <c r="C212" s="308"/>
      <c r="D212" s="308"/>
      <c r="E212" s="308"/>
      <c r="F212" s="308"/>
      <c r="G212" s="308"/>
      <c r="H212" s="308"/>
      <c r="I212" s="308"/>
      <c r="J212" s="308"/>
      <c r="K212" s="308"/>
      <c r="L212" s="308"/>
    </row>
    <row r="213" spans="2:12">
      <c r="B213" s="308"/>
      <c r="C213" s="308"/>
      <c r="D213" s="308"/>
      <c r="E213" s="308"/>
      <c r="F213" s="308"/>
      <c r="G213" s="308"/>
      <c r="H213" s="308"/>
      <c r="I213" s="308"/>
      <c r="J213" s="308"/>
      <c r="K213" s="308"/>
      <c r="L213" s="308"/>
    </row>
    <row r="214" spans="2:12">
      <c r="B214" s="308"/>
      <c r="C214" s="308"/>
      <c r="D214" s="308"/>
      <c r="E214" s="308"/>
      <c r="F214" s="308"/>
      <c r="G214" s="308"/>
      <c r="H214" s="308"/>
      <c r="I214" s="308"/>
      <c r="J214" s="308"/>
      <c r="K214" s="308"/>
      <c r="L214" s="308"/>
    </row>
    <row r="215" spans="2:12">
      <c r="B215" s="308"/>
      <c r="C215" s="308"/>
      <c r="D215" s="308"/>
      <c r="E215" s="308"/>
      <c r="F215" s="308"/>
      <c r="G215" s="308"/>
      <c r="H215" s="308"/>
      <c r="I215" s="308"/>
      <c r="J215" s="308"/>
      <c r="K215" s="308"/>
      <c r="L215" s="308"/>
    </row>
    <row r="216" spans="2:12">
      <c r="B216" s="308"/>
      <c r="C216" s="308"/>
      <c r="D216" s="308"/>
      <c r="E216" s="308"/>
      <c r="F216" s="308"/>
      <c r="G216" s="308"/>
      <c r="H216" s="308"/>
      <c r="I216" s="308"/>
      <c r="J216" s="308"/>
      <c r="K216" s="308"/>
      <c r="L216" s="308"/>
    </row>
    <row r="217" spans="2:12">
      <c r="B217" s="308"/>
      <c r="C217" s="308"/>
      <c r="D217" s="308"/>
      <c r="E217" s="308"/>
      <c r="F217" s="308"/>
      <c r="G217" s="308"/>
      <c r="H217" s="308"/>
      <c r="I217" s="308"/>
      <c r="J217" s="308"/>
      <c r="K217" s="308"/>
      <c r="L217" s="308"/>
    </row>
    <row r="218" spans="2:12">
      <c r="B218" s="308"/>
      <c r="C218" s="308"/>
      <c r="D218" s="308"/>
      <c r="E218" s="308"/>
      <c r="F218" s="308"/>
      <c r="G218" s="308"/>
      <c r="H218" s="308"/>
      <c r="I218" s="308"/>
      <c r="J218" s="308"/>
      <c r="K218" s="308"/>
      <c r="L218" s="308"/>
    </row>
    <row r="219" spans="2:12">
      <c r="B219" s="308"/>
      <c r="C219" s="308"/>
      <c r="D219" s="308"/>
      <c r="E219" s="308"/>
      <c r="F219" s="308"/>
      <c r="G219" s="308"/>
      <c r="H219" s="308"/>
      <c r="I219" s="308"/>
      <c r="J219" s="308"/>
      <c r="K219" s="308"/>
      <c r="L219" s="308"/>
    </row>
    <row r="220" spans="2:12">
      <c r="B220" s="308"/>
      <c r="C220" s="308"/>
      <c r="D220" s="308"/>
      <c r="E220" s="308"/>
      <c r="F220" s="308"/>
      <c r="G220" s="308"/>
      <c r="H220" s="308"/>
      <c r="I220" s="308"/>
      <c r="J220" s="308"/>
      <c r="K220" s="308"/>
      <c r="L220" s="308"/>
    </row>
    <row r="221" spans="2:12">
      <c r="B221" s="308"/>
      <c r="C221" s="308"/>
      <c r="D221" s="308"/>
      <c r="E221" s="308"/>
      <c r="F221" s="308"/>
      <c r="G221" s="308"/>
      <c r="H221" s="308"/>
      <c r="I221" s="308"/>
      <c r="J221" s="308"/>
      <c r="K221" s="308"/>
      <c r="L221" s="308"/>
    </row>
    <row r="222" spans="2:12">
      <c r="B222" s="308"/>
      <c r="C222" s="308"/>
      <c r="D222" s="308"/>
      <c r="E222" s="308"/>
      <c r="F222" s="308"/>
      <c r="G222" s="308"/>
      <c r="H222" s="308"/>
      <c r="I222" s="308"/>
      <c r="J222" s="308"/>
      <c r="K222" s="308"/>
      <c r="L222" s="308"/>
    </row>
    <row r="223" spans="2:12">
      <c r="B223" s="308"/>
      <c r="C223" s="308"/>
      <c r="D223" s="308"/>
      <c r="E223" s="308"/>
      <c r="F223" s="308"/>
      <c r="G223" s="308"/>
      <c r="H223" s="308"/>
      <c r="I223" s="308"/>
      <c r="J223" s="308"/>
      <c r="K223" s="308"/>
      <c r="L223" s="308"/>
    </row>
    <row r="224" spans="2:12">
      <c r="B224" s="308"/>
      <c r="C224" s="308"/>
      <c r="D224" s="308"/>
      <c r="E224" s="308"/>
      <c r="F224" s="308"/>
      <c r="G224" s="308"/>
      <c r="H224" s="308"/>
      <c r="I224" s="308"/>
      <c r="J224" s="308"/>
      <c r="K224" s="308"/>
      <c r="L224" s="308"/>
    </row>
    <row r="225" spans="2:12">
      <c r="B225" s="308"/>
      <c r="C225" s="308"/>
      <c r="D225" s="308"/>
      <c r="E225" s="308"/>
      <c r="F225" s="308"/>
      <c r="G225" s="308"/>
      <c r="H225" s="308"/>
      <c r="I225" s="308"/>
      <c r="J225" s="308"/>
      <c r="K225" s="308"/>
      <c r="L225" s="308"/>
    </row>
    <row r="226" spans="2:12">
      <c r="B226" s="308"/>
      <c r="C226" s="308"/>
      <c r="D226" s="308"/>
      <c r="E226" s="308"/>
      <c r="F226" s="308"/>
      <c r="G226" s="308"/>
      <c r="H226" s="308"/>
      <c r="I226" s="308"/>
      <c r="J226" s="308"/>
      <c r="K226" s="308"/>
      <c r="L226" s="308"/>
    </row>
    <row r="227" spans="2:12">
      <c r="B227" s="308"/>
      <c r="C227" s="308"/>
      <c r="D227" s="308"/>
      <c r="E227" s="308"/>
      <c r="F227" s="308"/>
      <c r="G227" s="308"/>
      <c r="H227" s="308"/>
      <c r="I227" s="308"/>
      <c r="J227" s="308"/>
      <c r="K227" s="308"/>
      <c r="L227" s="308"/>
    </row>
    <row r="228" spans="2:12">
      <c r="B228" s="308"/>
      <c r="C228" s="308"/>
      <c r="D228" s="308"/>
      <c r="E228" s="308"/>
      <c r="F228" s="308"/>
      <c r="G228" s="308"/>
      <c r="H228" s="308"/>
      <c r="I228" s="308"/>
      <c r="J228" s="308"/>
      <c r="K228" s="308"/>
      <c r="L228" s="308"/>
    </row>
    <row r="229" spans="2:12">
      <c r="B229" s="308"/>
      <c r="C229" s="308"/>
      <c r="D229" s="308"/>
      <c r="E229" s="308"/>
      <c r="F229" s="308"/>
      <c r="G229" s="308"/>
      <c r="H229" s="308"/>
      <c r="I229" s="308"/>
      <c r="J229" s="308"/>
      <c r="K229" s="308"/>
      <c r="L229" s="308"/>
    </row>
    <row r="230" spans="2:12">
      <c r="B230" s="308"/>
      <c r="C230" s="308"/>
      <c r="D230" s="308"/>
      <c r="E230" s="308"/>
      <c r="F230" s="308"/>
      <c r="G230" s="308"/>
      <c r="H230" s="308"/>
      <c r="I230" s="308"/>
      <c r="J230" s="308"/>
      <c r="K230" s="308"/>
      <c r="L230" s="308"/>
    </row>
    <row r="231" spans="2:12">
      <c r="B231" s="308"/>
      <c r="C231" s="308"/>
      <c r="D231" s="308"/>
      <c r="E231" s="308"/>
      <c r="F231" s="308"/>
      <c r="G231" s="308"/>
      <c r="H231" s="308"/>
      <c r="I231" s="308"/>
      <c r="J231" s="308"/>
      <c r="K231" s="308"/>
      <c r="L231" s="308"/>
    </row>
    <row r="232" spans="2:12">
      <c r="B232" s="308"/>
      <c r="C232" s="308"/>
      <c r="D232" s="308"/>
      <c r="E232" s="308"/>
      <c r="F232" s="308"/>
      <c r="G232" s="308"/>
      <c r="H232" s="308"/>
      <c r="I232" s="308"/>
      <c r="J232" s="308"/>
      <c r="K232" s="308"/>
      <c r="L232" s="308"/>
    </row>
    <row r="233" spans="2:12">
      <c r="B233" s="308"/>
      <c r="C233" s="308"/>
      <c r="D233" s="308"/>
      <c r="E233" s="308"/>
      <c r="F233" s="308"/>
      <c r="G233" s="308"/>
      <c r="H233" s="308"/>
      <c r="I233" s="308"/>
      <c r="J233" s="308"/>
      <c r="K233" s="308"/>
      <c r="L233" s="308"/>
    </row>
    <row r="234" spans="2:12">
      <c r="B234" s="308"/>
      <c r="C234" s="308"/>
      <c r="D234" s="308"/>
      <c r="E234" s="308"/>
      <c r="F234" s="308"/>
      <c r="G234" s="308"/>
      <c r="H234" s="308"/>
      <c r="I234" s="308"/>
      <c r="J234" s="308"/>
      <c r="K234" s="308"/>
      <c r="L234" s="308"/>
    </row>
    <row r="235" spans="2:12">
      <c r="B235" s="308"/>
      <c r="C235" s="308"/>
      <c r="D235" s="308"/>
      <c r="E235" s="308"/>
      <c r="F235" s="308"/>
      <c r="G235" s="308"/>
      <c r="H235" s="308"/>
      <c r="I235" s="308"/>
      <c r="J235" s="308"/>
      <c r="K235" s="308"/>
      <c r="L235" s="308"/>
    </row>
    <row r="236" spans="2:12">
      <c r="B236" s="308"/>
      <c r="C236" s="308"/>
      <c r="D236" s="308"/>
      <c r="E236" s="308"/>
      <c r="F236" s="308"/>
      <c r="G236" s="308"/>
      <c r="H236" s="308"/>
      <c r="I236" s="308"/>
      <c r="J236" s="308"/>
      <c r="K236" s="308"/>
      <c r="L236" s="308"/>
    </row>
    <row r="237" spans="2:12">
      <c r="B237" s="308"/>
      <c r="C237" s="308"/>
      <c r="D237" s="308"/>
      <c r="E237" s="308"/>
      <c r="F237" s="308"/>
      <c r="G237" s="308"/>
      <c r="H237" s="308"/>
      <c r="I237" s="308"/>
      <c r="J237" s="308"/>
      <c r="K237" s="308"/>
      <c r="L237" s="308"/>
    </row>
    <row r="238" spans="2:12">
      <c r="B238" s="308"/>
      <c r="C238" s="308"/>
      <c r="D238" s="308"/>
      <c r="E238" s="308"/>
      <c r="F238" s="308"/>
      <c r="G238" s="308"/>
      <c r="H238" s="308"/>
      <c r="I238" s="308"/>
      <c r="J238" s="308"/>
      <c r="K238" s="308"/>
      <c r="L238" s="308"/>
    </row>
    <row r="239" spans="2:12">
      <c r="B239" s="308"/>
      <c r="C239" s="308"/>
      <c r="D239" s="308"/>
      <c r="E239" s="308"/>
      <c r="F239" s="308"/>
      <c r="G239" s="308"/>
      <c r="H239" s="308"/>
      <c r="I239" s="308"/>
      <c r="J239" s="308"/>
      <c r="K239" s="308"/>
      <c r="L239" s="308"/>
    </row>
    <row r="240" spans="2:12">
      <c r="B240" s="308"/>
      <c r="C240" s="308"/>
      <c r="D240" s="308"/>
      <c r="E240" s="308"/>
      <c r="F240" s="308"/>
      <c r="G240" s="308"/>
      <c r="H240" s="308"/>
      <c r="I240" s="308"/>
      <c r="J240" s="308"/>
      <c r="K240" s="308"/>
      <c r="L240" s="308"/>
    </row>
    <row r="241" spans="2:12">
      <c r="B241" s="308"/>
      <c r="C241" s="308"/>
      <c r="D241" s="308"/>
      <c r="E241" s="308"/>
      <c r="F241" s="308"/>
      <c r="G241" s="308"/>
      <c r="H241" s="308"/>
      <c r="I241" s="308"/>
      <c r="J241" s="308"/>
      <c r="K241" s="308"/>
      <c r="L241" s="308"/>
    </row>
    <row r="242" spans="2:12">
      <c r="B242" s="308"/>
      <c r="C242" s="308"/>
      <c r="D242" s="308"/>
      <c r="E242" s="308"/>
      <c r="F242" s="308"/>
      <c r="G242" s="308"/>
      <c r="H242" s="308"/>
      <c r="I242" s="308"/>
      <c r="J242" s="308"/>
      <c r="K242" s="308"/>
      <c r="L242" s="308"/>
    </row>
    <row r="243" spans="2:12">
      <c r="B243" s="308"/>
      <c r="C243" s="308"/>
      <c r="D243" s="308"/>
      <c r="E243" s="308"/>
      <c r="F243" s="308"/>
      <c r="G243" s="308"/>
      <c r="H243" s="308"/>
      <c r="I243" s="308"/>
      <c r="J243" s="308"/>
      <c r="K243" s="308"/>
      <c r="L243" s="308"/>
    </row>
    <row r="244" spans="2:12">
      <c r="B244" s="308"/>
      <c r="C244" s="308"/>
      <c r="D244" s="308"/>
      <c r="E244" s="308"/>
      <c r="F244" s="308"/>
      <c r="G244" s="308"/>
      <c r="H244" s="308"/>
      <c r="I244" s="308"/>
      <c r="J244" s="308"/>
      <c r="K244" s="308"/>
      <c r="L244" s="308"/>
    </row>
    <row r="245" spans="2:12">
      <c r="B245" s="308"/>
      <c r="C245" s="308"/>
      <c r="D245" s="308"/>
      <c r="E245" s="308"/>
      <c r="F245" s="308"/>
      <c r="G245" s="308"/>
      <c r="H245" s="308"/>
      <c r="I245" s="308"/>
      <c r="J245" s="308"/>
      <c r="K245" s="308"/>
      <c r="L245" s="308"/>
    </row>
    <row r="246" spans="2:12">
      <c r="B246" s="308"/>
      <c r="C246" s="308"/>
      <c r="D246" s="308"/>
      <c r="E246" s="308"/>
      <c r="F246" s="308"/>
      <c r="G246" s="308"/>
      <c r="H246" s="308"/>
      <c r="I246" s="308"/>
      <c r="J246" s="308"/>
      <c r="K246" s="308"/>
      <c r="L246" s="308"/>
    </row>
    <row r="247" spans="2:12">
      <c r="B247" s="308"/>
      <c r="C247" s="308"/>
      <c r="D247" s="308"/>
      <c r="E247" s="308"/>
      <c r="F247" s="308"/>
      <c r="G247" s="308"/>
      <c r="H247" s="308"/>
      <c r="I247" s="308"/>
      <c r="J247" s="308"/>
      <c r="K247" s="308"/>
      <c r="L247" s="308"/>
    </row>
    <row r="248" spans="2:12">
      <c r="B248" s="308"/>
      <c r="C248" s="308"/>
      <c r="D248" s="308"/>
      <c r="E248" s="308"/>
      <c r="F248" s="308"/>
      <c r="G248" s="308"/>
      <c r="H248" s="308"/>
      <c r="I248" s="308"/>
      <c r="J248" s="308"/>
      <c r="K248" s="308"/>
      <c r="L248" s="308"/>
    </row>
    <row r="249" spans="2:12">
      <c r="B249" s="308"/>
      <c r="C249" s="308"/>
      <c r="D249" s="308"/>
      <c r="E249" s="308"/>
      <c r="F249" s="308"/>
      <c r="G249" s="308"/>
      <c r="H249" s="308"/>
      <c r="I249" s="308"/>
      <c r="J249" s="308"/>
      <c r="K249" s="308"/>
      <c r="L249" s="308"/>
    </row>
    <row r="250" spans="2:12">
      <c r="B250" s="308"/>
      <c r="C250" s="308"/>
      <c r="D250" s="308"/>
      <c r="E250" s="308"/>
      <c r="F250" s="308"/>
      <c r="G250" s="308"/>
      <c r="H250" s="308"/>
      <c r="I250" s="308"/>
      <c r="J250" s="308"/>
      <c r="K250" s="308"/>
      <c r="L250" s="308"/>
    </row>
  </sheetData>
  <mergeCells count="12">
    <mergeCell ref="A55:J55"/>
    <mergeCell ref="A56:J56"/>
    <mergeCell ref="A35:C35"/>
    <mergeCell ref="A17:D17"/>
    <mergeCell ref="E17:J17"/>
    <mergeCell ref="A38:J38"/>
    <mergeCell ref="E35:J35"/>
    <mergeCell ref="A5:A6"/>
    <mergeCell ref="A2:J2"/>
    <mergeCell ref="A4:J4"/>
    <mergeCell ref="A15:J15"/>
    <mergeCell ref="A13:J13"/>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Q26" sqref="Q26"/>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63" t="s">
        <v>0</v>
      </c>
      <c r="B3" s="863"/>
      <c r="C3" s="863"/>
      <c r="D3" s="863"/>
      <c r="E3" s="863"/>
      <c r="F3" s="863"/>
      <c r="G3" s="863"/>
      <c r="H3" s="863"/>
      <c r="I3" s="863"/>
      <c r="J3" s="863"/>
      <c r="K3" s="863"/>
      <c r="L3" s="863"/>
    </row>
    <row r="4" spans="1:16">
      <c r="A4" s="863"/>
      <c r="B4" s="863"/>
      <c r="C4" s="863"/>
      <c r="D4" s="863"/>
      <c r="E4" s="863"/>
      <c r="F4" s="863"/>
      <c r="G4" s="863"/>
      <c r="H4" s="863"/>
      <c r="I4" s="863"/>
      <c r="J4" s="863"/>
      <c r="K4" s="863"/>
      <c r="L4" s="863"/>
    </row>
    <row r="5" spans="1:16" ht="12">
      <c r="A5" s="46"/>
      <c r="B5" s="309"/>
      <c r="C5" s="4"/>
      <c r="D5" s="4"/>
      <c r="E5" s="47"/>
      <c r="F5" s="4"/>
      <c r="G5" s="4"/>
      <c r="H5" s="4"/>
      <c r="I5" s="4"/>
      <c r="J5" s="4"/>
      <c r="K5" s="4"/>
      <c r="L5" s="10" t="s">
        <v>1</v>
      </c>
    </row>
    <row r="6" spans="1:16" ht="12">
      <c r="A6" s="46"/>
      <c r="B6" s="309"/>
      <c r="C6" s="4"/>
      <c r="D6" s="4"/>
      <c r="E6" s="47"/>
      <c r="F6" s="4"/>
      <c r="G6" s="4"/>
      <c r="H6" s="4"/>
      <c r="I6" s="4"/>
      <c r="J6" s="4"/>
      <c r="K6" s="4"/>
      <c r="L6" s="7"/>
    </row>
    <row r="7" spans="1:16" ht="19.5" customHeight="1">
      <c r="A7" s="27" t="s">
        <v>529</v>
      </c>
      <c r="B7" s="310"/>
      <c r="C7" s="32"/>
      <c r="D7" s="32"/>
      <c r="E7" s="32"/>
      <c r="F7" s="32"/>
      <c r="G7" s="32"/>
      <c r="H7" s="32"/>
      <c r="I7" s="32"/>
      <c r="J7" s="32"/>
      <c r="K7" s="32"/>
      <c r="L7" s="32"/>
    </row>
    <row r="8" spans="1:16" ht="17.25" customHeight="1">
      <c r="A8" s="311"/>
      <c r="B8" s="32" t="s">
        <v>588</v>
      </c>
      <c r="C8" s="30"/>
      <c r="D8" s="30"/>
      <c r="E8" s="30"/>
      <c r="F8" s="30"/>
      <c r="G8" s="30"/>
      <c r="H8" s="30"/>
      <c r="I8" s="30"/>
      <c r="J8" s="28"/>
      <c r="K8" s="28"/>
      <c r="L8" s="31">
        <v>1</v>
      </c>
    </row>
    <row r="9" spans="1:16" ht="9.75" customHeight="1">
      <c r="A9" s="311"/>
      <c r="B9" s="32"/>
      <c r="C9" s="30"/>
      <c r="D9" s="30"/>
      <c r="E9" s="30"/>
      <c r="F9" s="30"/>
      <c r="G9" s="30"/>
      <c r="H9" s="30"/>
      <c r="I9" s="30"/>
      <c r="J9" s="30"/>
      <c r="K9" s="30"/>
      <c r="L9" s="31"/>
    </row>
    <row r="10" spans="1:16" ht="19.5" customHeight="1">
      <c r="A10" s="27" t="s">
        <v>492</v>
      </c>
      <c r="B10" s="312"/>
      <c r="C10" s="32"/>
      <c r="D10" s="32"/>
      <c r="E10" s="32"/>
      <c r="F10" s="32"/>
      <c r="G10" s="32"/>
      <c r="H10" s="32"/>
      <c r="I10" s="32"/>
      <c r="J10" s="32"/>
      <c r="K10" s="32"/>
      <c r="L10" s="34"/>
    </row>
    <row r="11" spans="1:16" ht="19.5" customHeight="1">
      <c r="A11" s="35"/>
      <c r="B11" s="32" t="s">
        <v>254</v>
      </c>
      <c r="C11" s="32"/>
      <c r="D11" s="32"/>
      <c r="E11" s="32"/>
      <c r="F11" s="28"/>
      <c r="G11" s="28"/>
      <c r="H11" s="28"/>
      <c r="I11" s="28"/>
      <c r="J11" s="28"/>
      <c r="K11" s="28"/>
      <c r="L11" s="29" t="s">
        <v>2</v>
      </c>
    </row>
    <row r="12" spans="1:16" ht="19.5" customHeight="1">
      <c r="A12" s="35"/>
      <c r="B12" s="37" t="s">
        <v>504</v>
      </c>
      <c r="C12" s="32"/>
      <c r="D12" s="32"/>
      <c r="E12" s="28"/>
      <c r="F12" s="28"/>
      <c r="G12" s="28"/>
      <c r="H12" s="28"/>
      <c r="I12" s="28"/>
      <c r="J12" s="28"/>
      <c r="K12" s="28"/>
      <c r="L12" s="29" t="s">
        <v>2</v>
      </c>
    </row>
    <row r="13" spans="1:16" ht="10.5" customHeight="1">
      <c r="A13" s="311"/>
      <c r="B13" s="30"/>
      <c r="C13" s="30"/>
      <c r="D13" s="30"/>
      <c r="E13" s="30"/>
      <c r="F13" s="30"/>
      <c r="G13" s="30"/>
      <c r="H13" s="30"/>
      <c r="I13" s="30"/>
      <c r="J13" s="30"/>
      <c r="K13" s="30"/>
      <c r="L13" s="31"/>
    </row>
    <row r="14" spans="1:16" ht="19.5" customHeight="1">
      <c r="A14" s="27" t="s">
        <v>519</v>
      </c>
      <c r="B14" s="37"/>
      <c r="C14" s="32"/>
      <c r="D14" s="32"/>
      <c r="E14" s="32"/>
      <c r="F14" s="32"/>
      <c r="G14" s="32"/>
      <c r="H14" s="32"/>
      <c r="I14" s="32"/>
      <c r="J14" s="32"/>
      <c r="K14" s="32"/>
      <c r="L14" s="34"/>
    </row>
    <row r="15" spans="1:16" ht="19.5" customHeight="1">
      <c r="A15" s="35"/>
      <c r="B15" s="32" t="s">
        <v>493</v>
      </c>
      <c r="C15" s="32"/>
      <c r="D15" s="32"/>
      <c r="E15" s="32"/>
      <c r="F15" s="28"/>
      <c r="G15" s="28"/>
      <c r="H15" s="28"/>
      <c r="I15" s="28"/>
      <c r="J15" s="28"/>
      <c r="K15" s="28"/>
      <c r="L15" s="29" t="s">
        <v>3</v>
      </c>
    </row>
    <row r="16" spans="1:16" ht="19.5" customHeight="1">
      <c r="A16" s="35"/>
      <c r="B16" s="37" t="s">
        <v>502</v>
      </c>
      <c r="C16" s="32"/>
      <c r="D16" s="32"/>
      <c r="E16" s="32"/>
      <c r="F16" s="32"/>
      <c r="G16" s="28"/>
      <c r="H16" s="28"/>
      <c r="I16" s="28"/>
      <c r="J16" s="28"/>
      <c r="K16" s="28"/>
      <c r="L16" s="29" t="s">
        <v>4</v>
      </c>
    </row>
    <row r="17" spans="1:12" ht="19.5" customHeight="1">
      <c r="A17" s="35"/>
      <c r="B17" s="37" t="s">
        <v>494</v>
      </c>
      <c r="C17" s="32"/>
      <c r="D17" s="32"/>
      <c r="E17" s="32"/>
      <c r="F17" s="32"/>
      <c r="G17" s="28"/>
      <c r="H17" s="28"/>
      <c r="I17" s="28"/>
      <c r="J17" s="28"/>
      <c r="K17" s="28"/>
      <c r="L17" s="29" t="s">
        <v>5</v>
      </c>
    </row>
    <row r="18" spans="1:12" ht="19.5" customHeight="1">
      <c r="A18" s="35"/>
      <c r="B18" s="37" t="s">
        <v>495</v>
      </c>
      <c r="C18" s="32"/>
      <c r="D18" s="32"/>
      <c r="E18" s="32"/>
      <c r="F18" s="28"/>
      <c r="G18" s="28"/>
      <c r="H18" s="28"/>
      <c r="I18" s="28"/>
      <c r="J18" s="28"/>
      <c r="K18" s="28"/>
      <c r="L18" s="29" t="s">
        <v>6</v>
      </c>
    </row>
    <row r="19" spans="1:12" ht="19.5" customHeight="1">
      <c r="A19" s="35"/>
      <c r="B19" s="313" t="s">
        <v>496</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518</v>
      </c>
      <c r="B21" s="311"/>
      <c r="C21" s="37"/>
      <c r="D21" s="32"/>
      <c r="E21" s="32"/>
      <c r="F21" s="32"/>
      <c r="G21" s="32"/>
      <c r="H21" s="32"/>
      <c r="I21" s="32"/>
      <c r="J21" s="32"/>
      <c r="K21" s="32"/>
      <c r="L21" s="39"/>
    </row>
    <row r="22" spans="1:12" ht="19.5" customHeight="1">
      <c r="A22" s="311"/>
      <c r="B22" s="32" t="s">
        <v>520</v>
      </c>
      <c r="C22" s="32"/>
      <c r="D22" s="32"/>
      <c r="E22" s="32"/>
      <c r="F22" s="32"/>
      <c r="G22" s="28"/>
      <c r="H22" s="28"/>
      <c r="I22" s="28"/>
      <c r="J22" s="28"/>
      <c r="K22" s="28"/>
      <c r="L22" s="29" t="s">
        <v>9</v>
      </c>
    </row>
    <row r="23" spans="1:12" ht="19.5" customHeight="1">
      <c r="A23" s="40"/>
      <c r="B23" s="32" t="s">
        <v>521</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294</v>
      </c>
      <c r="B25" s="311"/>
      <c r="C25" s="37"/>
      <c r="D25" s="32"/>
      <c r="E25" s="32"/>
      <c r="F25" s="32"/>
      <c r="G25" s="32"/>
      <c r="H25" s="32"/>
      <c r="I25" s="32"/>
      <c r="J25" s="32"/>
      <c r="K25" s="32"/>
      <c r="L25" s="39"/>
    </row>
    <row r="26" spans="1:12" ht="19.5" customHeight="1">
      <c r="A26" s="311"/>
      <c r="B26" s="32" t="s">
        <v>523</v>
      </c>
      <c r="C26" s="32"/>
      <c r="D26" s="32"/>
      <c r="E26" s="32"/>
      <c r="F26" s="28"/>
      <c r="G26" s="28"/>
      <c r="H26" s="28"/>
      <c r="I26" s="28"/>
      <c r="J26" s="28"/>
      <c r="K26" s="42"/>
      <c r="L26" s="29" t="s">
        <v>11</v>
      </c>
    </row>
    <row r="27" spans="1:12" ht="19.5" customHeight="1">
      <c r="A27" s="311"/>
      <c r="B27" s="32" t="s">
        <v>497</v>
      </c>
      <c r="C27" s="32"/>
      <c r="D27" s="32"/>
      <c r="E27" s="32"/>
      <c r="F27" s="32"/>
      <c r="G27" s="28"/>
      <c r="H27" s="28"/>
      <c r="I27" s="28"/>
      <c r="J27" s="28"/>
      <c r="K27" s="42"/>
      <c r="L27" s="29" t="s">
        <v>11</v>
      </c>
    </row>
    <row r="28" spans="1:12" ht="19.5" customHeight="1">
      <c r="A28" s="40"/>
      <c r="B28" s="32" t="s">
        <v>522</v>
      </c>
      <c r="C28" s="32"/>
      <c r="D28" s="32"/>
      <c r="E28" s="32"/>
      <c r="F28" s="28"/>
      <c r="G28" s="28"/>
      <c r="H28" s="42"/>
      <c r="I28" s="42"/>
      <c r="J28" s="42"/>
      <c r="K28" s="42"/>
      <c r="L28" s="29" t="s">
        <v>12</v>
      </c>
    </row>
    <row r="29" spans="1:12" ht="19.5" customHeight="1">
      <c r="A29" s="40"/>
      <c r="B29" s="32" t="s">
        <v>503</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510</v>
      </c>
      <c r="B31" s="32"/>
      <c r="C31" s="32"/>
      <c r="D31" s="32"/>
      <c r="E31" s="32"/>
      <c r="F31" s="32"/>
      <c r="G31" s="32"/>
      <c r="H31" s="32"/>
      <c r="I31" s="32"/>
      <c r="J31" s="32"/>
      <c r="K31" s="32"/>
      <c r="L31" s="29"/>
    </row>
    <row r="32" spans="1:12" ht="19.5" customHeight="1">
      <c r="A32" s="40"/>
      <c r="B32" s="32" t="s">
        <v>524</v>
      </c>
      <c r="C32" s="32"/>
      <c r="D32" s="32"/>
      <c r="E32" s="32"/>
      <c r="F32" s="32"/>
      <c r="G32" s="28"/>
      <c r="H32" s="28"/>
      <c r="I32" s="28"/>
      <c r="J32" s="28"/>
      <c r="K32" s="28"/>
      <c r="L32" s="29" t="s">
        <v>13</v>
      </c>
    </row>
    <row r="33" spans="1:12" ht="19.5" customHeight="1">
      <c r="A33" s="40"/>
      <c r="B33" s="32" t="s">
        <v>498</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499</v>
      </c>
      <c r="B35" s="33"/>
      <c r="C35" s="41"/>
      <c r="D35" s="33"/>
      <c r="E35" s="33"/>
      <c r="F35" s="33"/>
      <c r="G35" s="33"/>
      <c r="H35" s="33"/>
      <c r="I35" s="33"/>
      <c r="J35" s="33"/>
      <c r="K35" s="33"/>
      <c r="L35" s="29"/>
    </row>
    <row r="36" spans="1:12" ht="19.5" customHeight="1">
      <c r="A36" s="35"/>
      <c r="B36" s="32" t="s">
        <v>525</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500</v>
      </c>
      <c r="B38" s="44"/>
      <c r="C38" s="32"/>
      <c r="D38" s="32"/>
      <c r="E38" s="32"/>
      <c r="F38" s="32"/>
      <c r="G38" s="32"/>
      <c r="H38" s="32"/>
      <c r="I38" s="32"/>
      <c r="J38" s="32"/>
      <c r="K38" s="32"/>
      <c r="L38" s="48"/>
    </row>
    <row r="39" spans="1:12" ht="19.5" customHeight="1">
      <c r="A39" s="35"/>
      <c r="B39" s="32" t="s">
        <v>501</v>
      </c>
      <c r="C39" s="32"/>
      <c r="D39" s="32"/>
      <c r="E39" s="32"/>
      <c r="F39" s="32"/>
      <c r="G39" s="32"/>
      <c r="H39" s="28"/>
      <c r="I39" s="28"/>
      <c r="J39" s="28"/>
      <c r="K39" s="28"/>
      <c r="L39" s="29" t="s">
        <v>16</v>
      </c>
    </row>
    <row r="40" spans="1:12" ht="10.5" customHeight="1">
      <c r="A40" s="311"/>
      <c r="B40" s="32"/>
      <c r="C40" s="32"/>
      <c r="D40" s="32"/>
      <c r="E40" s="32"/>
      <c r="F40" s="32"/>
      <c r="G40" s="32"/>
      <c r="H40" s="32"/>
      <c r="I40" s="32"/>
      <c r="J40" s="32"/>
      <c r="K40" s="32"/>
      <c r="L40" s="29"/>
    </row>
    <row r="41" spans="1:12" ht="19.5" customHeight="1">
      <c r="A41" s="27" t="s">
        <v>229</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526</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63"/>
  <sheetViews>
    <sheetView showGridLines="0" view="pageBreakPreview" zoomScale="110" zoomScaleNormal="100" zoomScaleSheetLayoutView="110" zoomScalePageLayoutView="145" workbookViewId="0">
      <selection activeCell="Q26" sqref="Q26"/>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452" t="s">
        <v>321</v>
      </c>
      <c r="B1" s="437"/>
      <c r="C1" s="437"/>
      <c r="D1" s="437"/>
      <c r="E1" s="437"/>
      <c r="F1" s="437"/>
      <c r="G1" s="437"/>
    </row>
    <row r="2" spans="1:12" ht="14.25" customHeight="1">
      <c r="A2" s="961" t="s">
        <v>291</v>
      </c>
      <c r="B2" s="964" t="s">
        <v>57</v>
      </c>
      <c r="C2" s="967" t="str">
        <f>"ENERGÍA PRODUCIDA "&amp;UPPER('1. Resumen'!Q4)&amp;" "&amp;'1. Resumen'!Q5</f>
        <v>ENERGÍA PRODUCIDA MAYO 2018</v>
      </c>
      <c r="D2" s="967"/>
      <c r="E2" s="967"/>
      <c r="F2" s="967"/>
      <c r="G2" s="453" t="s">
        <v>322</v>
      </c>
      <c r="H2" s="279"/>
      <c r="I2" s="279"/>
      <c r="J2" s="279"/>
      <c r="K2" s="279"/>
    </row>
    <row r="3" spans="1:12" ht="11.25" customHeight="1">
      <c r="A3" s="962"/>
      <c r="B3" s="965"/>
      <c r="C3" s="968" t="s">
        <v>323</v>
      </c>
      <c r="D3" s="968"/>
      <c r="E3" s="968"/>
      <c r="F3" s="969" t="str">
        <f>"TOTAL 
"&amp;UPPER('1. Resumen'!Q4)</f>
        <v>TOTAL 
MAYO</v>
      </c>
      <c r="G3" s="454" t="s">
        <v>324</v>
      </c>
      <c r="H3" s="268"/>
      <c r="I3" s="268"/>
      <c r="J3" s="268"/>
      <c r="K3" s="268"/>
      <c r="L3" s="269"/>
    </row>
    <row r="4" spans="1:12" ht="12.75" customHeight="1">
      <c r="A4" s="962"/>
      <c r="B4" s="965"/>
      <c r="C4" s="438" t="s">
        <v>243</v>
      </c>
      <c r="D4" s="438" t="s">
        <v>244</v>
      </c>
      <c r="E4" s="438" t="s">
        <v>325</v>
      </c>
      <c r="F4" s="970"/>
      <c r="G4" s="454">
        <v>2018</v>
      </c>
      <c r="H4" s="271"/>
      <c r="I4" s="270"/>
      <c r="J4" s="270"/>
      <c r="K4" s="270"/>
      <c r="L4" s="269"/>
    </row>
    <row r="5" spans="1:12" ht="11.25" customHeight="1">
      <c r="A5" s="963"/>
      <c r="B5" s="966"/>
      <c r="C5" s="455" t="s">
        <v>326</v>
      </c>
      <c r="D5" s="455" t="s">
        <v>326</v>
      </c>
      <c r="E5" s="455" t="s">
        <v>326</v>
      </c>
      <c r="F5" s="455" t="s">
        <v>326</v>
      </c>
      <c r="G5" s="456" t="s">
        <v>226</v>
      </c>
      <c r="H5" s="271"/>
      <c r="I5" s="271"/>
      <c r="J5" s="271"/>
      <c r="K5" s="271"/>
      <c r="L5" s="12"/>
    </row>
    <row r="6" spans="1:12" ht="11.25" customHeight="1">
      <c r="A6" s="447" t="s">
        <v>129</v>
      </c>
      <c r="B6" s="439" t="s">
        <v>92</v>
      </c>
      <c r="C6" s="666"/>
      <c r="D6" s="666"/>
      <c r="E6" s="666">
        <v>0</v>
      </c>
      <c r="F6" s="440">
        <v>0</v>
      </c>
      <c r="G6" s="441">
        <v>0</v>
      </c>
      <c r="H6" s="271"/>
      <c r="I6" s="271"/>
      <c r="J6" s="271"/>
      <c r="K6" s="271"/>
      <c r="L6" s="7"/>
    </row>
    <row r="7" spans="1:12" ht="11.25" customHeight="1">
      <c r="A7" s="448" t="s">
        <v>327</v>
      </c>
      <c r="B7" s="449"/>
      <c r="C7" s="667"/>
      <c r="D7" s="667"/>
      <c r="E7" s="667">
        <v>0</v>
      </c>
      <c r="F7" s="450">
        <v>0</v>
      </c>
      <c r="G7" s="451">
        <v>0</v>
      </c>
      <c r="H7" s="271"/>
      <c r="I7" s="271"/>
      <c r="J7" s="271"/>
      <c r="K7" s="271"/>
      <c r="L7" s="20"/>
    </row>
    <row r="8" spans="1:12" ht="11.25" customHeight="1">
      <c r="A8" s="442" t="s">
        <v>128</v>
      </c>
      <c r="B8" s="443" t="s">
        <v>67</v>
      </c>
      <c r="C8" s="668"/>
      <c r="D8" s="668"/>
      <c r="E8" s="668">
        <v>9904.8579874999996</v>
      </c>
      <c r="F8" s="444">
        <v>9904.8579874999996</v>
      </c>
      <c r="G8" s="445">
        <v>56197.500390000008</v>
      </c>
      <c r="H8" s="271"/>
      <c r="I8" s="271"/>
      <c r="J8" s="271"/>
      <c r="K8" s="271"/>
      <c r="L8" s="16"/>
    </row>
    <row r="9" spans="1:12" ht="11.25" customHeight="1">
      <c r="A9" s="448" t="s">
        <v>328</v>
      </c>
      <c r="B9" s="449"/>
      <c r="C9" s="667"/>
      <c r="D9" s="667"/>
      <c r="E9" s="667">
        <v>9904.8579874999996</v>
      </c>
      <c r="F9" s="450">
        <v>9904.8579874999996</v>
      </c>
      <c r="G9" s="451">
        <v>56197.500390000008</v>
      </c>
      <c r="H9" s="271"/>
      <c r="I9" s="271"/>
      <c r="J9" s="271"/>
      <c r="K9" s="272"/>
      <c r="L9" s="29"/>
    </row>
    <row r="10" spans="1:12" ht="11.25" customHeight="1">
      <c r="A10" s="442" t="s">
        <v>112</v>
      </c>
      <c r="B10" s="443" t="s">
        <v>89</v>
      </c>
      <c r="C10" s="668"/>
      <c r="D10" s="668"/>
      <c r="E10" s="668">
        <v>7337.7402874999998</v>
      </c>
      <c r="F10" s="444">
        <v>7337.7402874999998</v>
      </c>
      <c r="G10" s="445">
        <v>35333.966939999998</v>
      </c>
      <c r="H10" s="271"/>
      <c r="I10" s="271"/>
      <c r="J10" s="271"/>
      <c r="K10" s="272"/>
      <c r="L10" s="29"/>
    </row>
    <row r="11" spans="1:12" ht="11.25" customHeight="1">
      <c r="A11" s="448" t="s">
        <v>329</v>
      </c>
      <c r="B11" s="449"/>
      <c r="C11" s="667"/>
      <c r="D11" s="667"/>
      <c r="E11" s="667">
        <v>7337.7402874999998</v>
      </c>
      <c r="F11" s="450">
        <v>7337.7402874999998</v>
      </c>
      <c r="G11" s="451">
        <v>35333.966939999998</v>
      </c>
      <c r="H11" s="271"/>
      <c r="I11" s="271"/>
      <c r="J11" s="271"/>
      <c r="K11" s="272"/>
      <c r="L11" s="29"/>
    </row>
    <row r="12" spans="1:12" ht="11.25" customHeight="1">
      <c r="A12" s="442" t="s">
        <v>100</v>
      </c>
      <c r="B12" s="443" t="s">
        <v>330</v>
      </c>
      <c r="C12" s="668">
        <v>114043.504365</v>
      </c>
      <c r="D12" s="668"/>
      <c r="E12" s="668"/>
      <c r="F12" s="444">
        <v>114043.504365</v>
      </c>
      <c r="G12" s="445">
        <v>708214.90399749996</v>
      </c>
      <c r="H12" s="271"/>
      <c r="I12" s="271"/>
      <c r="J12" s="271"/>
      <c r="K12" s="272"/>
      <c r="L12" s="29"/>
    </row>
    <row r="13" spans="1:12" ht="11.25" customHeight="1">
      <c r="A13" s="448" t="s">
        <v>331</v>
      </c>
      <c r="B13" s="449"/>
      <c r="C13" s="667">
        <v>114043.504365</v>
      </c>
      <c r="D13" s="667"/>
      <c r="E13" s="667"/>
      <c r="F13" s="450">
        <v>114043.504365</v>
      </c>
      <c r="G13" s="451">
        <v>708214.90399749996</v>
      </c>
      <c r="H13" s="271"/>
      <c r="I13" s="271"/>
      <c r="J13" s="271"/>
      <c r="K13" s="272"/>
      <c r="L13" s="31"/>
    </row>
    <row r="14" spans="1:12" ht="11.25" customHeight="1">
      <c r="A14" s="446" t="s">
        <v>272</v>
      </c>
      <c r="B14" s="443" t="s">
        <v>332</v>
      </c>
      <c r="C14" s="668"/>
      <c r="D14" s="668">
        <v>1.0000000000000001E-5</v>
      </c>
      <c r="E14" s="668"/>
      <c r="F14" s="444">
        <v>1.0000000000000001E-5</v>
      </c>
      <c r="G14" s="445">
        <v>424.5852625</v>
      </c>
      <c r="H14" s="271"/>
      <c r="I14" s="271"/>
      <c r="J14" s="271"/>
      <c r="K14" s="272"/>
      <c r="L14" s="29"/>
    </row>
    <row r="15" spans="1:12" ht="11.25" customHeight="1">
      <c r="A15" s="448" t="s">
        <v>333</v>
      </c>
      <c r="B15" s="449"/>
      <c r="C15" s="667"/>
      <c r="D15" s="667">
        <v>1.0000000000000001E-5</v>
      </c>
      <c r="E15" s="667"/>
      <c r="F15" s="450">
        <v>1.0000000000000001E-5</v>
      </c>
      <c r="G15" s="451">
        <v>424.5852625</v>
      </c>
      <c r="H15" s="271"/>
      <c r="I15" s="271"/>
      <c r="J15" s="271"/>
      <c r="K15" s="272"/>
      <c r="L15" s="29"/>
    </row>
    <row r="16" spans="1:12" ht="11.25" customHeight="1">
      <c r="A16" s="446" t="s">
        <v>99</v>
      </c>
      <c r="B16" s="443" t="s">
        <v>334</v>
      </c>
      <c r="C16" s="668">
        <v>82606.160617499991</v>
      </c>
      <c r="D16" s="668"/>
      <c r="E16" s="668"/>
      <c r="F16" s="444">
        <v>82606.160617499991</v>
      </c>
      <c r="G16" s="445">
        <v>481664.97954500001</v>
      </c>
      <c r="H16" s="271"/>
      <c r="I16" s="271"/>
      <c r="J16" s="271"/>
      <c r="K16" s="272"/>
      <c r="L16" s="29"/>
    </row>
    <row r="17" spans="1:12" ht="11.25" customHeight="1">
      <c r="A17" s="446"/>
      <c r="B17" s="443" t="s">
        <v>335</v>
      </c>
      <c r="C17" s="668">
        <v>25616.042655000001</v>
      </c>
      <c r="D17" s="668"/>
      <c r="E17" s="668"/>
      <c r="F17" s="444">
        <v>25616.042655000001</v>
      </c>
      <c r="G17" s="445">
        <v>138421.73937749999</v>
      </c>
      <c r="H17" s="271"/>
      <c r="I17" s="271"/>
      <c r="J17" s="271"/>
      <c r="K17" s="272"/>
      <c r="L17" s="39"/>
    </row>
    <row r="18" spans="1:12" ht="11.25" customHeight="1">
      <c r="A18" s="448" t="s">
        <v>336</v>
      </c>
      <c r="B18" s="449"/>
      <c r="C18" s="667">
        <v>108222.20327249999</v>
      </c>
      <c r="D18" s="667"/>
      <c r="E18" s="667"/>
      <c r="F18" s="450">
        <v>108222.20327249999</v>
      </c>
      <c r="G18" s="451">
        <v>620086.71892250003</v>
      </c>
      <c r="H18" s="271"/>
      <c r="I18" s="271"/>
      <c r="J18" s="271"/>
      <c r="K18" s="272"/>
      <c r="L18" s="29"/>
    </row>
    <row r="19" spans="1:12" ht="11.25" customHeight="1">
      <c r="A19" s="446" t="s">
        <v>763</v>
      </c>
      <c r="B19" s="443" t="s">
        <v>91</v>
      </c>
      <c r="C19" s="668"/>
      <c r="D19" s="668"/>
      <c r="E19" s="668"/>
      <c r="F19" s="444"/>
      <c r="G19" s="445">
        <v>1218.9493975</v>
      </c>
      <c r="H19" s="271"/>
      <c r="I19" s="271"/>
      <c r="J19" s="271"/>
      <c r="K19" s="272"/>
      <c r="L19" s="29"/>
    </row>
    <row r="20" spans="1:12" ht="11.25" customHeight="1">
      <c r="A20" s="448" t="s">
        <v>454</v>
      </c>
      <c r="B20" s="449"/>
      <c r="C20" s="667"/>
      <c r="D20" s="667"/>
      <c r="E20" s="667"/>
      <c r="F20" s="450"/>
      <c r="G20" s="451">
        <v>1218.9493975</v>
      </c>
      <c r="H20" s="271"/>
      <c r="I20" s="271"/>
      <c r="J20" s="271"/>
      <c r="K20" s="271"/>
      <c r="L20" s="20"/>
    </row>
    <row r="21" spans="1:12" ht="11.25" customHeight="1">
      <c r="A21" s="446" t="s">
        <v>97</v>
      </c>
      <c r="B21" s="443" t="s">
        <v>337</v>
      </c>
      <c r="C21" s="668">
        <v>1211.6252374999999</v>
      </c>
      <c r="D21" s="668"/>
      <c r="E21" s="668"/>
      <c r="F21" s="444">
        <v>1211.6252374999999</v>
      </c>
      <c r="G21" s="445">
        <v>5486.4872350000005</v>
      </c>
      <c r="H21" s="271"/>
      <c r="I21" s="271"/>
      <c r="J21" s="271"/>
      <c r="K21" s="271"/>
      <c r="L21" s="22"/>
    </row>
    <row r="22" spans="1:12" ht="11.25" customHeight="1">
      <c r="A22" s="446"/>
      <c r="B22" s="443" t="s">
        <v>338</v>
      </c>
      <c r="C22" s="668">
        <v>419.74211000000003</v>
      </c>
      <c r="D22" s="668"/>
      <c r="E22" s="668"/>
      <c r="F22" s="444">
        <v>419.74211000000003</v>
      </c>
      <c r="G22" s="445">
        <v>2039.1424525</v>
      </c>
      <c r="H22" s="271"/>
      <c r="I22" s="271"/>
      <c r="J22" s="271"/>
      <c r="K22" s="271"/>
      <c r="L22" s="20"/>
    </row>
    <row r="23" spans="1:12" ht="11.25" customHeight="1">
      <c r="A23" s="446"/>
      <c r="B23" s="443" t="s">
        <v>339</v>
      </c>
      <c r="C23" s="668">
        <v>3313.023835</v>
      </c>
      <c r="D23" s="668"/>
      <c r="E23" s="668"/>
      <c r="F23" s="444">
        <v>3313.023835</v>
      </c>
      <c r="G23" s="445">
        <v>16188.031584999999</v>
      </c>
      <c r="H23" s="271"/>
      <c r="I23" s="271"/>
      <c r="J23" s="271"/>
      <c r="K23" s="271"/>
      <c r="L23" s="20"/>
    </row>
    <row r="24" spans="1:12" ht="11.25" customHeight="1">
      <c r="A24" s="446"/>
      <c r="B24" s="443" t="s">
        <v>340</v>
      </c>
      <c r="C24" s="668">
        <v>7866.4879600000004</v>
      </c>
      <c r="D24" s="668"/>
      <c r="E24" s="668"/>
      <c r="F24" s="444">
        <v>7866.4879600000004</v>
      </c>
      <c r="G24" s="445">
        <v>47761.455849999998</v>
      </c>
      <c r="H24" s="271"/>
      <c r="I24" s="271"/>
      <c r="J24" s="271"/>
      <c r="K24" s="272"/>
      <c r="L24" s="29"/>
    </row>
    <row r="25" spans="1:12" ht="11.25" customHeight="1">
      <c r="A25" s="446"/>
      <c r="B25" s="443" t="s">
        <v>341</v>
      </c>
      <c r="C25" s="668">
        <v>49391.121397499999</v>
      </c>
      <c r="D25" s="668"/>
      <c r="E25" s="668"/>
      <c r="F25" s="444">
        <v>49391.121397499999</v>
      </c>
      <c r="G25" s="445">
        <v>339211.67628750007</v>
      </c>
      <c r="H25" s="271"/>
      <c r="I25" s="271"/>
      <c r="J25" s="271"/>
      <c r="K25" s="272"/>
      <c r="L25" s="29"/>
    </row>
    <row r="26" spans="1:12" ht="11.25" customHeight="1">
      <c r="A26" s="446"/>
      <c r="B26" s="443" t="s">
        <v>342</v>
      </c>
      <c r="C26" s="668">
        <v>4882.6782174999998</v>
      </c>
      <c r="D26" s="668"/>
      <c r="E26" s="668"/>
      <c r="F26" s="444">
        <v>4882.6782174999998</v>
      </c>
      <c r="G26" s="445">
        <v>28284.013489999998</v>
      </c>
      <c r="H26" s="271"/>
      <c r="I26" s="271"/>
      <c r="J26" s="271"/>
      <c r="K26" s="272"/>
      <c r="L26" s="29"/>
    </row>
    <row r="27" spans="1:12" ht="11.25" customHeight="1">
      <c r="A27" s="446"/>
      <c r="B27" s="443" t="s">
        <v>343</v>
      </c>
      <c r="C27" s="668"/>
      <c r="D27" s="668">
        <v>0</v>
      </c>
      <c r="E27" s="668"/>
      <c r="F27" s="444">
        <v>0</v>
      </c>
      <c r="G27" s="445">
        <v>584.87037750000002</v>
      </c>
      <c r="H27" s="271"/>
      <c r="I27" s="271"/>
      <c r="J27" s="271"/>
      <c r="K27" s="273"/>
      <c r="L27" s="29"/>
    </row>
    <row r="28" spans="1:12" ht="11.25" customHeight="1">
      <c r="A28" s="446"/>
      <c r="B28" s="443" t="s">
        <v>344</v>
      </c>
      <c r="C28" s="668"/>
      <c r="D28" s="668">
        <v>20.1701275</v>
      </c>
      <c r="E28" s="668"/>
      <c r="F28" s="444">
        <v>20.1701275</v>
      </c>
      <c r="G28" s="445">
        <v>251.40683750000002</v>
      </c>
      <c r="H28" s="271"/>
      <c r="I28" s="271"/>
      <c r="J28" s="271"/>
      <c r="K28" s="273"/>
      <c r="L28" s="29"/>
    </row>
    <row r="29" spans="1:12" ht="11.25" customHeight="1">
      <c r="A29" s="446"/>
      <c r="B29" s="443" t="s">
        <v>345</v>
      </c>
      <c r="C29" s="668"/>
      <c r="D29" s="668">
        <v>6715.3370025000004</v>
      </c>
      <c r="E29" s="668"/>
      <c r="F29" s="444">
        <v>6715.3370025000004</v>
      </c>
      <c r="G29" s="445">
        <v>54900.897877499992</v>
      </c>
      <c r="H29" s="271"/>
      <c r="I29" s="271"/>
      <c r="J29" s="271"/>
      <c r="K29" s="273"/>
      <c r="L29" s="29"/>
    </row>
    <row r="30" spans="1:12" ht="11.25" customHeight="1">
      <c r="A30" s="448" t="s">
        <v>346</v>
      </c>
      <c r="B30" s="449"/>
      <c r="C30" s="667">
        <v>67084.678757500005</v>
      </c>
      <c r="D30" s="667">
        <v>6735.50713</v>
      </c>
      <c r="E30" s="667"/>
      <c r="F30" s="450">
        <v>73820.185887500003</v>
      </c>
      <c r="G30" s="451">
        <v>494707.98199250002</v>
      </c>
      <c r="H30" s="271"/>
      <c r="I30" s="271"/>
      <c r="J30" s="271"/>
      <c r="K30" s="273"/>
      <c r="L30" s="29"/>
    </row>
    <row r="31" spans="1:12" ht="11.25" customHeight="1">
      <c r="A31" s="446" t="s">
        <v>120</v>
      </c>
      <c r="B31" s="443" t="s">
        <v>74</v>
      </c>
      <c r="C31" s="668"/>
      <c r="D31" s="668"/>
      <c r="E31" s="668">
        <v>2865.1935000000003</v>
      </c>
      <c r="F31" s="444">
        <v>2865.1935000000003</v>
      </c>
      <c r="G31" s="445">
        <v>16002.890749999999</v>
      </c>
      <c r="H31" s="271"/>
      <c r="I31" s="271"/>
      <c r="J31" s="271"/>
      <c r="K31" s="273"/>
      <c r="L31" s="29"/>
    </row>
    <row r="32" spans="1:12" ht="11.25" customHeight="1">
      <c r="A32" s="448" t="s">
        <v>347</v>
      </c>
      <c r="B32" s="449"/>
      <c r="C32" s="667"/>
      <c r="D32" s="667"/>
      <c r="E32" s="667">
        <v>2865.1935000000003</v>
      </c>
      <c r="F32" s="450">
        <v>2865.1935000000003</v>
      </c>
      <c r="G32" s="451">
        <v>16002.890749999999</v>
      </c>
      <c r="H32" s="271"/>
      <c r="I32" s="271"/>
      <c r="J32" s="271"/>
      <c r="K32" s="273"/>
      <c r="L32" s="29"/>
    </row>
    <row r="33" spans="1:12" ht="11.25" customHeight="1">
      <c r="A33" s="446" t="s">
        <v>98</v>
      </c>
      <c r="B33" s="443" t="s">
        <v>348</v>
      </c>
      <c r="C33" s="668">
        <v>117036.44597250001</v>
      </c>
      <c r="D33" s="668"/>
      <c r="E33" s="668"/>
      <c r="F33" s="444">
        <v>117036.44597250001</v>
      </c>
      <c r="G33" s="445">
        <v>587384.89368749992</v>
      </c>
      <c r="H33" s="271"/>
      <c r="I33" s="271"/>
      <c r="J33" s="271"/>
      <c r="K33" s="273"/>
      <c r="L33" s="29"/>
    </row>
    <row r="34" spans="1:12" ht="11.25" customHeight="1">
      <c r="A34" s="448" t="s">
        <v>349</v>
      </c>
      <c r="B34" s="449"/>
      <c r="C34" s="667">
        <v>117036.44597250001</v>
      </c>
      <c r="D34" s="667"/>
      <c r="E34" s="667"/>
      <c r="F34" s="450">
        <v>117036.44597250001</v>
      </c>
      <c r="G34" s="451">
        <v>587384.89368749992</v>
      </c>
      <c r="H34" s="271"/>
      <c r="I34" s="271"/>
      <c r="J34" s="271"/>
      <c r="K34" s="273"/>
      <c r="L34" s="274"/>
    </row>
    <row r="35" spans="1:12" ht="11.25" customHeight="1">
      <c r="A35" s="446" t="s">
        <v>107</v>
      </c>
      <c r="B35" s="443" t="s">
        <v>350</v>
      </c>
      <c r="C35" s="668">
        <v>5629.9155000000001</v>
      </c>
      <c r="D35" s="668"/>
      <c r="E35" s="668"/>
      <c r="F35" s="444">
        <v>5629.9155000000001</v>
      </c>
      <c r="G35" s="445">
        <v>27618.884999999995</v>
      </c>
      <c r="H35" s="271"/>
      <c r="I35" s="271"/>
      <c r="J35" s="271"/>
      <c r="K35" s="273"/>
      <c r="L35" s="29"/>
    </row>
    <row r="36" spans="1:12" ht="11.25" customHeight="1">
      <c r="A36" s="446"/>
      <c r="B36" s="443" t="s">
        <v>351</v>
      </c>
      <c r="C36" s="668">
        <v>3893.2154999999998</v>
      </c>
      <c r="D36" s="668"/>
      <c r="E36" s="668"/>
      <c r="F36" s="444">
        <v>3893.2154999999998</v>
      </c>
      <c r="G36" s="445">
        <v>18573.867812500001</v>
      </c>
      <c r="H36" s="271"/>
      <c r="I36" s="271"/>
      <c r="J36" s="271"/>
      <c r="K36" s="273"/>
      <c r="L36" s="29"/>
    </row>
    <row r="37" spans="1:12" ht="11.25" customHeight="1">
      <c r="A37" s="446"/>
      <c r="B37" s="443" t="s">
        <v>352</v>
      </c>
      <c r="C37" s="668"/>
      <c r="D37" s="668">
        <v>14193.1303625</v>
      </c>
      <c r="E37" s="668"/>
      <c r="F37" s="444">
        <v>14193.1303625</v>
      </c>
      <c r="G37" s="445">
        <v>51561.218677500001</v>
      </c>
      <c r="H37" s="271"/>
      <c r="I37" s="271"/>
      <c r="J37" s="271"/>
      <c r="K37" s="273"/>
      <c r="L37" s="29"/>
    </row>
    <row r="38" spans="1:12" ht="11.25" customHeight="1">
      <c r="A38" s="448" t="s">
        <v>353</v>
      </c>
      <c r="B38" s="449"/>
      <c r="C38" s="667">
        <v>9523.1309999999994</v>
      </c>
      <c r="D38" s="667">
        <v>14193.1303625</v>
      </c>
      <c r="E38" s="667"/>
      <c r="F38" s="450">
        <v>23716.261362500001</v>
      </c>
      <c r="G38" s="451">
        <v>97753.971489999996</v>
      </c>
      <c r="H38" s="271"/>
      <c r="I38" s="271"/>
      <c r="J38" s="271"/>
      <c r="K38" s="273"/>
      <c r="L38" s="29"/>
    </row>
    <row r="39" spans="1:12" ht="11.25" customHeight="1">
      <c r="A39" s="446" t="s">
        <v>126</v>
      </c>
      <c r="B39" s="443" t="s">
        <v>79</v>
      </c>
      <c r="C39" s="668"/>
      <c r="D39" s="668"/>
      <c r="E39" s="668">
        <v>231.07387249999999</v>
      </c>
      <c r="F39" s="444">
        <v>231.07387249999999</v>
      </c>
      <c r="G39" s="445">
        <v>1220.261755</v>
      </c>
      <c r="H39" s="271"/>
      <c r="I39" s="271"/>
      <c r="J39" s="271"/>
      <c r="K39" s="273"/>
      <c r="L39" s="29"/>
    </row>
    <row r="40" spans="1:12" ht="11.25" customHeight="1">
      <c r="A40" s="448" t="s">
        <v>354</v>
      </c>
      <c r="B40" s="449"/>
      <c r="C40" s="667"/>
      <c r="D40" s="667"/>
      <c r="E40" s="667">
        <v>231.07387249999999</v>
      </c>
      <c r="F40" s="450">
        <v>231.07387249999999</v>
      </c>
      <c r="G40" s="451">
        <v>1220.261755</v>
      </c>
      <c r="H40" s="271"/>
      <c r="I40" s="271"/>
      <c r="J40" s="271"/>
      <c r="K40" s="273"/>
      <c r="L40" s="29"/>
    </row>
    <row r="41" spans="1:12" ht="11.25" customHeight="1">
      <c r="A41" s="446" t="s">
        <v>121</v>
      </c>
      <c r="B41" s="443" t="s">
        <v>77</v>
      </c>
      <c r="C41" s="668"/>
      <c r="D41" s="668"/>
      <c r="E41" s="668">
        <v>2651.539135</v>
      </c>
      <c r="F41" s="444">
        <v>2651.539135</v>
      </c>
      <c r="G41" s="445">
        <v>12159.4360975</v>
      </c>
      <c r="H41" s="271"/>
      <c r="I41" s="271"/>
      <c r="J41" s="271"/>
      <c r="K41" s="275"/>
      <c r="L41" s="58"/>
    </row>
    <row r="42" spans="1:12" ht="11.25" customHeight="1">
      <c r="A42" s="448" t="s">
        <v>355</v>
      </c>
      <c r="B42" s="449"/>
      <c r="C42" s="667"/>
      <c r="D42" s="667"/>
      <c r="E42" s="667">
        <v>2651.539135</v>
      </c>
      <c r="F42" s="450">
        <v>2651.539135</v>
      </c>
      <c r="G42" s="451">
        <v>12159.4360975</v>
      </c>
      <c r="H42" s="271"/>
      <c r="I42" s="271"/>
      <c r="J42" s="271"/>
      <c r="K42" s="275"/>
      <c r="L42" s="59"/>
    </row>
    <row r="43" spans="1:12" ht="11.25" customHeight="1">
      <c r="A43" s="446" t="s">
        <v>95</v>
      </c>
      <c r="B43" s="443" t="s">
        <v>356</v>
      </c>
      <c r="C43" s="668">
        <v>466273.11659999995</v>
      </c>
      <c r="D43" s="668"/>
      <c r="E43" s="668"/>
      <c r="F43" s="444">
        <v>466273.11659999995</v>
      </c>
      <c r="G43" s="445">
        <v>2117915.7941999999</v>
      </c>
      <c r="H43" s="271"/>
      <c r="I43" s="271"/>
      <c r="J43" s="271"/>
      <c r="K43" s="275"/>
      <c r="L43" s="59"/>
    </row>
    <row r="44" spans="1:12" ht="11.25" customHeight="1">
      <c r="A44" s="446"/>
      <c r="B44" s="443" t="s">
        <v>357</v>
      </c>
      <c r="C44" s="668">
        <v>148502.21951999998</v>
      </c>
      <c r="D44" s="668"/>
      <c r="E44" s="668"/>
      <c r="F44" s="444">
        <v>148502.21951999998</v>
      </c>
      <c r="G44" s="445">
        <v>656416.19855999993</v>
      </c>
      <c r="H44" s="271"/>
      <c r="I44" s="271"/>
      <c r="J44" s="271"/>
      <c r="K44" s="273"/>
    </row>
    <row r="45" spans="1:12" ht="11.25" customHeight="1">
      <c r="A45" s="446"/>
      <c r="B45" s="443" t="s">
        <v>358</v>
      </c>
      <c r="C45" s="668"/>
      <c r="D45" s="668">
        <v>18.175257500000001</v>
      </c>
      <c r="E45" s="668"/>
      <c r="F45" s="444">
        <v>18.175257500000001</v>
      </c>
      <c r="G45" s="445">
        <v>1423.0004125</v>
      </c>
      <c r="H45" s="271"/>
      <c r="I45" s="271"/>
      <c r="J45" s="271"/>
      <c r="K45" s="273"/>
    </row>
    <row r="46" spans="1:12" ht="12.75">
      <c r="A46" s="448" t="s">
        <v>359</v>
      </c>
      <c r="B46" s="449"/>
      <c r="C46" s="667">
        <v>614775.33611999988</v>
      </c>
      <c r="D46" s="667">
        <v>18.175257500000001</v>
      </c>
      <c r="E46" s="667"/>
      <c r="F46" s="450">
        <v>614793.5113774999</v>
      </c>
      <c r="G46" s="451">
        <v>2775754.9931724998</v>
      </c>
      <c r="H46" s="271"/>
      <c r="I46" s="271"/>
      <c r="J46" s="271"/>
      <c r="K46" s="273"/>
    </row>
    <row r="47" spans="1:12" ht="12.75">
      <c r="A47" s="446" t="s">
        <v>273</v>
      </c>
      <c r="B47" s="443" t="s">
        <v>360</v>
      </c>
      <c r="C47" s="668">
        <v>207948.266065</v>
      </c>
      <c r="D47" s="668"/>
      <c r="E47" s="668"/>
      <c r="F47" s="444">
        <v>207948.266065</v>
      </c>
      <c r="G47" s="445">
        <v>1381738.6176374999</v>
      </c>
      <c r="H47" s="271"/>
      <c r="I47" s="271"/>
      <c r="J47" s="271"/>
      <c r="K47" s="273"/>
    </row>
    <row r="48" spans="1:12" ht="12.75">
      <c r="A48" s="446"/>
      <c r="B48" s="443" t="s">
        <v>361</v>
      </c>
      <c r="C48" s="668">
        <v>4786.512565</v>
      </c>
      <c r="D48" s="668"/>
      <c r="E48" s="668"/>
      <c r="F48" s="444">
        <v>4786.512565</v>
      </c>
      <c r="G48" s="445">
        <v>16749.020799999998</v>
      </c>
      <c r="H48" s="271"/>
      <c r="I48" s="271"/>
      <c r="J48" s="271"/>
      <c r="K48" s="273"/>
    </row>
    <row r="49" spans="1:11" ht="12.75">
      <c r="A49" s="448" t="s">
        <v>362</v>
      </c>
      <c r="B49" s="449"/>
      <c r="C49" s="667">
        <v>212734.77863000002</v>
      </c>
      <c r="D49" s="667"/>
      <c r="E49" s="667"/>
      <c r="F49" s="450">
        <v>212734.77863000002</v>
      </c>
      <c r="G49" s="451">
        <v>1398487.6384375</v>
      </c>
      <c r="H49" s="271"/>
      <c r="I49" s="271"/>
      <c r="J49" s="271"/>
      <c r="K49" s="273"/>
    </row>
    <row r="50" spans="1:11" ht="12.75">
      <c r="A50" s="446" t="s">
        <v>274</v>
      </c>
      <c r="B50" s="443" t="s">
        <v>363</v>
      </c>
      <c r="C50" s="668">
        <v>25676.00906</v>
      </c>
      <c r="D50" s="668"/>
      <c r="E50" s="668"/>
      <c r="F50" s="444">
        <v>25676.00906</v>
      </c>
      <c r="G50" s="445">
        <v>141744.95604750002</v>
      </c>
      <c r="H50" s="271"/>
      <c r="I50" s="271"/>
      <c r="J50" s="271"/>
      <c r="K50" s="273"/>
    </row>
    <row r="51" spans="1:11">
      <c r="A51" s="448" t="s">
        <v>364</v>
      </c>
      <c r="B51" s="449"/>
      <c r="C51" s="667">
        <v>25676.00906</v>
      </c>
      <c r="D51" s="667"/>
      <c r="E51" s="667"/>
      <c r="F51" s="450">
        <v>25676.00906</v>
      </c>
      <c r="G51" s="451">
        <v>141744.95604750002</v>
      </c>
      <c r="H51" s="132"/>
      <c r="I51" s="132"/>
      <c r="J51" s="132"/>
      <c r="K51" s="273"/>
    </row>
    <row r="52" spans="1:11">
      <c r="A52" s="446" t="s">
        <v>275</v>
      </c>
      <c r="B52" s="443" t="s">
        <v>64</v>
      </c>
      <c r="C52" s="668"/>
      <c r="D52" s="668"/>
      <c r="E52" s="668">
        <v>7510.1144599999998</v>
      </c>
      <c r="F52" s="444">
        <v>7510.1144599999998</v>
      </c>
      <c r="G52" s="445">
        <v>55446.615742499998</v>
      </c>
      <c r="H52" s="132"/>
      <c r="I52" s="132"/>
      <c r="J52" s="132"/>
      <c r="K52" s="273"/>
    </row>
    <row r="53" spans="1:11">
      <c r="A53" s="446"/>
      <c r="B53" s="443" t="s">
        <v>61</v>
      </c>
      <c r="C53" s="668"/>
      <c r="D53" s="668"/>
      <c r="E53" s="668">
        <v>10543.322319999999</v>
      </c>
      <c r="F53" s="444">
        <v>10543.322319999999</v>
      </c>
      <c r="G53" s="445">
        <v>67645.842629999999</v>
      </c>
      <c r="H53" s="132"/>
      <c r="I53" s="132"/>
      <c r="J53" s="132"/>
      <c r="K53" s="273"/>
    </row>
    <row r="54" spans="1:11">
      <c r="A54" s="448" t="s">
        <v>365</v>
      </c>
      <c r="B54" s="449"/>
      <c r="C54" s="667"/>
      <c r="D54" s="667"/>
      <c r="E54" s="667">
        <v>18053.43678</v>
      </c>
      <c r="F54" s="450">
        <v>18053.43678</v>
      </c>
      <c r="G54" s="451">
        <v>123092.4583725</v>
      </c>
      <c r="H54" s="132"/>
      <c r="I54" s="132"/>
      <c r="J54" s="132"/>
      <c r="K54" s="273"/>
    </row>
    <row r="55" spans="1:11">
      <c r="A55" s="446" t="s">
        <v>94</v>
      </c>
      <c r="B55" s="443" t="s">
        <v>366</v>
      </c>
      <c r="C55" s="668">
        <v>15167.537414999999</v>
      </c>
      <c r="D55" s="668"/>
      <c r="E55" s="668"/>
      <c r="F55" s="444">
        <v>15167.537414999999</v>
      </c>
      <c r="G55" s="445">
        <v>93873.743340000001</v>
      </c>
      <c r="H55" s="132"/>
      <c r="I55" s="132"/>
      <c r="J55" s="132"/>
      <c r="K55" s="273"/>
    </row>
    <row r="56" spans="1:11">
      <c r="A56" s="446"/>
      <c r="B56" s="443" t="s">
        <v>367</v>
      </c>
      <c r="C56" s="668">
        <v>91232.904757499986</v>
      </c>
      <c r="D56" s="668"/>
      <c r="E56" s="668"/>
      <c r="F56" s="444">
        <v>91232.904757499986</v>
      </c>
      <c r="G56" s="445">
        <v>542269.29069749988</v>
      </c>
      <c r="H56" s="272"/>
      <c r="I56" s="272"/>
      <c r="J56" s="272"/>
      <c r="K56" s="273"/>
    </row>
    <row r="57" spans="1:11">
      <c r="A57" s="446"/>
      <c r="B57" s="443" t="s">
        <v>368</v>
      </c>
      <c r="C57" s="668">
        <v>85785.510999999999</v>
      </c>
      <c r="D57" s="668"/>
      <c r="E57" s="668"/>
      <c r="F57" s="444">
        <v>85785.510999999999</v>
      </c>
      <c r="G57" s="445">
        <v>426856.29764249997</v>
      </c>
      <c r="H57" s="272"/>
      <c r="I57" s="272"/>
      <c r="J57" s="272"/>
      <c r="K57" s="273"/>
    </row>
    <row r="58" spans="1:11">
      <c r="A58" s="446"/>
      <c r="B58" s="443" t="s">
        <v>369</v>
      </c>
      <c r="C58" s="668">
        <v>37090.170372499997</v>
      </c>
      <c r="D58" s="668"/>
      <c r="E58" s="668"/>
      <c r="F58" s="444">
        <v>37090.170372499997</v>
      </c>
      <c r="G58" s="445">
        <v>188180.22532500001</v>
      </c>
      <c r="H58" s="272"/>
      <c r="I58" s="272"/>
      <c r="J58" s="272"/>
      <c r="K58" s="273"/>
    </row>
    <row r="59" spans="1:11">
      <c r="A59" s="446"/>
      <c r="B59" s="443" t="s">
        <v>370</v>
      </c>
      <c r="C59" s="668"/>
      <c r="D59" s="668">
        <v>0</v>
      </c>
      <c r="E59" s="668"/>
      <c r="F59" s="444">
        <v>0</v>
      </c>
      <c r="G59" s="445">
        <v>49787.678330000002</v>
      </c>
      <c r="H59" s="272"/>
      <c r="I59" s="272"/>
      <c r="J59" s="272"/>
      <c r="K59" s="273"/>
    </row>
    <row r="60" spans="1:11">
      <c r="A60" s="446"/>
      <c r="B60" s="443" t="s">
        <v>371</v>
      </c>
      <c r="C60" s="668"/>
      <c r="D60" s="668">
        <v>109904.1024775</v>
      </c>
      <c r="E60" s="668"/>
      <c r="F60" s="444">
        <v>109904.1024775</v>
      </c>
      <c r="G60" s="445">
        <v>283632.83132999996</v>
      </c>
      <c r="H60" s="272"/>
      <c r="I60" s="272"/>
      <c r="J60" s="272"/>
      <c r="K60" s="272"/>
    </row>
    <row r="61" spans="1:11">
      <c r="A61" s="446"/>
      <c r="B61" s="443" t="s">
        <v>372</v>
      </c>
      <c r="C61" s="668"/>
      <c r="D61" s="668">
        <v>242660.74871250003</v>
      </c>
      <c r="E61" s="668"/>
      <c r="F61" s="444">
        <v>242660.74871250003</v>
      </c>
      <c r="G61" s="445">
        <v>1090172.7136200001</v>
      </c>
      <c r="H61" s="272"/>
      <c r="I61" s="272"/>
      <c r="J61" s="272"/>
      <c r="K61" s="272"/>
    </row>
    <row r="62" spans="1:11">
      <c r="A62" s="448" t="s">
        <v>373</v>
      </c>
      <c r="B62" s="449"/>
      <c r="C62" s="667">
        <v>229276.12354499998</v>
      </c>
      <c r="D62" s="667">
        <v>352564.85119000002</v>
      </c>
      <c r="E62" s="667"/>
      <c r="F62" s="450">
        <v>581840.97473499994</v>
      </c>
      <c r="G62" s="451">
        <v>2674772.7802849999</v>
      </c>
    </row>
    <row r="63" spans="1:11">
      <c r="C63" s="669"/>
      <c r="D63" s="669"/>
      <c r="E63" s="669"/>
    </row>
    <row r="64" spans="1:11">
      <c r="C64" s="669"/>
      <c r="D64" s="669"/>
      <c r="E64" s="669"/>
    </row>
    <row r="65" spans="3:5">
      <c r="C65" s="669"/>
      <c r="D65" s="669"/>
      <c r="E65" s="669"/>
    </row>
    <row r="66" spans="3:5">
      <c r="C66" s="669"/>
      <c r="D66" s="669"/>
      <c r="E66" s="669"/>
    </row>
    <row r="67" spans="3:5">
      <c r="C67" s="669"/>
      <c r="D67" s="669"/>
      <c r="E67" s="669"/>
    </row>
    <row r="68" spans="3:5">
      <c r="C68" s="669"/>
      <c r="D68" s="669"/>
      <c r="E68" s="669"/>
    </row>
    <row r="69" spans="3:5">
      <c r="C69" s="669"/>
      <c r="D69" s="669"/>
      <c r="E69" s="669"/>
    </row>
    <row r="70" spans="3:5">
      <c r="C70" s="669"/>
      <c r="D70" s="669"/>
      <c r="E70" s="669"/>
    </row>
    <row r="71" spans="3:5">
      <c r="C71" s="669"/>
      <c r="D71" s="669"/>
      <c r="E71" s="669"/>
    </row>
    <row r="72" spans="3:5">
      <c r="C72" s="669"/>
      <c r="D72" s="669"/>
      <c r="E72" s="669"/>
    </row>
    <row r="73" spans="3:5">
      <c r="C73" s="669"/>
      <c r="D73" s="669"/>
      <c r="E73" s="669"/>
    </row>
    <row r="74" spans="3:5">
      <c r="C74" s="669"/>
      <c r="D74" s="669"/>
      <c r="E74" s="669"/>
    </row>
    <row r="75" spans="3:5">
      <c r="C75" s="669"/>
      <c r="D75" s="669"/>
      <c r="E75" s="669"/>
    </row>
    <row r="76" spans="3:5">
      <c r="C76" s="669"/>
      <c r="D76" s="669"/>
      <c r="E76" s="669"/>
    </row>
    <row r="77" spans="3:5">
      <c r="C77" s="669"/>
      <c r="D77" s="669"/>
      <c r="E77" s="669"/>
    </row>
    <row r="78" spans="3:5">
      <c r="C78" s="669"/>
      <c r="D78" s="669"/>
      <c r="E78" s="669"/>
    </row>
    <row r="79" spans="3:5">
      <c r="C79" s="669"/>
      <c r="D79" s="669"/>
      <c r="E79" s="669"/>
    </row>
    <row r="80" spans="3:5">
      <c r="C80" s="669"/>
      <c r="D80" s="669"/>
      <c r="E80" s="669"/>
    </row>
    <row r="81" spans="3:5">
      <c r="C81" s="669"/>
      <c r="D81" s="669"/>
      <c r="E81" s="669"/>
    </row>
    <row r="82" spans="3:5">
      <c r="C82" s="669"/>
      <c r="D82" s="669"/>
      <c r="E82" s="669"/>
    </row>
    <row r="83" spans="3:5">
      <c r="C83" s="669"/>
      <c r="D83" s="669"/>
      <c r="E83" s="669"/>
    </row>
    <row r="84" spans="3:5">
      <c r="C84" s="669"/>
      <c r="D84" s="669"/>
      <c r="E84" s="669"/>
    </row>
    <row r="85" spans="3:5">
      <c r="C85" s="669"/>
      <c r="D85" s="669"/>
      <c r="E85" s="669"/>
    </row>
    <row r="86" spans="3:5">
      <c r="C86" s="669"/>
      <c r="D86" s="669"/>
      <c r="E86" s="669"/>
    </row>
    <row r="87" spans="3:5">
      <c r="C87" s="669"/>
      <c r="D87" s="669"/>
      <c r="E87" s="669"/>
    </row>
    <row r="88" spans="3:5">
      <c r="C88" s="669"/>
      <c r="D88" s="669"/>
      <c r="E88" s="669"/>
    </row>
    <row r="89" spans="3:5">
      <c r="C89" s="669"/>
      <c r="D89" s="669"/>
      <c r="E89" s="669"/>
    </row>
    <row r="90" spans="3:5">
      <c r="C90" s="669"/>
      <c r="D90" s="669"/>
      <c r="E90" s="669"/>
    </row>
    <row r="91" spans="3:5">
      <c r="C91" s="669"/>
      <c r="D91" s="669"/>
      <c r="E91" s="669"/>
    </row>
    <row r="92" spans="3:5">
      <c r="C92" s="669"/>
      <c r="D92" s="669"/>
      <c r="E92" s="669"/>
    </row>
    <row r="93" spans="3:5">
      <c r="C93" s="669"/>
      <c r="D93" s="669"/>
      <c r="E93" s="669"/>
    </row>
    <row r="94" spans="3:5">
      <c r="C94" s="669"/>
      <c r="D94" s="669"/>
      <c r="E94" s="669"/>
    </row>
    <row r="95" spans="3:5">
      <c r="C95" s="669"/>
      <c r="D95" s="669"/>
      <c r="E95" s="669"/>
    </row>
    <row r="96" spans="3:5">
      <c r="C96" s="669"/>
      <c r="D96" s="669"/>
      <c r="E96" s="669"/>
    </row>
    <row r="97" spans="3:5">
      <c r="C97" s="669"/>
      <c r="D97" s="669"/>
      <c r="E97" s="669"/>
    </row>
    <row r="98" spans="3:5">
      <c r="C98" s="669"/>
      <c r="D98" s="669"/>
      <c r="E98" s="669"/>
    </row>
    <row r="99" spans="3:5">
      <c r="C99" s="669"/>
      <c r="D99" s="669"/>
      <c r="E99" s="669"/>
    </row>
    <row r="100" spans="3:5">
      <c r="C100" s="669"/>
      <c r="D100" s="669"/>
      <c r="E100" s="669"/>
    </row>
    <row r="101" spans="3:5">
      <c r="C101" s="669"/>
      <c r="D101" s="669"/>
      <c r="E101" s="669"/>
    </row>
    <row r="102" spans="3:5">
      <c r="C102" s="669"/>
      <c r="D102" s="669"/>
      <c r="E102" s="669"/>
    </row>
    <row r="103" spans="3:5">
      <c r="C103" s="669"/>
      <c r="D103" s="669"/>
      <c r="E103" s="669"/>
    </row>
    <row r="104" spans="3:5">
      <c r="C104" s="669"/>
      <c r="D104" s="669"/>
      <c r="E104" s="669"/>
    </row>
    <row r="105" spans="3:5">
      <c r="C105" s="669"/>
      <c r="D105" s="669"/>
      <c r="E105" s="669"/>
    </row>
    <row r="106" spans="3:5">
      <c r="C106" s="669"/>
      <c r="D106" s="669"/>
      <c r="E106" s="669"/>
    </row>
    <row r="107" spans="3:5">
      <c r="C107" s="669"/>
      <c r="D107" s="669"/>
      <c r="E107" s="669"/>
    </row>
    <row r="108" spans="3:5">
      <c r="C108" s="669"/>
      <c r="D108" s="669"/>
      <c r="E108" s="669"/>
    </row>
    <row r="109" spans="3:5">
      <c r="C109" s="669"/>
      <c r="D109" s="669"/>
      <c r="E109" s="669"/>
    </row>
    <row r="110" spans="3:5">
      <c r="C110" s="669"/>
      <c r="D110" s="669"/>
      <c r="E110" s="669"/>
    </row>
    <row r="111" spans="3:5">
      <c r="C111" s="669"/>
      <c r="D111" s="669"/>
      <c r="E111" s="669"/>
    </row>
    <row r="112" spans="3:5">
      <c r="C112" s="669"/>
      <c r="D112" s="669"/>
      <c r="E112" s="669"/>
    </row>
    <row r="113" spans="3:5">
      <c r="C113" s="669"/>
      <c r="D113" s="669"/>
      <c r="E113" s="669"/>
    </row>
    <row r="114" spans="3:5">
      <c r="C114" s="669"/>
      <c r="D114" s="669"/>
      <c r="E114" s="669"/>
    </row>
    <row r="115" spans="3:5">
      <c r="C115" s="669"/>
      <c r="D115" s="669"/>
      <c r="E115" s="669"/>
    </row>
    <row r="116" spans="3:5">
      <c r="C116" s="669"/>
      <c r="D116" s="669"/>
      <c r="E116" s="669"/>
    </row>
    <row r="117" spans="3:5">
      <c r="C117" s="669"/>
      <c r="D117" s="669"/>
      <c r="E117" s="669"/>
    </row>
    <row r="118" spans="3:5">
      <c r="C118" s="669"/>
      <c r="D118" s="669"/>
      <c r="E118" s="669"/>
    </row>
    <row r="119" spans="3:5">
      <c r="C119" s="669"/>
      <c r="D119" s="669"/>
      <c r="E119" s="669"/>
    </row>
    <row r="120" spans="3:5">
      <c r="C120" s="669"/>
      <c r="D120" s="669"/>
      <c r="E120" s="669"/>
    </row>
    <row r="121" spans="3:5">
      <c r="C121" s="669"/>
      <c r="D121" s="669"/>
      <c r="E121" s="669"/>
    </row>
    <row r="122" spans="3:5">
      <c r="C122" s="669"/>
      <c r="D122" s="669"/>
      <c r="E122" s="669"/>
    </row>
    <row r="123" spans="3:5">
      <c r="C123" s="669"/>
      <c r="D123" s="669"/>
      <c r="E123" s="669"/>
    </row>
    <row r="124" spans="3:5">
      <c r="C124" s="669"/>
      <c r="D124" s="669"/>
      <c r="E124" s="669"/>
    </row>
    <row r="125" spans="3:5">
      <c r="C125" s="669"/>
      <c r="D125" s="669"/>
      <c r="E125" s="669"/>
    </row>
    <row r="126" spans="3:5">
      <c r="C126" s="669"/>
      <c r="D126" s="669"/>
      <c r="E126" s="669"/>
    </row>
    <row r="127" spans="3:5">
      <c r="C127" s="669"/>
      <c r="D127" s="669"/>
      <c r="E127" s="669"/>
    </row>
    <row r="128" spans="3:5">
      <c r="C128" s="669"/>
      <c r="D128" s="669"/>
      <c r="E128" s="669"/>
    </row>
    <row r="129" spans="3:5">
      <c r="C129" s="669"/>
      <c r="D129" s="669"/>
      <c r="E129" s="669"/>
    </row>
    <row r="130" spans="3:5">
      <c r="C130" s="669"/>
      <c r="D130" s="669"/>
      <c r="E130" s="669"/>
    </row>
    <row r="131" spans="3:5">
      <c r="C131" s="669"/>
      <c r="D131" s="669"/>
      <c r="E131" s="669"/>
    </row>
    <row r="132" spans="3:5">
      <c r="C132" s="669"/>
      <c r="D132" s="669"/>
      <c r="E132" s="669"/>
    </row>
    <row r="133" spans="3:5">
      <c r="C133" s="669"/>
      <c r="D133" s="669"/>
      <c r="E133" s="669"/>
    </row>
    <row r="134" spans="3:5">
      <c r="C134" s="669"/>
      <c r="D134" s="669"/>
      <c r="E134" s="669"/>
    </row>
    <row r="135" spans="3:5">
      <c r="C135" s="669"/>
      <c r="D135" s="669"/>
      <c r="E135" s="669"/>
    </row>
    <row r="136" spans="3:5">
      <c r="C136" s="669"/>
      <c r="D136" s="669"/>
      <c r="E136" s="669"/>
    </row>
    <row r="137" spans="3:5">
      <c r="C137" s="669"/>
      <c r="D137" s="669"/>
      <c r="E137" s="669"/>
    </row>
    <row r="138" spans="3:5">
      <c r="C138" s="669"/>
      <c r="D138" s="669"/>
      <c r="E138" s="669"/>
    </row>
    <row r="139" spans="3:5">
      <c r="C139" s="669"/>
      <c r="D139" s="669"/>
      <c r="E139" s="669"/>
    </row>
    <row r="140" spans="3:5">
      <c r="C140" s="669"/>
      <c r="D140" s="669"/>
      <c r="E140" s="669"/>
    </row>
    <row r="141" spans="3:5">
      <c r="C141" s="669"/>
      <c r="D141" s="669"/>
      <c r="E141" s="669"/>
    </row>
    <row r="142" spans="3:5">
      <c r="C142" s="669"/>
      <c r="D142" s="669"/>
      <c r="E142" s="669"/>
    </row>
    <row r="143" spans="3:5">
      <c r="C143" s="669"/>
      <c r="D143" s="669"/>
      <c r="E143" s="669"/>
    </row>
    <row r="144" spans="3:5">
      <c r="C144" s="669"/>
      <c r="D144" s="669"/>
      <c r="E144" s="669"/>
    </row>
    <row r="145" spans="3:5">
      <c r="C145" s="669"/>
      <c r="D145" s="669"/>
      <c r="E145" s="669"/>
    </row>
    <row r="146" spans="3:5">
      <c r="C146" s="669"/>
      <c r="D146" s="669"/>
      <c r="E146" s="669"/>
    </row>
    <row r="147" spans="3:5">
      <c r="C147" s="669"/>
      <c r="D147" s="669"/>
      <c r="E147" s="669"/>
    </row>
    <row r="148" spans="3:5">
      <c r="C148" s="669"/>
      <c r="D148" s="669"/>
      <c r="E148" s="669"/>
    </row>
    <row r="149" spans="3:5">
      <c r="C149" s="669"/>
      <c r="D149" s="669"/>
      <c r="E149" s="669"/>
    </row>
    <row r="150" spans="3:5">
      <c r="C150" s="669"/>
      <c r="D150" s="669"/>
      <c r="E150" s="669"/>
    </row>
    <row r="151" spans="3:5">
      <c r="C151" s="669"/>
      <c r="D151" s="669"/>
      <c r="E151" s="669"/>
    </row>
    <row r="152" spans="3:5">
      <c r="C152" s="669"/>
      <c r="D152" s="669"/>
      <c r="E152" s="669"/>
    </row>
    <row r="153" spans="3:5">
      <c r="C153" s="669"/>
      <c r="D153" s="669"/>
      <c r="E153" s="669"/>
    </row>
    <row r="154" spans="3:5">
      <c r="C154" s="669"/>
      <c r="D154" s="669"/>
      <c r="E154" s="669"/>
    </row>
    <row r="155" spans="3:5">
      <c r="C155" s="669"/>
      <c r="D155" s="669"/>
      <c r="E155" s="669"/>
    </row>
    <row r="156" spans="3:5">
      <c r="C156" s="669"/>
      <c r="D156" s="669"/>
      <c r="E156" s="669"/>
    </row>
    <row r="157" spans="3:5">
      <c r="C157" s="669"/>
      <c r="D157" s="669"/>
      <c r="E157" s="669"/>
    </row>
    <row r="158" spans="3:5">
      <c r="C158" s="669"/>
      <c r="D158" s="669"/>
      <c r="E158" s="669"/>
    </row>
    <row r="159" spans="3:5">
      <c r="C159" s="669"/>
      <c r="D159" s="669"/>
      <c r="E159" s="669"/>
    </row>
    <row r="160" spans="3:5">
      <c r="C160" s="669"/>
      <c r="D160" s="669"/>
      <c r="E160" s="669"/>
    </row>
    <row r="161" spans="3:5">
      <c r="C161" s="669"/>
      <c r="D161" s="669"/>
      <c r="E161" s="669"/>
    </row>
    <row r="162" spans="3:5">
      <c r="C162" s="669"/>
      <c r="D162" s="669"/>
      <c r="E162" s="669"/>
    </row>
    <row r="163" spans="3:5">
      <c r="C163" s="669"/>
      <c r="D163" s="669"/>
      <c r="E163" s="669"/>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Mayo 2018
INFSGI-MES-05-2018
07/06/2018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67"/>
  <sheetViews>
    <sheetView showGridLines="0" view="pageBreakPreview" zoomScale="145" zoomScaleNormal="100" zoomScaleSheetLayoutView="145" zoomScalePageLayoutView="160" workbookViewId="0">
      <selection activeCell="F38" sqref="F38"/>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50" customWidth="1"/>
    <col min="12" max="13" width="9.33203125" style="50"/>
    <col min="14" max="16384" width="9.33203125" style="3"/>
  </cols>
  <sheetData>
    <row r="1" spans="1:12" s="50" customFormat="1" ht="17.25" customHeight="1">
      <c r="A1" s="971" t="s">
        <v>291</v>
      </c>
      <c r="B1" s="965" t="s">
        <v>57</v>
      </c>
      <c r="C1" s="967" t="str">
        <f>+'18. ANEXOI-1'!C2:F2</f>
        <v>ENERGÍA PRODUCIDA MAYO 2018</v>
      </c>
      <c r="D1" s="967"/>
      <c r="E1" s="967"/>
      <c r="F1" s="967"/>
      <c r="G1" s="453" t="s">
        <v>322</v>
      </c>
      <c r="H1" s="279"/>
      <c r="I1" s="279"/>
      <c r="J1" s="279"/>
      <c r="K1" s="279"/>
    </row>
    <row r="2" spans="1:12" s="50" customFormat="1" ht="11.25" customHeight="1">
      <c r="A2" s="971"/>
      <c r="B2" s="965"/>
      <c r="C2" s="968" t="s">
        <v>323</v>
      </c>
      <c r="D2" s="968"/>
      <c r="E2" s="968"/>
      <c r="F2" s="969" t="str">
        <f>"TOTAL 
"&amp;UPPER('1. Resumen'!Q4)</f>
        <v>TOTAL 
MAYO</v>
      </c>
      <c r="G2" s="454" t="s">
        <v>324</v>
      </c>
      <c r="H2" s="268"/>
      <c r="I2" s="268"/>
      <c r="J2" s="268"/>
      <c r="K2" s="268"/>
      <c r="L2" s="269"/>
    </row>
    <row r="3" spans="1:12" s="50" customFormat="1" ht="11.25" customHeight="1">
      <c r="A3" s="971"/>
      <c r="B3" s="965"/>
      <c r="C3" s="438" t="s">
        <v>243</v>
      </c>
      <c r="D3" s="438" t="s">
        <v>244</v>
      </c>
      <c r="E3" s="438" t="s">
        <v>325</v>
      </c>
      <c r="F3" s="970"/>
      <c r="G3" s="454">
        <v>2018</v>
      </c>
      <c r="H3" s="271"/>
      <c r="I3" s="270"/>
      <c r="J3" s="270"/>
      <c r="K3" s="270"/>
      <c r="L3" s="269"/>
    </row>
    <row r="4" spans="1:12" s="50" customFormat="1" ht="11.25" customHeight="1">
      <c r="A4" s="972"/>
      <c r="B4" s="973"/>
      <c r="C4" s="455" t="s">
        <v>326</v>
      </c>
      <c r="D4" s="455" t="s">
        <v>326</v>
      </c>
      <c r="E4" s="455" t="s">
        <v>326</v>
      </c>
      <c r="F4" s="455" t="s">
        <v>326</v>
      </c>
      <c r="G4" s="456" t="s">
        <v>226</v>
      </c>
      <c r="H4" s="271"/>
      <c r="I4" s="271"/>
      <c r="J4" s="271"/>
      <c r="K4" s="271"/>
      <c r="L4" s="12"/>
    </row>
    <row r="5" spans="1:12">
      <c r="A5" s="446" t="s">
        <v>102</v>
      </c>
      <c r="B5" s="443" t="s">
        <v>374</v>
      </c>
      <c r="C5" s="444"/>
      <c r="D5" s="444">
        <v>22221.4506525</v>
      </c>
      <c r="E5" s="444"/>
      <c r="F5" s="444">
        <v>22221.4506525</v>
      </c>
      <c r="G5" s="445">
        <v>107139.92207</v>
      </c>
    </row>
    <row r="6" spans="1:12">
      <c r="A6" s="446"/>
      <c r="B6" s="443" t="s">
        <v>375</v>
      </c>
      <c r="C6" s="444"/>
      <c r="D6" s="444">
        <v>0</v>
      </c>
      <c r="E6" s="444"/>
      <c r="F6" s="444">
        <v>0</v>
      </c>
      <c r="G6" s="445">
        <v>24375.911365</v>
      </c>
    </row>
    <row r="7" spans="1:12">
      <c r="A7" s="446"/>
      <c r="B7" s="443" t="s">
        <v>376</v>
      </c>
      <c r="C7" s="444"/>
      <c r="D7" s="444">
        <v>24699.143155000002</v>
      </c>
      <c r="E7" s="444"/>
      <c r="F7" s="444">
        <v>24699.143155000002</v>
      </c>
      <c r="G7" s="445">
        <v>57590.023894999998</v>
      </c>
    </row>
    <row r="8" spans="1:12">
      <c r="A8" s="448" t="s">
        <v>377</v>
      </c>
      <c r="B8" s="449"/>
      <c r="C8" s="450"/>
      <c r="D8" s="450">
        <v>46920.593807500001</v>
      </c>
      <c r="E8" s="450"/>
      <c r="F8" s="450">
        <v>46920.593807500001</v>
      </c>
      <c r="G8" s="451">
        <v>189105.85733</v>
      </c>
    </row>
    <row r="9" spans="1:12">
      <c r="A9" s="446" t="s">
        <v>104</v>
      </c>
      <c r="B9" s="443" t="s">
        <v>764</v>
      </c>
      <c r="C9" s="444"/>
      <c r="D9" s="444"/>
      <c r="E9" s="444">
        <v>32421.255315000002</v>
      </c>
      <c r="F9" s="444">
        <v>32421.255315000002</v>
      </c>
      <c r="G9" s="445">
        <v>167298.69998999999</v>
      </c>
    </row>
    <row r="10" spans="1:12">
      <c r="A10" s="446"/>
      <c r="B10" s="443" t="s">
        <v>765</v>
      </c>
      <c r="C10" s="444"/>
      <c r="D10" s="444"/>
      <c r="E10" s="444">
        <v>44437.320489999998</v>
      </c>
      <c r="F10" s="444">
        <v>44437.320489999998</v>
      </c>
      <c r="G10" s="445">
        <v>115236.17586250001</v>
      </c>
    </row>
    <row r="11" spans="1:12">
      <c r="A11" s="448" t="s">
        <v>378</v>
      </c>
      <c r="B11" s="449"/>
      <c r="C11" s="450"/>
      <c r="D11" s="450"/>
      <c r="E11" s="450">
        <v>76858.575805</v>
      </c>
      <c r="F11" s="450">
        <v>76858.575805</v>
      </c>
      <c r="G11" s="451">
        <v>282534.87585249997</v>
      </c>
    </row>
    <row r="12" spans="1:12">
      <c r="A12" s="446" t="s">
        <v>103</v>
      </c>
      <c r="B12" s="443" t="s">
        <v>82</v>
      </c>
      <c r="C12" s="444"/>
      <c r="D12" s="444"/>
      <c r="E12" s="444">
        <v>30750.5925675</v>
      </c>
      <c r="F12" s="444">
        <v>30750.5925675</v>
      </c>
      <c r="G12" s="445">
        <v>123165.8604375</v>
      </c>
    </row>
    <row r="13" spans="1:12">
      <c r="A13" s="446"/>
      <c r="B13" s="443" t="s">
        <v>84</v>
      </c>
      <c r="C13" s="444"/>
      <c r="D13" s="444"/>
      <c r="E13" s="444">
        <v>12526.517465000001</v>
      </c>
      <c r="F13" s="444">
        <v>12526.517465000001</v>
      </c>
      <c r="G13" s="445">
        <v>39404.625037500002</v>
      </c>
    </row>
    <row r="14" spans="1:12">
      <c r="A14" s="448" t="s">
        <v>379</v>
      </c>
      <c r="B14" s="449"/>
      <c r="C14" s="450"/>
      <c r="D14" s="450"/>
      <c r="E14" s="450">
        <v>43277.110032500001</v>
      </c>
      <c r="F14" s="450">
        <v>43277.110032500001</v>
      </c>
      <c r="G14" s="451">
        <v>162570.48547499999</v>
      </c>
    </row>
    <row r="15" spans="1:12">
      <c r="A15" s="446" t="s">
        <v>93</v>
      </c>
      <c r="B15" s="443" t="s">
        <v>380</v>
      </c>
      <c r="C15" s="444">
        <v>48431.168127500001</v>
      </c>
      <c r="D15" s="444"/>
      <c r="E15" s="444"/>
      <c r="F15" s="444">
        <v>48431.168127500001</v>
      </c>
      <c r="G15" s="445">
        <v>294704.32199500001</v>
      </c>
    </row>
    <row r="16" spans="1:12">
      <c r="A16" s="446"/>
      <c r="B16" s="443" t="s">
        <v>381</v>
      </c>
      <c r="C16" s="444">
        <v>76065.909290000011</v>
      </c>
      <c r="D16" s="444"/>
      <c r="E16" s="444"/>
      <c r="F16" s="444">
        <v>76065.909290000011</v>
      </c>
      <c r="G16" s="445">
        <v>444164.84186750004</v>
      </c>
    </row>
    <row r="17" spans="1:7">
      <c r="A17" s="446"/>
      <c r="B17" s="443" t="s">
        <v>382</v>
      </c>
      <c r="C17" s="444"/>
      <c r="D17" s="444">
        <v>118428.6872725</v>
      </c>
      <c r="E17" s="444"/>
      <c r="F17" s="444">
        <v>118428.6872725</v>
      </c>
      <c r="G17" s="445">
        <v>367821.16600500001</v>
      </c>
    </row>
    <row r="18" spans="1:7">
      <c r="A18" s="446"/>
      <c r="B18" s="443" t="s">
        <v>383</v>
      </c>
      <c r="C18" s="444"/>
      <c r="D18" s="444">
        <v>2840.3925825000001</v>
      </c>
      <c r="E18" s="444"/>
      <c r="F18" s="444">
        <v>2840.3925825000001</v>
      </c>
      <c r="G18" s="445">
        <v>16747.774125</v>
      </c>
    </row>
    <row r="19" spans="1:7">
      <c r="A19" s="446"/>
      <c r="B19" s="443" t="s">
        <v>384</v>
      </c>
      <c r="C19" s="444"/>
      <c r="D19" s="444">
        <v>0</v>
      </c>
      <c r="E19" s="444"/>
      <c r="F19" s="444">
        <v>0</v>
      </c>
      <c r="G19" s="445">
        <v>26901.512962500001</v>
      </c>
    </row>
    <row r="20" spans="1:7">
      <c r="A20" s="446"/>
      <c r="B20" s="443" t="s">
        <v>385</v>
      </c>
      <c r="C20" s="444"/>
      <c r="D20" s="444">
        <v>0</v>
      </c>
      <c r="E20" s="444"/>
      <c r="F20" s="444">
        <v>0</v>
      </c>
      <c r="G20" s="445">
        <v>8885.7323775000004</v>
      </c>
    </row>
    <row r="21" spans="1:7">
      <c r="A21" s="446"/>
      <c r="B21" s="443" t="s">
        <v>386</v>
      </c>
      <c r="C21" s="444"/>
      <c r="D21" s="444">
        <v>0</v>
      </c>
      <c r="E21" s="444"/>
      <c r="F21" s="444">
        <v>0</v>
      </c>
      <c r="G21" s="445">
        <v>1442.7697075000001</v>
      </c>
    </row>
    <row r="22" spans="1:7">
      <c r="A22" s="446"/>
      <c r="B22" s="443" t="s">
        <v>766</v>
      </c>
      <c r="C22" s="444"/>
      <c r="D22" s="444"/>
      <c r="E22" s="444">
        <v>7450.7127074999999</v>
      </c>
      <c r="F22" s="444">
        <v>7450.7127074999999</v>
      </c>
      <c r="G22" s="445">
        <v>21923.340250000001</v>
      </c>
    </row>
    <row r="23" spans="1:7">
      <c r="A23" s="448" t="s">
        <v>387</v>
      </c>
      <c r="B23" s="449"/>
      <c r="C23" s="450">
        <v>124497.07741750001</v>
      </c>
      <c r="D23" s="450">
        <v>121269.079855</v>
      </c>
      <c r="E23" s="450">
        <v>7450.7127074999999</v>
      </c>
      <c r="F23" s="450">
        <v>253216.86998000002</v>
      </c>
      <c r="G23" s="451">
        <v>1182591.4592900001</v>
      </c>
    </row>
    <row r="24" spans="1:7">
      <c r="A24" s="446" t="s">
        <v>276</v>
      </c>
      <c r="B24" s="443" t="s">
        <v>388</v>
      </c>
      <c r="C24" s="444"/>
      <c r="D24" s="444">
        <v>365878.47030749999</v>
      </c>
      <c r="E24" s="444"/>
      <c r="F24" s="444">
        <v>365878.47030749999</v>
      </c>
      <c r="G24" s="445">
        <v>1309386.58195</v>
      </c>
    </row>
    <row r="25" spans="1:7">
      <c r="A25" s="448" t="s">
        <v>389</v>
      </c>
      <c r="B25" s="449"/>
      <c r="C25" s="450"/>
      <c r="D25" s="450">
        <v>365878.47030749999</v>
      </c>
      <c r="E25" s="450"/>
      <c r="F25" s="450">
        <v>365878.47030749999</v>
      </c>
      <c r="G25" s="451">
        <v>1309386.58195</v>
      </c>
    </row>
    <row r="26" spans="1:7">
      <c r="A26" s="446" t="s">
        <v>114</v>
      </c>
      <c r="B26" s="443" t="s">
        <v>70</v>
      </c>
      <c r="C26" s="444"/>
      <c r="D26" s="444"/>
      <c r="E26" s="444">
        <v>4050.1942974999997</v>
      </c>
      <c r="F26" s="444">
        <v>4050.1942974999997</v>
      </c>
      <c r="G26" s="445">
        <v>22567.242359999997</v>
      </c>
    </row>
    <row r="27" spans="1:7">
      <c r="A27" s="448" t="s">
        <v>390</v>
      </c>
      <c r="B27" s="449"/>
      <c r="C27" s="450"/>
      <c r="D27" s="450"/>
      <c r="E27" s="450">
        <v>4050.1942974999997</v>
      </c>
      <c r="F27" s="450">
        <v>4050.1942974999997</v>
      </c>
      <c r="G27" s="451">
        <v>22567.242359999997</v>
      </c>
    </row>
    <row r="28" spans="1:7">
      <c r="A28" s="446" t="s">
        <v>117</v>
      </c>
      <c r="B28" s="443" t="s">
        <v>268</v>
      </c>
      <c r="C28" s="444"/>
      <c r="D28" s="444"/>
      <c r="E28" s="444">
        <v>3608.2463975000001</v>
      </c>
      <c r="F28" s="444">
        <v>3608.2463975000001</v>
      </c>
      <c r="G28" s="445">
        <v>17831.018522499999</v>
      </c>
    </row>
    <row r="29" spans="1:7">
      <c r="A29" s="448" t="s">
        <v>391</v>
      </c>
      <c r="B29" s="449"/>
      <c r="C29" s="450"/>
      <c r="D29" s="450"/>
      <c r="E29" s="450">
        <v>3608.2463975000001</v>
      </c>
      <c r="F29" s="450">
        <v>3608.2463975000001</v>
      </c>
      <c r="G29" s="451">
        <v>17831.018522499999</v>
      </c>
    </row>
    <row r="30" spans="1:7">
      <c r="A30" s="446" t="s">
        <v>118</v>
      </c>
      <c r="B30" s="443" t="s">
        <v>88</v>
      </c>
      <c r="C30" s="444"/>
      <c r="D30" s="444"/>
      <c r="E30" s="444">
        <v>3483.1360850000001</v>
      </c>
      <c r="F30" s="444">
        <v>3483.1360850000001</v>
      </c>
      <c r="G30" s="445">
        <v>15362.1904225</v>
      </c>
    </row>
    <row r="31" spans="1:7">
      <c r="A31" s="448" t="s">
        <v>392</v>
      </c>
      <c r="B31" s="449"/>
      <c r="C31" s="450"/>
      <c r="D31" s="450"/>
      <c r="E31" s="450">
        <v>3483.1360850000001</v>
      </c>
      <c r="F31" s="450">
        <v>3483.1360850000001</v>
      </c>
      <c r="G31" s="451">
        <v>15362.1904225</v>
      </c>
    </row>
    <row r="32" spans="1:7">
      <c r="A32" s="446" t="s">
        <v>122</v>
      </c>
      <c r="B32" s="443" t="s">
        <v>78</v>
      </c>
      <c r="C32" s="444"/>
      <c r="D32" s="444"/>
      <c r="E32" s="444">
        <v>1535.4</v>
      </c>
      <c r="F32" s="444">
        <v>1535.4</v>
      </c>
      <c r="G32" s="445">
        <v>9284.4</v>
      </c>
    </row>
    <row r="33" spans="1:8">
      <c r="A33" s="448" t="s">
        <v>393</v>
      </c>
      <c r="B33" s="449"/>
      <c r="C33" s="450"/>
      <c r="D33" s="450"/>
      <c r="E33" s="450">
        <v>1535.4</v>
      </c>
      <c r="F33" s="450">
        <v>1535.4</v>
      </c>
      <c r="G33" s="451">
        <v>9284.4</v>
      </c>
    </row>
    <row r="34" spans="1:8">
      <c r="A34" s="446" t="s">
        <v>109</v>
      </c>
      <c r="B34" s="443" t="s">
        <v>394</v>
      </c>
      <c r="C34" s="444">
        <v>6960.8739999999998</v>
      </c>
      <c r="D34" s="444"/>
      <c r="E34" s="444"/>
      <c r="F34" s="444">
        <v>6960.8739999999998</v>
      </c>
      <c r="G34" s="445">
        <v>61838.714999999997</v>
      </c>
    </row>
    <row r="35" spans="1:8">
      <c r="A35" s="448" t="s">
        <v>395</v>
      </c>
      <c r="B35" s="449"/>
      <c r="C35" s="450">
        <v>6960.8739999999998</v>
      </c>
      <c r="D35" s="450"/>
      <c r="E35" s="450"/>
      <c r="F35" s="450">
        <v>6960.8739999999998</v>
      </c>
      <c r="G35" s="451">
        <v>61838.714999999997</v>
      </c>
    </row>
    <row r="36" spans="1:8">
      <c r="A36" s="446" t="s">
        <v>277</v>
      </c>
      <c r="B36" s="443" t="s">
        <v>63</v>
      </c>
      <c r="C36" s="444"/>
      <c r="D36" s="444"/>
      <c r="E36" s="444">
        <v>9218.965217500001</v>
      </c>
      <c r="F36" s="444">
        <v>9218.965217500001</v>
      </c>
      <c r="G36" s="445">
        <v>53167.786829999997</v>
      </c>
    </row>
    <row r="37" spans="1:8">
      <c r="A37" s="448" t="s">
        <v>397</v>
      </c>
      <c r="B37" s="449"/>
      <c r="C37" s="450"/>
      <c r="D37" s="450"/>
      <c r="E37" s="450">
        <v>9218.965217500001</v>
      </c>
      <c r="F37" s="450">
        <v>9218.965217500001</v>
      </c>
      <c r="G37" s="451">
        <v>53167.786829999997</v>
      </c>
    </row>
    <row r="38" spans="1:8">
      <c r="A38" s="446" t="s">
        <v>125</v>
      </c>
      <c r="B38" s="443" t="s">
        <v>398</v>
      </c>
      <c r="C38" s="444"/>
      <c r="D38" s="444">
        <v>0.21718499999999999</v>
      </c>
      <c r="E38" s="444"/>
      <c r="F38" s="444">
        <v>0.21718499999999999</v>
      </c>
      <c r="G38" s="445">
        <v>376.64729</v>
      </c>
    </row>
    <row r="39" spans="1:8">
      <c r="A39" s="446"/>
      <c r="B39" s="443" t="s">
        <v>399</v>
      </c>
      <c r="C39" s="444"/>
      <c r="D39" s="444">
        <v>2.5299425000000002</v>
      </c>
      <c r="E39" s="444"/>
      <c r="F39" s="444">
        <v>2.5299425000000002</v>
      </c>
      <c r="G39" s="445">
        <v>3580.8104824999996</v>
      </c>
    </row>
    <row r="40" spans="1:8">
      <c r="A40" s="448" t="s">
        <v>400</v>
      </c>
      <c r="B40" s="449"/>
      <c r="C40" s="450"/>
      <c r="D40" s="450">
        <v>2.7471275000000004</v>
      </c>
      <c r="E40" s="450"/>
      <c r="F40" s="450">
        <v>2.7471275000000004</v>
      </c>
      <c r="G40" s="451">
        <v>3957.4577724999995</v>
      </c>
    </row>
    <row r="41" spans="1:8">
      <c r="A41" s="446" t="s">
        <v>663</v>
      </c>
      <c r="B41" s="443" t="s">
        <v>402</v>
      </c>
      <c r="C41" s="444"/>
      <c r="D41" s="444">
        <v>256914.73106249998</v>
      </c>
      <c r="E41" s="444"/>
      <c r="F41" s="444">
        <v>256914.73106249998</v>
      </c>
      <c r="G41" s="445">
        <v>1581138.234375</v>
      </c>
    </row>
    <row r="42" spans="1:8">
      <c r="A42" s="446"/>
      <c r="B42" s="443" t="s">
        <v>403</v>
      </c>
      <c r="C42" s="444"/>
      <c r="D42" s="444">
        <v>58528.693704999998</v>
      </c>
      <c r="E42" s="444"/>
      <c r="F42" s="444">
        <v>58528.693704999998</v>
      </c>
      <c r="G42" s="445">
        <v>229335.73698999998</v>
      </c>
    </row>
    <row r="43" spans="1:8">
      <c r="A43" s="446"/>
      <c r="B43" s="443" t="s">
        <v>401</v>
      </c>
      <c r="C43" s="444">
        <v>315448.21777250001</v>
      </c>
      <c r="D43" s="444"/>
      <c r="E43" s="444"/>
      <c r="F43" s="444">
        <v>315448.21777250001</v>
      </c>
      <c r="G43" s="445">
        <v>1718656.8960000002</v>
      </c>
    </row>
    <row r="44" spans="1:8">
      <c r="A44" s="446"/>
      <c r="B44" s="443" t="s">
        <v>404</v>
      </c>
      <c r="C44" s="444">
        <v>5386.15672</v>
      </c>
      <c r="D44" s="444"/>
      <c r="E44" s="444"/>
      <c r="F44" s="444">
        <v>5386.15672</v>
      </c>
      <c r="G44" s="445">
        <v>33133.894802499999</v>
      </c>
    </row>
    <row r="45" spans="1:8">
      <c r="A45" s="448" t="s">
        <v>405</v>
      </c>
      <c r="B45" s="449"/>
      <c r="C45" s="450">
        <v>320834.37449250004</v>
      </c>
      <c r="D45" s="450">
        <v>315443.42476749996</v>
      </c>
      <c r="E45" s="450"/>
      <c r="F45" s="450">
        <v>636277.79925999988</v>
      </c>
      <c r="G45" s="451">
        <v>3562264.7621674999</v>
      </c>
    </row>
    <row r="46" spans="1:8">
      <c r="A46" s="446" t="s">
        <v>767</v>
      </c>
      <c r="B46" s="443" t="s">
        <v>579</v>
      </c>
      <c r="C46" s="444">
        <v>62626.826052500001</v>
      </c>
      <c r="D46" s="444"/>
      <c r="E46" s="444"/>
      <c r="F46" s="444">
        <v>62626.826052500001</v>
      </c>
      <c r="G46" s="445">
        <v>317142.91113250004</v>
      </c>
      <c r="H46" s="669"/>
    </row>
    <row r="47" spans="1:8">
      <c r="A47" s="448" t="s">
        <v>537</v>
      </c>
      <c r="B47" s="449"/>
      <c r="C47" s="450">
        <v>62626.826052500001</v>
      </c>
      <c r="D47" s="450"/>
      <c r="E47" s="450"/>
      <c r="F47" s="450">
        <v>62626.826052500001</v>
      </c>
      <c r="G47" s="451">
        <v>317142.91113250004</v>
      </c>
    </row>
    <row r="48" spans="1:8">
      <c r="A48" s="446" t="s">
        <v>123</v>
      </c>
      <c r="B48" s="443" t="s">
        <v>76</v>
      </c>
      <c r="C48" s="444"/>
      <c r="D48" s="444"/>
      <c r="E48" s="444">
        <v>2267.5752499999999</v>
      </c>
      <c r="F48" s="444">
        <v>2267.5752499999999</v>
      </c>
      <c r="G48" s="445">
        <v>12350.56855</v>
      </c>
    </row>
    <row r="49" spans="1:7">
      <c r="A49" s="448" t="s">
        <v>406</v>
      </c>
      <c r="B49" s="449"/>
      <c r="C49" s="450"/>
      <c r="D49" s="450"/>
      <c r="E49" s="450">
        <v>2267.5752499999999</v>
      </c>
      <c r="F49" s="450">
        <v>2267.5752499999999</v>
      </c>
      <c r="G49" s="451">
        <v>12350.56855</v>
      </c>
    </row>
    <row r="50" spans="1:7">
      <c r="A50" s="446" t="s">
        <v>116</v>
      </c>
      <c r="B50" s="443" t="s">
        <v>86</v>
      </c>
      <c r="C50" s="444"/>
      <c r="D50" s="444"/>
      <c r="E50" s="444">
        <v>3557.2601450000002</v>
      </c>
      <c r="F50" s="444">
        <v>3557.2601450000002</v>
      </c>
      <c r="G50" s="445">
        <v>19224.892695000002</v>
      </c>
    </row>
    <row r="51" spans="1:7">
      <c r="A51" s="448" t="s">
        <v>407</v>
      </c>
      <c r="B51" s="449"/>
      <c r="C51" s="450"/>
      <c r="D51" s="450"/>
      <c r="E51" s="450">
        <v>3557.2601450000002</v>
      </c>
      <c r="F51" s="450">
        <v>3557.2601450000002</v>
      </c>
      <c r="G51" s="451">
        <v>19224.892695000002</v>
      </c>
    </row>
    <row r="52" spans="1:7">
      <c r="A52" s="446" t="s">
        <v>279</v>
      </c>
      <c r="B52" s="443" t="s">
        <v>75</v>
      </c>
      <c r="C52" s="444"/>
      <c r="D52" s="444"/>
      <c r="E52" s="444">
        <v>3572.8747724999998</v>
      </c>
      <c r="F52" s="444">
        <v>3572.8747724999998</v>
      </c>
      <c r="G52" s="445">
        <v>15765.733307500001</v>
      </c>
    </row>
    <row r="53" spans="1:7">
      <c r="A53" s="446"/>
      <c r="B53" s="443" t="s">
        <v>408</v>
      </c>
      <c r="C53" s="444">
        <v>153198.00150750001</v>
      </c>
      <c r="D53" s="444"/>
      <c r="E53" s="444"/>
      <c r="F53" s="444">
        <v>153198.00150750001</v>
      </c>
      <c r="G53" s="445">
        <v>834802.5901425</v>
      </c>
    </row>
    <row r="54" spans="1:7">
      <c r="A54" s="446"/>
      <c r="B54" s="443" t="s">
        <v>409</v>
      </c>
      <c r="C54" s="444">
        <v>48330.639869999999</v>
      </c>
      <c r="D54" s="444"/>
      <c r="E54" s="444"/>
      <c r="F54" s="444">
        <v>48330.639869999999</v>
      </c>
      <c r="G54" s="445">
        <v>291691.11074500001</v>
      </c>
    </row>
    <row r="55" spans="1:7">
      <c r="A55" s="446"/>
      <c r="B55" s="443" t="s">
        <v>66</v>
      </c>
      <c r="C55" s="444"/>
      <c r="D55" s="444"/>
      <c r="E55" s="444">
        <v>7249.7682825000002</v>
      </c>
      <c r="F55" s="444">
        <v>7249.7682825000002</v>
      </c>
      <c r="G55" s="445">
        <v>35457.614584999996</v>
      </c>
    </row>
    <row r="56" spans="1:7">
      <c r="A56" s="448" t="s">
        <v>410</v>
      </c>
      <c r="B56" s="449"/>
      <c r="C56" s="450">
        <v>201528.64137750003</v>
      </c>
      <c r="D56" s="450"/>
      <c r="E56" s="450">
        <v>10822.643055</v>
      </c>
      <c r="F56" s="450">
        <v>212351.28443250005</v>
      </c>
      <c r="G56" s="451">
        <v>1177717.0487800001</v>
      </c>
    </row>
    <row r="57" spans="1:7">
      <c r="A57" s="446" t="s">
        <v>280</v>
      </c>
      <c r="B57" s="443" t="s">
        <v>83</v>
      </c>
      <c r="C57" s="444"/>
      <c r="D57" s="444"/>
      <c r="E57" s="444">
        <v>12871.5767025</v>
      </c>
      <c r="F57" s="444">
        <v>12871.5767025</v>
      </c>
      <c r="G57" s="445">
        <v>59013.524407500008</v>
      </c>
    </row>
    <row r="58" spans="1:7">
      <c r="A58" s="448" t="s">
        <v>411</v>
      </c>
      <c r="B58" s="449"/>
      <c r="C58" s="450"/>
      <c r="D58" s="450"/>
      <c r="E58" s="450">
        <v>12871.5767025</v>
      </c>
      <c r="F58" s="450">
        <v>12871.5767025</v>
      </c>
      <c r="G58" s="451">
        <v>59013.524407500008</v>
      </c>
    </row>
    <row r="59" spans="1:7">
      <c r="A59" s="446" t="s">
        <v>105</v>
      </c>
      <c r="B59" s="443" t="s">
        <v>80</v>
      </c>
      <c r="C59" s="444"/>
      <c r="D59" s="444"/>
      <c r="E59" s="444">
        <v>42716.160024999997</v>
      </c>
      <c r="F59" s="444">
        <v>42716.160024999997</v>
      </c>
      <c r="G59" s="445">
        <v>193171.08551499998</v>
      </c>
    </row>
    <row r="60" spans="1:7">
      <c r="A60" s="448" t="s">
        <v>412</v>
      </c>
      <c r="B60" s="449"/>
      <c r="C60" s="450"/>
      <c r="D60" s="450"/>
      <c r="E60" s="450">
        <v>42716.160024999997</v>
      </c>
      <c r="F60" s="450">
        <v>42716.160024999997</v>
      </c>
      <c r="G60" s="451">
        <v>193171.08551499998</v>
      </c>
    </row>
    <row r="61" spans="1:7">
      <c r="A61" s="446" t="s">
        <v>113</v>
      </c>
      <c r="B61" s="443" t="s">
        <v>267</v>
      </c>
      <c r="C61" s="444"/>
      <c r="D61" s="444"/>
      <c r="E61" s="444">
        <v>3863.1219999999998</v>
      </c>
      <c r="F61" s="444">
        <v>3863.1219999999998</v>
      </c>
      <c r="G61" s="445">
        <v>21005.757214999998</v>
      </c>
    </row>
    <row r="62" spans="1:7">
      <c r="A62" s="448" t="s">
        <v>413</v>
      </c>
      <c r="B62" s="449"/>
      <c r="C62" s="450"/>
      <c r="D62" s="450"/>
      <c r="E62" s="450">
        <v>3863.1219999999998</v>
      </c>
      <c r="F62" s="450">
        <v>3863.1219999999998</v>
      </c>
      <c r="G62" s="451">
        <v>21005.757214999998</v>
      </c>
    </row>
    <row r="63" spans="1:7">
      <c r="A63" s="446" t="s">
        <v>771</v>
      </c>
      <c r="B63" s="443" t="s">
        <v>91</v>
      </c>
      <c r="C63" s="444"/>
      <c r="D63" s="444"/>
      <c r="E63" s="444">
        <v>400.36080000000004</v>
      </c>
      <c r="F63" s="444">
        <v>400.36080000000004</v>
      </c>
      <c r="G63" s="445">
        <v>4628.0362249999998</v>
      </c>
    </row>
    <row r="64" spans="1:7">
      <c r="A64" s="446"/>
      <c r="B64" s="443" t="s">
        <v>90</v>
      </c>
      <c r="C64" s="444"/>
      <c r="D64" s="444"/>
      <c r="E64" s="444">
        <v>2992.0497999999998</v>
      </c>
      <c r="F64" s="444">
        <v>2992.0497999999998</v>
      </c>
      <c r="G64" s="445">
        <v>14212.005232500002</v>
      </c>
    </row>
    <row r="65" spans="1:7">
      <c r="A65" s="448" t="s">
        <v>414</v>
      </c>
      <c r="B65" s="449"/>
      <c r="C65" s="450"/>
      <c r="D65" s="450"/>
      <c r="E65" s="450">
        <v>3392.4105999999997</v>
      </c>
      <c r="F65" s="450">
        <v>3392.4105999999997</v>
      </c>
      <c r="G65" s="451">
        <v>18840.041457500003</v>
      </c>
    </row>
    <row r="66" spans="1:7">
      <c r="A66" s="670"/>
      <c r="B66" s="443"/>
      <c r="C66" s="444"/>
      <c r="D66" s="444"/>
      <c r="E66" s="444"/>
      <c r="F66" s="444"/>
      <c r="G66" s="444"/>
    </row>
    <row r="67" spans="1:7">
      <c r="A67" s="671"/>
      <c r="B67" s="671"/>
      <c r="C67" s="671"/>
      <c r="D67" s="671"/>
      <c r="E67" s="671"/>
      <c r="F67" s="671"/>
      <c r="G67" s="671"/>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Mayo 2018
INFSGI-MES-05-2018
07/06/2018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2"/>
  <sheetViews>
    <sheetView showGridLines="0" view="pageBreakPreview" zoomScale="145" zoomScaleNormal="100" zoomScaleSheetLayoutView="145" zoomScalePageLayoutView="160" workbookViewId="0">
      <selection activeCell="Q26" sqref="Q26"/>
    </sheetView>
  </sheetViews>
  <sheetFormatPr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ht="15.75" customHeight="1">
      <c r="A1" s="971" t="s">
        <v>291</v>
      </c>
      <c r="B1" s="965" t="s">
        <v>57</v>
      </c>
      <c r="C1" s="967" t="str">
        <f>+'19. ANEXOI-2'!C1:F1</f>
        <v>ENERGÍA PRODUCIDA MAYO 2018</v>
      </c>
      <c r="D1" s="967"/>
      <c r="E1" s="967"/>
      <c r="F1" s="967"/>
      <c r="G1" s="453" t="s">
        <v>322</v>
      </c>
      <c r="H1" s="279"/>
      <c r="I1" s="279"/>
      <c r="J1" s="279"/>
      <c r="K1" s="279"/>
    </row>
    <row r="2" spans="1:12" ht="11.25" customHeight="1">
      <c r="A2" s="971"/>
      <c r="B2" s="965"/>
      <c r="C2" s="968" t="s">
        <v>323</v>
      </c>
      <c r="D2" s="968"/>
      <c r="E2" s="968"/>
      <c r="F2" s="969" t="str">
        <f>"TOTAL 
"&amp;UPPER('1. Resumen'!Q4)</f>
        <v>TOTAL 
MAYO</v>
      </c>
      <c r="G2" s="454" t="s">
        <v>324</v>
      </c>
      <c r="H2" s="268"/>
      <c r="I2" s="268"/>
      <c r="J2" s="268"/>
      <c r="K2" s="268"/>
      <c r="L2" s="269"/>
    </row>
    <row r="3" spans="1:12" ht="11.25" customHeight="1">
      <c r="A3" s="971"/>
      <c r="B3" s="965"/>
      <c r="C3" s="438" t="s">
        <v>243</v>
      </c>
      <c r="D3" s="438" t="s">
        <v>244</v>
      </c>
      <c r="E3" s="438" t="s">
        <v>325</v>
      </c>
      <c r="F3" s="970"/>
      <c r="G3" s="454">
        <v>2018</v>
      </c>
      <c r="H3" s="271"/>
      <c r="I3" s="270"/>
      <c r="J3" s="270"/>
      <c r="K3" s="270"/>
      <c r="L3" s="269"/>
    </row>
    <row r="4" spans="1:12" ht="11.25" customHeight="1">
      <c r="A4" s="972"/>
      <c r="B4" s="973"/>
      <c r="C4" s="455" t="s">
        <v>326</v>
      </c>
      <c r="D4" s="455" t="s">
        <v>326</v>
      </c>
      <c r="E4" s="455" t="s">
        <v>326</v>
      </c>
      <c r="F4" s="455" t="s">
        <v>326</v>
      </c>
      <c r="G4" s="456" t="s">
        <v>226</v>
      </c>
      <c r="H4" s="271"/>
      <c r="I4" s="271"/>
      <c r="J4" s="271"/>
      <c r="K4" s="271"/>
      <c r="L4" s="12"/>
    </row>
    <row r="5" spans="1:12">
      <c r="A5" s="446" t="s">
        <v>282</v>
      </c>
      <c r="B5" s="443" t="s">
        <v>415</v>
      </c>
      <c r="C5" s="444"/>
      <c r="D5" s="444">
        <v>26.530172499999999</v>
      </c>
      <c r="E5" s="444"/>
      <c r="F5" s="444">
        <v>26.530172499999999</v>
      </c>
      <c r="G5" s="445">
        <v>189.62425999999999</v>
      </c>
    </row>
    <row r="6" spans="1:12">
      <c r="A6" s="448" t="s">
        <v>416</v>
      </c>
      <c r="B6" s="449"/>
      <c r="C6" s="450"/>
      <c r="D6" s="450">
        <v>26.530172499999999</v>
      </c>
      <c r="E6" s="450"/>
      <c r="F6" s="450">
        <v>26.530172499999999</v>
      </c>
      <c r="G6" s="451">
        <v>189.62425999999999</v>
      </c>
    </row>
    <row r="7" spans="1:12">
      <c r="A7" s="446" t="s">
        <v>110</v>
      </c>
      <c r="B7" s="443" t="s">
        <v>65</v>
      </c>
      <c r="C7" s="444"/>
      <c r="D7" s="444"/>
      <c r="E7" s="444">
        <v>13801.4255775</v>
      </c>
      <c r="F7" s="444">
        <v>13801.4255775</v>
      </c>
      <c r="G7" s="445">
        <v>61948.048465</v>
      </c>
    </row>
    <row r="8" spans="1:12">
      <c r="A8" s="448" t="s">
        <v>417</v>
      </c>
      <c r="B8" s="449"/>
      <c r="C8" s="450"/>
      <c r="D8" s="450"/>
      <c r="E8" s="450">
        <v>13801.4255775</v>
      </c>
      <c r="F8" s="450">
        <v>13801.4255775</v>
      </c>
      <c r="G8" s="451">
        <v>61948.048465</v>
      </c>
    </row>
    <row r="9" spans="1:12">
      <c r="A9" s="446" t="s">
        <v>283</v>
      </c>
      <c r="B9" s="443" t="s">
        <v>418</v>
      </c>
      <c r="C9" s="444"/>
      <c r="D9" s="444">
        <v>349.30804999999998</v>
      </c>
      <c r="E9" s="444"/>
      <c r="F9" s="444">
        <v>349.30804999999998</v>
      </c>
      <c r="G9" s="445">
        <v>24847.026902499998</v>
      </c>
    </row>
    <row r="10" spans="1:12">
      <c r="A10" s="448" t="s">
        <v>419</v>
      </c>
      <c r="B10" s="449"/>
      <c r="C10" s="450"/>
      <c r="D10" s="450">
        <v>349.30804999999998</v>
      </c>
      <c r="E10" s="450"/>
      <c r="F10" s="450">
        <v>349.30804999999998</v>
      </c>
      <c r="G10" s="451">
        <v>24847.026902499998</v>
      </c>
    </row>
    <row r="11" spans="1:12">
      <c r="A11" s="446" t="s">
        <v>101</v>
      </c>
      <c r="B11" s="443" t="s">
        <v>420</v>
      </c>
      <c r="C11" s="444">
        <v>67251.595014999999</v>
      </c>
      <c r="D11" s="444"/>
      <c r="E11" s="444"/>
      <c r="F11" s="444">
        <v>67251.595014999999</v>
      </c>
      <c r="G11" s="445">
        <v>383565.37444500002</v>
      </c>
    </row>
    <row r="12" spans="1:12">
      <c r="A12" s="448" t="s">
        <v>421</v>
      </c>
      <c r="B12" s="449"/>
      <c r="C12" s="450">
        <v>67251.595014999999</v>
      </c>
      <c r="D12" s="450"/>
      <c r="E12" s="450"/>
      <c r="F12" s="450">
        <v>67251.595014999999</v>
      </c>
      <c r="G12" s="451">
        <v>383565.37444500002</v>
      </c>
    </row>
    <row r="13" spans="1:12">
      <c r="A13" s="446" t="s">
        <v>284</v>
      </c>
      <c r="B13" s="443" t="s">
        <v>69</v>
      </c>
      <c r="C13" s="444"/>
      <c r="D13" s="444"/>
      <c r="E13" s="444">
        <v>4142.5631025000002</v>
      </c>
      <c r="F13" s="444">
        <v>4142.5631025000002</v>
      </c>
      <c r="G13" s="445">
        <v>30367.1436125</v>
      </c>
    </row>
    <row r="14" spans="1:12">
      <c r="A14" s="446"/>
      <c r="B14" s="443" t="s">
        <v>68</v>
      </c>
      <c r="C14" s="444"/>
      <c r="D14" s="444"/>
      <c r="E14" s="444">
        <v>4505.9907375000003</v>
      </c>
      <c r="F14" s="444">
        <v>4505.9907375000003</v>
      </c>
      <c r="G14" s="445">
        <v>31689.875327500002</v>
      </c>
    </row>
    <row r="15" spans="1:12">
      <c r="A15" s="446"/>
      <c r="B15" s="443" t="s">
        <v>72</v>
      </c>
      <c r="C15" s="444"/>
      <c r="D15" s="444"/>
      <c r="E15" s="444">
        <v>2312.5861825000002</v>
      </c>
      <c r="F15" s="444">
        <v>2312.5861825000002</v>
      </c>
      <c r="G15" s="445">
        <v>18639.488494999998</v>
      </c>
    </row>
    <row r="16" spans="1:12">
      <c r="A16" s="446"/>
      <c r="B16" s="443" t="s">
        <v>71</v>
      </c>
      <c r="C16" s="444"/>
      <c r="D16" s="444"/>
      <c r="E16" s="444">
        <v>2676.1774650000002</v>
      </c>
      <c r="F16" s="444">
        <v>2676.1774650000002</v>
      </c>
      <c r="G16" s="445">
        <v>20318.845119999998</v>
      </c>
    </row>
    <row r="17" spans="1:7">
      <c r="A17" s="448" t="s">
        <v>422</v>
      </c>
      <c r="B17" s="449"/>
      <c r="C17" s="450"/>
      <c r="D17" s="450"/>
      <c r="E17" s="450">
        <v>13637.3174875</v>
      </c>
      <c r="F17" s="450">
        <v>13637.3174875</v>
      </c>
      <c r="G17" s="451">
        <v>101015.352555</v>
      </c>
    </row>
    <row r="18" spans="1:7">
      <c r="A18" s="446" t="s">
        <v>108</v>
      </c>
      <c r="B18" s="443" t="s">
        <v>423</v>
      </c>
      <c r="C18" s="444"/>
      <c r="D18" s="444">
        <v>19745.196917500001</v>
      </c>
      <c r="E18" s="444"/>
      <c r="F18" s="444">
        <v>19745.196917500001</v>
      </c>
      <c r="G18" s="445">
        <v>97233.047287499998</v>
      </c>
    </row>
    <row r="19" spans="1:7">
      <c r="A19" s="448" t="s">
        <v>424</v>
      </c>
      <c r="B19" s="449"/>
      <c r="C19" s="450"/>
      <c r="D19" s="450">
        <v>19745.196917500001</v>
      </c>
      <c r="E19" s="450"/>
      <c r="F19" s="450">
        <v>19745.196917500001</v>
      </c>
      <c r="G19" s="451">
        <v>97233.047287499998</v>
      </c>
    </row>
    <row r="20" spans="1:7">
      <c r="A20" s="446" t="s">
        <v>127</v>
      </c>
      <c r="B20" s="443" t="s">
        <v>425</v>
      </c>
      <c r="C20" s="444"/>
      <c r="D20" s="444">
        <v>52.523294999999997</v>
      </c>
      <c r="E20" s="444"/>
      <c r="F20" s="444">
        <v>52.523294999999997</v>
      </c>
      <c r="G20" s="445">
        <v>1321.00341</v>
      </c>
    </row>
    <row r="21" spans="1:7">
      <c r="A21" s="448" t="s">
        <v>426</v>
      </c>
      <c r="B21" s="449"/>
      <c r="C21" s="450"/>
      <c r="D21" s="450">
        <v>52.523294999999997</v>
      </c>
      <c r="E21" s="450"/>
      <c r="F21" s="450">
        <v>52.523294999999997</v>
      </c>
      <c r="G21" s="451">
        <v>1321.00341</v>
      </c>
    </row>
    <row r="22" spans="1:7">
      <c r="A22" s="446" t="s">
        <v>119</v>
      </c>
      <c r="B22" s="443" t="s">
        <v>73</v>
      </c>
      <c r="C22" s="444"/>
      <c r="D22" s="444"/>
      <c r="E22" s="444">
        <v>6223.7118575000004</v>
      </c>
      <c r="F22" s="444">
        <v>6223.7118575000004</v>
      </c>
      <c r="G22" s="445">
        <v>26505.877947500001</v>
      </c>
    </row>
    <row r="23" spans="1:7">
      <c r="A23" s="448" t="s">
        <v>427</v>
      </c>
      <c r="B23" s="449"/>
      <c r="C23" s="450"/>
      <c r="D23" s="450"/>
      <c r="E23" s="450">
        <v>6223.7118575000004</v>
      </c>
      <c r="F23" s="450">
        <v>6223.7118575000004</v>
      </c>
      <c r="G23" s="451">
        <v>26505.877947500001</v>
      </c>
    </row>
    <row r="24" spans="1:7">
      <c r="A24" s="446" t="s">
        <v>96</v>
      </c>
      <c r="B24" s="443" t="s">
        <v>428</v>
      </c>
      <c r="C24" s="444">
        <v>32517.217107500001</v>
      </c>
      <c r="D24" s="444"/>
      <c r="E24" s="444"/>
      <c r="F24" s="444">
        <v>32517.217107500001</v>
      </c>
      <c r="G24" s="445">
        <v>142419.5251575</v>
      </c>
    </row>
    <row r="25" spans="1:7">
      <c r="A25" s="446"/>
      <c r="B25" s="443" t="s">
        <v>429</v>
      </c>
      <c r="C25" s="444">
        <v>76973.164740000007</v>
      </c>
      <c r="D25" s="444"/>
      <c r="E25" s="444"/>
      <c r="F25" s="444">
        <v>76973.164740000007</v>
      </c>
      <c r="G25" s="445">
        <v>494181.38453749998</v>
      </c>
    </row>
    <row r="26" spans="1:7">
      <c r="A26" s="446"/>
      <c r="B26" s="443" t="s">
        <v>430</v>
      </c>
      <c r="C26" s="444">
        <v>11202.501297499999</v>
      </c>
      <c r="D26" s="444"/>
      <c r="E26" s="444"/>
      <c r="F26" s="444">
        <v>11202.501297499999</v>
      </c>
      <c r="G26" s="445">
        <v>65397.710409999992</v>
      </c>
    </row>
    <row r="27" spans="1:7">
      <c r="A27" s="446"/>
      <c r="B27" s="443" t="s">
        <v>431</v>
      </c>
      <c r="C27" s="444">
        <v>0</v>
      </c>
      <c r="D27" s="444"/>
      <c r="E27" s="444"/>
      <c r="F27" s="444">
        <v>0</v>
      </c>
      <c r="G27" s="445">
        <v>57.626620000000003</v>
      </c>
    </row>
    <row r="28" spans="1:7">
      <c r="A28" s="446"/>
      <c r="B28" s="443" t="s">
        <v>432</v>
      </c>
      <c r="C28" s="444">
        <v>14918.431597499999</v>
      </c>
      <c r="D28" s="444"/>
      <c r="E28" s="444"/>
      <c r="F28" s="444">
        <v>14918.431597499999</v>
      </c>
      <c r="G28" s="445">
        <v>105692.548675</v>
      </c>
    </row>
    <row r="29" spans="1:7">
      <c r="A29" s="446"/>
      <c r="B29" s="443" t="s">
        <v>433</v>
      </c>
      <c r="C29" s="444">
        <v>2148.8184000000001</v>
      </c>
      <c r="D29" s="444"/>
      <c r="E29" s="444"/>
      <c r="F29" s="444">
        <v>2148.8184000000001</v>
      </c>
      <c r="G29" s="445">
        <v>11110.618439999998</v>
      </c>
    </row>
    <row r="30" spans="1:7">
      <c r="A30" s="446"/>
      <c r="B30" s="443" t="s">
        <v>434</v>
      </c>
      <c r="C30" s="444">
        <v>6088.3932600000007</v>
      </c>
      <c r="D30" s="444"/>
      <c r="E30" s="444"/>
      <c r="F30" s="444">
        <v>6088.3932600000007</v>
      </c>
      <c r="G30" s="445">
        <v>25823.389965000002</v>
      </c>
    </row>
    <row r="31" spans="1:7">
      <c r="A31" s="446"/>
      <c r="B31" s="443" t="s">
        <v>435</v>
      </c>
      <c r="C31" s="444">
        <v>3518.6664350000001</v>
      </c>
      <c r="D31" s="444"/>
      <c r="E31" s="444"/>
      <c r="F31" s="444">
        <v>3518.6664350000001</v>
      </c>
      <c r="G31" s="445">
        <v>15341.807940000001</v>
      </c>
    </row>
    <row r="32" spans="1:7">
      <c r="A32" s="446"/>
      <c r="B32" s="443" t="s">
        <v>436</v>
      </c>
      <c r="C32" s="444">
        <v>2811.9438849999997</v>
      </c>
      <c r="D32" s="444"/>
      <c r="E32" s="444"/>
      <c r="F32" s="444">
        <v>2811.9438849999997</v>
      </c>
      <c r="G32" s="445">
        <v>10640.252584999998</v>
      </c>
    </row>
    <row r="33" spans="1:7">
      <c r="A33" s="446"/>
      <c r="B33" s="443" t="s">
        <v>437</v>
      </c>
      <c r="C33" s="444">
        <v>1.1244799999999999</v>
      </c>
      <c r="D33" s="444"/>
      <c r="E33" s="444"/>
      <c r="F33" s="444">
        <v>1.1244799999999999</v>
      </c>
      <c r="G33" s="445">
        <v>408.13826749999998</v>
      </c>
    </row>
    <row r="34" spans="1:7">
      <c r="A34" s="446"/>
      <c r="B34" s="443" t="s">
        <v>438</v>
      </c>
      <c r="C34" s="444">
        <v>121.17322249999999</v>
      </c>
      <c r="D34" s="444"/>
      <c r="E34" s="444"/>
      <c r="F34" s="444">
        <v>121.17322249999999</v>
      </c>
      <c r="G34" s="445">
        <v>407.0744325</v>
      </c>
    </row>
    <row r="35" spans="1:7">
      <c r="A35" s="446"/>
      <c r="B35" s="443" t="s">
        <v>439</v>
      </c>
      <c r="C35" s="444">
        <v>75937.629182500008</v>
      </c>
      <c r="D35" s="444"/>
      <c r="E35" s="444"/>
      <c r="F35" s="444">
        <v>75937.629182500008</v>
      </c>
      <c r="G35" s="445">
        <v>343902.96838999999</v>
      </c>
    </row>
    <row r="36" spans="1:7">
      <c r="A36" s="448" t="s">
        <v>440</v>
      </c>
      <c r="B36" s="449"/>
      <c r="C36" s="450">
        <v>226239.06360749999</v>
      </c>
      <c r="D36" s="450"/>
      <c r="E36" s="450"/>
      <c r="F36" s="450">
        <v>226239.06360749999</v>
      </c>
      <c r="G36" s="451">
        <v>1215383.0454199999</v>
      </c>
    </row>
    <row r="37" spans="1:7">
      <c r="A37" s="446" t="s">
        <v>115</v>
      </c>
      <c r="B37" s="443" t="s">
        <v>266</v>
      </c>
      <c r="C37" s="444"/>
      <c r="D37" s="444"/>
      <c r="E37" s="444">
        <v>3521.4876724999999</v>
      </c>
      <c r="F37" s="444">
        <v>3521.4876724999999</v>
      </c>
      <c r="G37" s="445">
        <v>21444.966957500001</v>
      </c>
    </row>
    <row r="38" spans="1:7">
      <c r="A38" s="448" t="s">
        <v>441</v>
      </c>
      <c r="B38" s="449"/>
      <c r="C38" s="450"/>
      <c r="D38" s="450"/>
      <c r="E38" s="450">
        <v>3521.4876724999999</v>
      </c>
      <c r="F38" s="450">
        <v>3521.4876724999999</v>
      </c>
      <c r="G38" s="451">
        <v>21444.966957500001</v>
      </c>
    </row>
    <row r="39" spans="1:7">
      <c r="A39" s="446" t="s">
        <v>768</v>
      </c>
      <c r="B39" s="443" t="s">
        <v>591</v>
      </c>
      <c r="C39" s="444"/>
      <c r="D39" s="444">
        <v>177391.74082750001</v>
      </c>
      <c r="E39" s="444"/>
      <c r="F39" s="444">
        <v>177391.74082750001</v>
      </c>
      <c r="G39" s="445">
        <v>420394.30626249994</v>
      </c>
    </row>
    <row r="40" spans="1:7">
      <c r="A40" s="448" t="s">
        <v>442</v>
      </c>
      <c r="B40" s="449"/>
      <c r="C40" s="450"/>
      <c r="D40" s="450">
        <v>177391.74082750001</v>
      </c>
      <c r="E40" s="450"/>
      <c r="F40" s="450">
        <v>177391.74082750001</v>
      </c>
      <c r="G40" s="451">
        <v>420394.30626249994</v>
      </c>
    </row>
    <row r="41" spans="1:7">
      <c r="A41" s="446" t="s">
        <v>111</v>
      </c>
      <c r="B41" s="443" t="s">
        <v>443</v>
      </c>
      <c r="C41" s="444"/>
      <c r="D41" s="444">
        <v>22659.243487500004</v>
      </c>
      <c r="E41" s="444"/>
      <c r="F41" s="444">
        <v>22659.243487500004</v>
      </c>
      <c r="G41" s="445">
        <v>91307.857827500004</v>
      </c>
    </row>
    <row r="42" spans="1:7">
      <c r="A42" s="448" t="s">
        <v>444</v>
      </c>
      <c r="B42" s="449"/>
      <c r="C42" s="450"/>
      <c r="D42" s="450">
        <v>22659.243487500004</v>
      </c>
      <c r="E42" s="450"/>
      <c r="F42" s="450">
        <v>22659.243487500004</v>
      </c>
      <c r="G42" s="451">
        <v>91307.857827500004</v>
      </c>
    </row>
    <row r="43" spans="1:7">
      <c r="A43" s="446" t="s">
        <v>769</v>
      </c>
      <c r="B43" s="443" t="s">
        <v>552</v>
      </c>
      <c r="C43" s="444"/>
      <c r="D43" s="444"/>
      <c r="E43" s="444">
        <v>14758.276620000001</v>
      </c>
      <c r="F43" s="444">
        <v>14758.276620000001</v>
      </c>
      <c r="G43" s="445">
        <v>36294.226490000001</v>
      </c>
    </row>
    <row r="44" spans="1:7">
      <c r="A44" s="448" t="s">
        <v>534</v>
      </c>
      <c r="B44" s="449"/>
      <c r="C44" s="450"/>
      <c r="D44" s="450"/>
      <c r="E44" s="450">
        <v>14758.276620000001</v>
      </c>
      <c r="F44" s="450">
        <v>14758.276620000001</v>
      </c>
      <c r="G44" s="451">
        <v>36294.226490000001</v>
      </c>
    </row>
    <row r="45" spans="1:7" ht="12.75" customHeight="1">
      <c r="A45" s="790" t="s">
        <v>770</v>
      </c>
      <c r="B45" s="791" t="s">
        <v>396</v>
      </c>
      <c r="C45" s="792">
        <v>14455.994127500002</v>
      </c>
      <c r="D45" s="792"/>
      <c r="E45" s="792"/>
      <c r="F45" s="792">
        <v>14455.994127500002</v>
      </c>
      <c r="G45" s="793">
        <v>69599.682555000007</v>
      </c>
    </row>
    <row r="46" spans="1:7" ht="13.5" customHeight="1">
      <c r="A46" s="797" t="s">
        <v>562</v>
      </c>
      <c r="B46" s="794"/>
      <c r="C46" s="795">
        <v>14455.994127500002</v>
      </c>
      <c r="D46" s="795"/>
      <c r="E46" s="795"/>
      <c r="F46" s="795">
        <v>14455.994127500002</v>
      </c>
      <c r="G46" s="796">
        <v>69599.682555000007</v>
      </c>
    </row>
    <row r="48" spans="1:7">
      <c r="A48" s="457" t="s">
        <v>445</v>
      </c>
      <c r="B48" s="458"/>
      <c r="C48" s="459">
        <v>2522766.6568125002</v>
      </c>
      <c r="D48" s="459">
        <v>1443250.5225650002</v>
      </c>
      <c r="E48" s="459">
        <v>321959.14909750014</v>
      </c>
      <c r="F48" s="459">
        <v>4287976.3284749994</v>
      </c>
      <c r="G48" s="459">
        <v>20986536.990507495</v>
      </c>
    </row>
    <row r="49" spans="1:10">
      <c r="A49" s="461" t="s">
        <v>446</v>
      </c>
      <c r="B49" s="462"/>
      <c r="C49" s="463"/>
      <c r="D49" s="463"/>
      <c r="E49" s="464"/>
      <c r="F49" s="460">
        <v>0</v>
      </c>
      <c r="G49" s="460">
        <v>2120.6869999999999</v>
      </c>
    </row>
    <row r="50" spans="1:10">
      <c r="A50" s="465" t="s">
        <v>447</v>
      </c>
      <c r="B50" s="466"/>
      <c r="C50" s="467"/>
      <c r="D50" s="467"/>
      <c r="E50" s="468"/>
      <c r="F50" s="460">
        <v>0</v>
      </c>
      <c r="G50" s="460">
        <v>0</v>
      </c>
    </row>
    <row r="51" spans="1:10" ht="6.75" customHeight="1"/>
    <row r="52" spans="1:10" ht="23.25" customHeight="1">
      <c r="A52" s="974" t="s">
        <v>448</v>
      </c>
      <c r="B52" s="974"/>
      <c r="C52" s="974"/>
      <c r="D52" s="974"/>
      <c r="E52" s="974"/>
      <c r="F52" s="974"/>
      <c r="G52" s="974"/>
    </row>
    <row r="53" spans="1:10" ht="8.25" customHeight="1"/>
    <row r="54" spans="1:10">
      <c r="A54" s="469" t="s">
        <v>662</v>
      </c>
      <c r="B54" s="469"/>
      <c r="C54" s="469"/>
      <c r="D54" s="469"/>
      <c r="E54" s="469"/>
      <c r="F54" s="469"/>
    </row>
    <row r="55" spans="1:10" s="829" customFormat="1">
      <c r="A55" s="469" t="s">
        <v>755</v>
      </c>
      <c r="B55" s="469"/>
      <c r="C55" s="469"/>
      <c r="D55" s="469"/>
      <c r="E55" s="469"/>
      <c r="F55" s="469"/>
      <c r="G55" s="50"/>
      <c r="H55" s="50"/>
      <c r="I55" s="50"/>
      <c r="J55" s="50"/>
    </row>
    <row r="56" spans="1:10">
      <c r="A56" s="469" t="s">
        <v>756</v>
      </c>
      <c r="B56" s="469"/>
      <c r="C56" s="469"/>
      <c r="D56" s="469"/>
      <c r="E56" s="469"/>
      <c r="F56" s="469"/>
    </row>
    <row r="57" spans="1:10">
      <c r="A57" s="469" t="s">
        <v>757</v>
      </c>
      <c r="B57" s="469"/>
      <c r="C57" s="469"/>
      <c r="D57" s="469"/>
      <c r="E57" s="469"/>
      <c r="F57" s="469"/>
    </row>
    <row r="58" spans="1:10">
      <c r="A58" s="469" t="s">
        <v>758</v>
      </c>
      <c r="B58" s="469"/>
      <c r="C58" s="469"/>
      <c r="D58" s="469"/>
      <c r="E58" s="469"/>
      <c r="F58" s="469"/>
    </row>
    <row r="59" spans="1:10">
      <c r="A59" s="469" t="s">
        <v>759</v>
      </c>
      <c r="B59" s="469"/>
      <c r="C59" s="469"/>
      <c r="D59" s="469"/>
      <c r="E59" s="469"/>
      <c r="F59" s="469"/>
    </row>
    <row r="60" spans="1:10">
      <c r="A60" s="469" t="s">
        <v>760</v>
      </c>
      <c r="B60" s="469"/>
      <c r="C60" s="469"/>
      <c r="D60" s="469"/>
      <c r="E60" s="469"/>
      <c r="F60" s="469"/>
    </row>
    <row r="61" spans="1:10">
      <c r="A61" s="469" t="s">
        <v>761</v>
      </c>
      <c r="B61" s="469"/>
      <c r="C61" s="469"/>
      <c r="D61" s="469"/>
      <c r="E61" s="469"/>
      <c r="F61" s="469"/>
    </row>
    <row r="62" spans="1:10">
      <c r="A62" s="469" t="s">
        <v>762</v>
      </c>
      <c r="B62" s="469"/>
      <c r="C62" s="469"/>
      <c r="D62" s="469"/>
      <c r="E62" s="469"/>
      <c r="F62" s="469"/>
    </row>
  </sheetData>
  <mergeCells count="6">
    <mergeCell ref="A52:G52"/>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Mayo 2018
INFSGI-MES-05-2018
07/06/2018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67"/>
  <sheetViews>
    <sheetView showGridLines="0" view="pageBreakPreview" zoomScale="130" zoomScaleNormal="100" zoomScaleSheetLayoutView="130" zoomScalePageLayoutView="160" workbookViewId="0">
      <selection activeCell="Q26" sqref="Q26"/>
    </sheetView>
  </sheetViews>
  <sheetFormatPr defaultRowHeight="9"/>
  <cols>
    <col min="1" max="1" width="28.6640625" style="469" customWidth="1"/>
    <col min="2" max="2" width="22.1640625" style="469" customWidth="1"/>
    <col min="3" max="4" width="17.6640625" style="469" customWidth="1"/>
    <col min="5" max="5" width="15.1640625" style="469" customWidth="1"/>
    <col min="6" max="6" width="13.33203125" style="469" customWidth="1"/>
    <col min="7" max="9" width="9.33203125" style="469"/>
    <col min="10" max="11" width="9.33203125" style="469" customWidth="1"/>
    <col min="12" max="13" width="9.33203125" style="469"/>
    <col min="14" max="16384" width="9.33203125" style="470"/>
  </cols>
  <sheetData>
    <row r="1" spans="1:12" ht="11.25" customHeight="1">
      <c r="A1" s="452" t="s">
        <v>462</v>
      </c>
    </row>
    <row r="2" spans="1:12" ht="11.25" customHeight="1">
      <c r="A2" s="975" t="s">
        <v>291</v>
      </c>
      <c r="B2" s="978" t="s">
        <v>57</v>
      </c>
      <c r="C2" s="978" t="s">
        <v>463</v>
      </c>
      <c r="D2" s="978"/>
      <c r="E2" s="978"/>
      <c r="F2" s="981"/>
      <c r="G2" s="471"/>
      <c r="H2" s="471"/>
      <c r="I2" s="471"/>
      <c r="J2" s="471"/>
      <c r="K2" s="471"/>
    </row>
    <row r="3" spans="1:12" ht="11.25" customHeight="1">
      <c r="A3" s="976"/>
      <c r="B3" s="979"/>
      <c r="C3" s="493" t="str">
        <f>UPPER('1. Resumen'!Q4)&amp;" "&amp;'1. Resumen'!Q5</f>
        <v>MAYO 2018</v>
      </c>
      <c r="D3" s="494" t="str">
        <f>UPPER('1. Resumen'!Q4)&amp;" "&amp;'1. Resumen'!Q5-1</f>
        <v>MAYO 2017</v>
      </c>
      <c r="E3" s="495">
        <v>2018</v>
      </c>
      <c r="F3" s="472" t="s">
        <v>461</v>
      </c>
      <c r="G3" s="473"/>
      <c r="H3" s="473"/>
      <c r="I3" s="473"/>
      <c r="J3" s="473"/>
      <c r="K3" s="473"/>
      <c r="L3" s="474"/>
    </row>
    <row r="4" spans="1:12" ht="11.25" customHeight="1">
      <c r="A4" s="976"/>
      <c r="B4" s="979"/>
      <c r="C4" s="496">
        <f>+'8. Max Potencia'!D8</f>
        <v>43228.78125</v>
      </c>
      <c r="D4" s="496">
        <f>+'8. Max Potencia'!E8</f>
        <v>42864.791666666664</v>
      </c>
      <c r="E4" s="496">
        <f>+'8. Max Potencia'!G8</f>
        <v>43214.78125</v>
      </c>
      <c r="F4" s="497" t="s">
        <v>449</v>
      </c>
      <c r="G4" s="475"/>
      <c r="H4" s="475"/>
      <c r="I4" s="476"/>
      <c r="J4" s="476"/>
      <c r="K4" s="476"/>
      <c r="L4" s="474"/>
    </row>
    <row r="5" spans="1:12" ht="11.25" customHeight="1">
      <c r="A5" s="977"/>
      <c r="B5" s="980"/>
      <c r="C5" s="498">
        <f>+'8. Max Potencia'!D9</f>
        <v>43228.78125</v>
      </c>
      <c r="D5" s="498">
        <f>+'8. Max Potencia'!E9</f>
        <v>42864.791666666664</v>
      </c>
      <c r="E5" s="498">
        <f>+'8. Max Potencia'!G9</f>
        <v>43214.78125</v>
      </c>
      <c r="F5" s="499" t="s">
        <v>450</v>
      </c>
      <c r="G5" s="475"/>
      <c r="H5" s="475"/>
      <c r="I5" s="475"/>
      <c r="J5" s="475"/>
      <c r="K5" s="475"/>
      <c r="L5" s="477"/>
    </row>
    <row r="6" spans="1:12" ht="11.25" customHeight="1">
      <c r="A6" s="447" t="s">
        <v>129</v>
      </c>
      <c r="B6" s="491" t="s">
        <v>92</v>
      </c>
      <c r="C6" s="492">
        <v>0</v>
      </c>
      <c r="D6" s="492">
        <v>0</v>
      </c>
      <c r="E6" s="492">
        <v>0</v>
      </c>
      <c r="F6" s="673" t="str">
        <f>+IF(D6=0,"",C6/D6-1)</f>
        <v/>
      </c>
      <c r="G6" s="475"/>
      <c r="H6" s="475"/>
      <c r="I6" s="475"/>
      <c r="J6" s="475"/>
      <c r="K6" s="475"/>
      <c r="L6" s="478"/>
    </row>
    <row r="7" spans="1:12" ht="11.25" customHeight="1">
      <c r="A7" s="448" t="s">
        <v>327</v>
      </c>
      <c r="B7" s="449"/>
      <c r="C7" s="486">
        <v>0</v>
      </c>
      <c r="D7" s="486">
        <v>0</v>
      </c>
      <c r="E7" s="486">
        <v>0</v>
      </c>
      <c r="F7" s="490" t="str">
        <f t="shared" ref="F7:F67" si="0">+IF(D7=0,"",C7/D7-1)</f>
        <v/>
      </c>
      <c r="G7" s="475"/>
      <c r="H7" s="475"/>
      <c r="I7" s="475"/>
      <c r="J7" s="475"/>
      <c r="K7" s="475"/>
      <c r="L7" s="389"/>
    </row>
    <row r="8" spans="1:12" ht="11.25" customHeight="1">
      <c r="A8" s="442" t="s">
        <v>128</v>
      </c>
      <c r="B8" s="487" t="s">
        <v>67</v>
      </c>
      <c r="C8" s="488">
        <v>0</v>
      </c>
      <c r="D8" s="488">
        <v>20.39</v>
      </c>
      <c r="E8" s="488">
        <v>19.946739999999998</v>
      </c>
      <c r="F8" s="489">
        <f t="shared" si="0"/>
        <v>-1</v>
      </c>
      <c r="G8" s="475"/>
      <c r="H8" s="475"/>
      <c r="I8" s="475"/>
      <c r="J8" s="475"/>
      <c r="K8" s="475"/>
      <c r="L8" s="479"/>
    </row>
    <row r="9" spans="1:12" ht="11.25" customHeight="1">
      <c r="A9" s="448" t="s">
        <v>328</v>
      </c>
      <c r="B9" s="449"/>
      <c r="C9" s="486">
        <v>0</v>
      </c>
      <c r="D9" s="486">
        <v>20.39</v>
      </c>
      <c r="E9" s="486">
        <v>19.946739999999998</v>
      </c>
      <c r="F9" s="490">
        <f t="shared" si="0"/>
        <v>-1</v>
      </c>
      <c r="G9" s="475"/>
      <c r="H9" s="475"/>
      <c r="I9" s="475"/>
      <c r="J9" s="475"/>
      <c r="K9" s="475"/>
      <c r="L9" s="389"/>
    </row>
    <row r="10" spans="1:12" ht="11.25" customHeight="1">
      <c r="A10" s="442" t="s">
        <v>112</v>
      </c>
      <c r="B10" s="487" t="s">
        <v>89</v>
      </c>
      <c r="C10" s="488">
        <v>0</v>
      </c>
      <c r="D10" s="488">
        <v>14.05716</v>
      </c>
      <c r="E10" s="488">
        <v>14.774369999999999</v>
      </c>
      <c r="F10" s="489">
        <f t="shared" si="0"/>
        <v>-1</v>
      </c>
      <c r="G10" s="475"/>
      <c r="H10" s="475"/>
      <c r="I10" s="475"/>
      <c r="J10" s="475"/>
      <c r="K10" s="475"/>
      <c r="L10" s="389"/>
    </row>
    <row r="11" spans="1:12" ht="11.25" customHeight="1">
      <c r="A11" s="448" t="s">
        <v>329</v>
      </c>
      <c r="B11" s="449"/>
      <c r="C11" s="486">
        <v>0</v>
      </c>
      <c r="D11" s="486">
        <v>14.05716</v>
      </c>
      <c r="E11" s="486">
        <v>14.774369999999999</v>
      </c>
      <c r="F11" s="490">
        <f t="shared" si="0"/>
        <v>-1</v>
      </c>
      <c r="G11" s="475"/>
      <c r="H11" s="475"/>
      <c r="I11" s="475"/>
      <c r="J11" s="475"/>
      <c r="K11" s="475"/>
      <c r="L11" s="389"/>
    </row>
    <row r="12" spans="1:12" ht="11.25" customHeight="1">
      <c r="A12" s="442" t="s">
        <v>131</v>
      </c>
      <c r="B12" s="487" t="s">
        <v>451</v>
      </c>
      <c r="C12" s="488"/>
      <c r="D12" s="488">
        <v>11.765000000000001</v>
      </c>
      <c r="E12" s="488"/>
      <c r="F12" s="489">
        <f t="shared" si="0"/>
        <v>-1</v>
      </c>
      <c r="G12" s="475"/>
      <c r="H12" s="475"/>
      <c r="I12" s="475"/>
      <c r="J12" s="475"/>
      <c r="K12" s="475"/>
      <c r="L12" s="389"/>
    </row>
    <row r="13" spans="1:12" ht="11.25" customHeight="1">
      <c r="A13" s="448" t="s">
        <v>452</v>
      </c>
      <c r="B13" s="449"/>
      <c r="C13" s="486"/>
      <c r="D13" s="486">
        <v>11.765000000000001</v>
      </c>
      <c r="E13" s="486"/>
      <c r="F13" s="490">
        <f t="shared" si="0"/>
        <v>-1</v>
      </c>
      <c r="G13" s="475"/>
      <c r="H13" s="475"/>
      <c r="I13" s="475"/>
      <c r="J13" s="475"/>
      <c r="K13" s="475"/>
      <c r="L13" s="479"/>
    </row>
    <row r="14" spans="1:12" ht="11.25" customHeight="1">
      <c r="A14" s="442" t="s">
        <v>100</v>
      </c>
      <c r="B14" s="487" t="s">
        <v>330</v>
      </c>
      <c r="C14" s="488">
        <v>206.37013000000002</v>
      </c>
      <c r="D14" s="488">
        <v>216.07526999999999</v>
      </c>
      <c r="E14" s="488">
        <v>211.36326</v>
      </c>
      <c r="F14" s="489">
        <f t="shared" si="0"/>
        <v>-4.4915551881527072E-2</v>
      </c>
      <c r="G14" s="475"/>
      <c r="H14" s="475"/>
      <c r="I14" s="475"/>
      <c r="J14" s="475"/>
      <c r="K14" s="475"/>
      <c r="L14" s="389"/>
    </row>
    <row r="15" spans="1:12" ht="11.25" customHeight="1">
      <c r="A15" s="448" t="s">
        <v>331</v>
      </c>
      <c r="B15" s="449"/>
      <c r="C15" s="486">
        <v>206.37013000000002</v>
      </c>
      <c r="D15" s="486">
        <v>216.07526999999999</v>
      </c>
      <c r="E15" s="486">
        <v>211.36326</v>
      </c>
      <c r="F15" s="490">
        <f t="shared" si="0"/>
        <v>-4.4915551881527072E-2</v>
      </c>
      <c r="G15" s="475"/>
      <c r="H15" s="475"/>
      <c r="I15" s="475"/>
      <c r="J15" s="475"/>
      <c r="K15" s="475"/>
      <c r="L15" s="389"/>
    </row>
    <row r="16" spans="1:12" ht="11.25" customHeight="1">
      <c r="A16" s="442" t="s">
        <v>132</v>
      </c>
      <c r="B16" s="487" t="s">
        <v>401</v>
      </c>
      <c r="C16" s="488"/>
      <c r="D16" s="488">
        <v>268.36696999999998</v>
      </c>
      <c r="E16" s="488"/>
      <c r="F16" s="489">
        <f t="shared" si="0"/>
        <v>-1</v>
      </c>
      <c r="G16" s="475"/>
      <c r="H16" s="475"/>
      <c r="I16" s="475"/>
      <c r="J16" s="475"/>
      <c r="K16" s="475"/>
      <c r="L16" s="389"/>
    </row>
    <row r="17" spans="1:12" ht="11.25" customHeight="1">
      <c r="A17" s="448" t="s">
        <v>453</v>
      </c>
      <c r="B17" s="449"/>
      <c r="C17" s="486"/>
      <c r="D17" s="486">
        <v>268.36696999999998</v>
      </c>
      <c r="E17" s="486"/>
      <c r="F17" s="490">
        <f t="shared" si="0"/>
        <v>-1</v>
      </c>
      <c r="G17" s="475"/>
      <c r="H17" s="475"/>
      <c r="I17" s="475"/>
      <c r="J17" s="475"/>
      <c r="K17" s="475"/>
      <c r="L17" s="389"/>
    </row>
    <row r="18" spans="1:12" ht="11.25" customHeight="1">
      <c r="A18" s="442" t="s">
        <v>272</v>
      </c>
      <c r="B18" s="487" t="s">
        <v>332</v>
      </c>
      <c r="C18" s="488">
        <v>0</v>
      </c>
      <c r="D18" s="488">
        <v>0</v>
      </c>
      <c r="E18" s="488">
        <v>0</v>
      </c>
      <c r="F18" s="489" t="str">
        <f t="shared" si="0"/>
        <v/>
      </c>
      <c r="G18" s="475"/>
      <c r="H18" s="475"/>
      <c r="I18" s="475"/>
      <c r="J18" s="475"/>
      <c r="K18" s="475"/>
      <c r="L18" s="389"/>
    </row>
    <row r="19" spans="1:12" ht="11.25" customHeight="1">
      <c r="A19" s="448" t="s">
        <v>333</v>
      </c>
      <c r="B19" s="449"/>
      <c r="C19" s="486">
        <v>0</v>
      </c>
      <c r="D19" s="486">
        <v>0</v>
      </c>
      <c r="E19" s="486">
        <v>0</v>
      </c>
      <c r="F19" s="490" t="str">
        <f t="shared" si="0"/>
        <v/>
      </c>
      <c r="G19" s="475"/>
      <c r="H19" s="475"/>
      <c r="I19" s="475"/>
      <c r="J19" s="475"/>
      <c r="K19" s="475"/>
      <c r="L19" s="389"/>
    </row>
    <row r="20" spans="1:12" ht="11.25" customHeight="1">
      <c r="A20" s="446" t="s">
        <v>99</v>
      </c>
      <c r="B20" s="487" t="s">
        <v>334</v>
      </c>
      <c r="C20" s="488">
        <v>152.99617000000001</v>
      </c>
      <c r="D20" s="488">
        <v>154.77404999999999</v>
      </c>
      <c r="E20" s="488">
        <v>150.04429999999999</v>
      </c>
      <c r="F20" s="489">
        <f t="shared" si="0"/>
        <v>-1.148693854040761E-2</v>
      </c>
      <c r="G20" s="475"/>
      <c r="H20" s="475"/>
      <c r="I20" s="475"/>
      <c r="J20" s="475"/>
      <c r="K20" s="475"/>
      <c r="L20" s="389"/>
    </row>
    <row r="21" spans="1:12" ht="11.25" customHeight="1">
      <c r="A21" s="442"/>
      <c r="B21" s="487" t="s">
        <v>335</v>
      </c>
      <c r="C21" s="488">
        <v>40.268979999999999</v>
      </c>
      <c r="D21" s="488">
        <v>32.530940000000001</v>
      </c>
      <c r="E21" s="488">
        <v>42.428910000000002</v>
      </c>
      <c r="F21" s="489">
        <f t="shared" si="0"/>
        <v>0.23786708899281717</v>
      </c>
      <c r="G21" s="475"/>
      <c r="H21" s="475"/>
      <c r="I21" s="475"/>
      <c r="J21" s="475"/>
      <c r="K21" s="475"/>
      <c r="L21" s="480"/>
    </row>
    <row r="22" spans="1:12" ht="11.25" customHeight="1">
      <c r="A22" s="448" t="s">
        <v>336</v>
      </c>
      <c r="B22" s="449"/>
      <c r="C22" s="486">
        <v>193.26515000000001</v>
      </c>
      <c r="D22" s="486">
        <v>187.30498999999998</v>
      </c>
      <c r="E22" s="486">
        <v>192.47320999999999</v>
      </c>
      <c r="F22" s="490">
        <f t="shared" si="0"/>
        <v>3.1820615136841868E-2</v>
      </c>
      <c r="G22" s="475"/>
      <c r="H22" s="475"/>
      <c r="I22" s="475"/>
      <c r="J22" s="475"/>
      <c r="K22" s="475"/>
      <c r="L22" s="389"/>
    </row>
    <row r="23" spans="1:12" ht="11.25" customHeight="1">
      <c r="A23" s="442" t="s">
        <v>763</v>
      </c>
      <c r="B23" s="487" t="s">
        <v>91</v>
      </c>
      <c r="C23" s="488"/>
      <c r="D23" s="488">
        <v>1.4998100000000001</v>
      </c>
      <c r="E23" s="488"/>
      <c r="F23" s="489">
        <f t="shared" si="0"/>
        <v>-1</v>
      </c>
      <c r="G23" s="475"/>
      <c r="H23" s="475"/>
      <c r="I23" s="475"/>
      <c r="J23" s="475"/>
      <c r="K23" s="475"/>
      <c r="L23" s="389"/>
    </row>
    <row r="24" spans="1:12" ht="11.25" customHeight="1">
      <c r="A24" s="448" t="s">
        <v>454</v>
      </c>
      <c r="B24" s="449"/>
      <c r="C24" s="486"/>
      <c r="D24" s="486">
        <v>1.4998100000000001</v>
      </c>
      <c r="E24" s="486"/>
      <c r="F24" s="490">
        <f t="shared" si="0"/>
        <v>-1</v>
      </c>
      <c r="G24" s="475"/>
      <c r="H24" s="475"/>
      <c r="I24" s="475"/>
      <c r="J24" s="475"/>
      <c r="K24" s="475"/>
      <c r="L24" s="389"/>
    </row>
    <row r="25" spans="1:12" ht="11.25" customHeight="1">
      <c r="A25" s="446" t="s">
        <v>97</v>
      </c>
      <c r="B25" s="487" t="s">
        <v>337</v>
      </c>
      <c r="C25" s="488">
        <v>1.6901700000000002</v>
      </c>
      <c r="D25" s="488">
        <v>1.6757599999999999</v>
      </c>
      <c r="E25" s="488">
        <v>1.6834100000000001</v>
      </c>
      <c r="F25" s="489">
        <f t="shared" si="0"/>
        <v>8.5990834009646022E-3</v>
      </c>
      <c r="G25" s="475"/>
      <c r="H25" s="475"/>
      <c r="I25" s="475"/>
      <c r="J25" s="475"/>
      <c r="K25" s="475"/>
      <c r="L25" s="480"/>
    </row>
    <row r="26" spans="1:12" ht="11.25" customHeight="1">
      <c r="A26" s="446"/>
      <c r="B26" s="487" t="s">
        <v>338</v>
      </c>
      <c r="C26" s="488">
        <v>0.57289000000000001</v>
      </c>
      <c r="D26" s="488">
        <v>0.56684000000000001</v>
      </c>
      <c r="E26" s="488">
        <v>0.57247000000000003</v>
      </c>
      <c r="F26" s="489">
        <f t="shared" si="0"/>
        <v>1.0673205842918643E-2</v>
      </c>
      <c r="G26" s="475"/>
      <c r="H26" s="475"/>
      <c r="I26" s="475"/>
      <c r="J26" s="475"/>
      <c r="K26" s="475"/>
      <c r="L26" s="389"/>
    </row>
    <row r="27" spans="1:12" ht="11.25" customHeight="1">
      <c r="A27" s="446"/>
      <c r="B27" s="487" t="s">
        <v>339</v>
      </c>
      <c r="C27" s="488">
        <v>4.5432500000000005</v>
      </c>
      <c r="D27" s="488">
        <v>4.5211699999999997</v>
      </c>
      <c r="E27" s="488">
        <v>4.5586400000000005</v>
      </c>
      <c r="F27" s="489">
        <f t="shared" si="0"/>
        <v>4.883691610799934E-3</v>
      </c>
      <c r="G27" s="475"/>
      <c r="H27" s="475"/>
      <c r="I27" s="475"/>
      <c r="J27" s="475"/>
      <c r="K27" s="475"/>
      <c r="L27" s="389"/>
    </row>
    <row r="28" spans="1:12" ht="11.25" customHeight="1">
      <c r="A28" s="446"/>
      <c r="B28" s="487" t="s">
        <v>340</v>
      </c>
      <c r="C28" s="488">
        <v>14.872109999999999</v>
      </c>
      <c r="D28" s="488">
        <v>14.30697</v>
      </c>
      <c r="E28" s="488">
        <v>14.91696</v>
      </c>
      <c r="F28" s="489">
        <f t="shared" si="0"/>
        <v>3.9501026422785523E-2</v>
      </c>
      <c r="G28" s="475"/>
      <c r="H28" s="475"/>
      <c r="I28" s="475"/>
      <c r="J28" s="475"/>
      <c r="K28" s="475"/>
      <c r="L28" s="389"/>
    </row>
    <row r="29" spans="1:12" ht="11.25" customHeight="1">
      <c r="A29" s="446"/>
      <c r="B29" s="487" t="s">
        <v>341</v>
      </c>
      <c r="C29" s="488">
        <v>138.43245999999999</v>
      </c>
      <c r="D29" s="488">
        <v>90.516369999999995</v>
      </c>
      <c r="E29" s="488">
        <v>100.06004999999999</v>
      </c>
      <c r="F29" s="489">
        <f t="shared" si="0"/>
        <v>0.52936380458032062</v>
      </c>
      <c r="G29" s="475"/>
      <c r="H29" s="475"/>
      <c r="I29" s="475"/>
      <c r="J29" s="475"/>
      <c r="K29" s="475"/>
      <c r="L29" s="389"/>
    </row>
    <row r="30" spans="1:12" ht="11.25" customHeight="1">
      <c r="A30" s="446"/>
      <c r="B30" s="487" t="s">
        <v>342</v>
      </c>
      <c r="C30" s="488">
        <v>8.6951999999999998</v>
      </c>
      <c r="D30" s="488">
        <v>8.4789100000000008</v>
      </c>
      <c r="E30" s="488">
        <v>8.8026300000000006</v>
      </c>
      <c r="F30" s="489">
        <f t="shared" si="0"/>
        <v>2.5509175118028082E-2</v>
      </c>
      <c r="G30" s="475"/>
      <c r="H30" s="475"/>
      <c r="I30" s="475"/>
      <c r="J30" s="475"/>
      <c r="K30" s="475"/>
      <c r="L30" s="389"/>
    </row>
    <row r="31" spans="1:12" ht="11.25" customHeight="1">
      <c r="A31" s="446"/>
      <c r="B31" s="487" t="s">
        <v>343</v>
      </c>
      <c r="C31" s="488">
        <v>0</v>
      </c>
      <c r="D31" s="488">
        <v>9.8277800000000006</v>
      </c>
      <c r="E31" s="488">
        <v>0</v>
      </c>
      <c r="F31" s="489">
        <f t="shared" si="0"/>
        <v>-1</v>
      </c>
      <c r="G31" s="475"/>
      <c r="H31" s="475"/>
      <c r="I31" s="475"/>
      <c r="J31" s="475"/>
      <c r="K31" s="481"/>
      <c r="L31" s="389"/>
    </row>
    <row r="32" spans="1:12" ht="11.25" customHeight="1">
      <c r="A32" s="446"/>
      <c r="B32" s="487" t="s">
        <v>344</v>
      </c>
      <c r="C32" s="488">
        <v>0</v>
      </c>
      <c r="D32" s="488">
        <v>16.02787</v>
      </c>
      <c r="E32" s="488">
        <v>0</v>
      </c>
      <c r="F32" s="489">
        <f t="shared" si="0"/>
        <v>-1</v>
      </c>
      <c r="G32" s="475"/>
      <c r="H32" s="475"/>
      <c r="I32" s="475"/>
      <c r="J32" s="475"/>
      <c r="K32" s="481"/>
      <c r="L32" s="389"/>
    </row>
    <row r="33" spans="1:12" ht="11.25" customHeight="1">
      <c r="A33" s="442"/>
      <c r="B33" s="487" t="s">
        <v>345</v>
      </c>
      <c r="C33" s="488">
        <v>34.089419999999997</v>
      </c>
      <c r="D33" s="488">
        <v>72.008260000000007</v>
      </c>
      <c r="E33" s="488">
        <v>13.699870000000001</v>
      </c>
      <c r="F33" s="489">
        <f t="shared" si="0"/>
        <v>-0.52659014396403969</v>
      </c>
      <c r="G33" s="475"/>
      <c r="H33" s="475"/>
      <c r="I33" s="475"/>
      <c r="J33" s="475"/>
      <c r="K33" s="481"/>
      <c r="L33" s="389"/>
    </row>
    <row r="34" spans="1:12" ht="11.25" customHeight="1">
      <c r="A34" s="448" t="s">
        <v>346</v>
      </c>
      <c r="B34" s="449"/>
      <c r="C34" s="486">
        <v>202.89549999999997</v>
      </c>
      <c r="D34" s="486">
        <v>217.92993000000001</v>
      </c>
      <c r="E34" s="486">
        <v>144.29402999999999</v>
      </c>
      <c r="F34" s="490">
        <f t="shared" si="0"/>
        <v>-6.8987449314557359E-2</v>
      </c>
      <c r="G34" s="475"/>
      <c r="H34" s="475"/>
      <c r="I34" s="475"/>
      <c r="J34" s="475"/>
      <c r="K34" s="481"/>
      <c r="L34" s="389"/>
    </row>
    <row r="35" spans="1:12" ht="11.25" customHeight="1">
      <c r="A35" s="442" t="s">
        <v>120</v>
      </c>
      <c r="B35" s="487" t="s">
        <v>74</v>
      </c>
      <c r="C35" s="488">
        <v>4.45</v>
      </c>
      <c r="D35" s="488">
        <v>0</v>
      </c>
      <c r="E35" s="488">
        <v>4.55</v>
      </c>
      <c r="F35" s="489" t="str">
        <f t="shared" si="0"/>
        <v/>
      </c>
      <c r="G35" s="475"/>
      <c r="H35" s="475"/>
      <c r="I35" s="475"/>
      <c r="J35" s="475"/>
      <c r="K35" s="481"/>
      <c r="L35" s="389"/>
    </row>
    <row r="36" spans="1:12" ht="11.25" customHeight="1">
      <c r="A36" s="448" t="s">
        <v>347</v>
      </c>
      <c r="B36" s="449"/>
      <c r="C36" s="486">
        <v>4.45</v>
      </c>
      <c r="D36" s="486">
        <v>0</v>
      </c>
      <c r="E36" s="486">
        <v>4.55</v>
      </c>
      <c r="F36" s="490" t="str">
        <f t="shared" si="0"/>
        <v/>
      </c>
      <c r="G36" s="475"/>
      <c r="H36" s="475"/>
      <c r="I36" s="475"/>
      <c r="J36" s="475"/>
      <c r="K36" s="481"/>
      <c r="L36" s="389"/>
    </row>
    <row r="37" spans="1:12" ht="11.25" customHeight="1">
      <c r="A37" s="442" t="s">
        <v>98</v>
      </c>
      <c r="B37" s="487" t="s">
        <v>348</v>
      </c>
      <c r="C37" s="488">
        <v>162.96295000000001</v>
      </c>
      <c r="D37" s="488">
        <v>166.33135999999999</v>
      </c>
      <c r="E37" s="488">
        <v>163.94774999999998</v>
      </c>
      <c r="F37" s="489">
        <f t="shared" si="0"/>
        <v>-2.0251202178590888E-2</v>
      </c>
      <c r="G37" s="475"/>
      <c r="H37" s="475"/>
      <c r="I37" s="475"/>
      <c r="J37" s="475"/>
      <c r="K37" s="481"/>
      <c r="L37" s="389"/>
    </row>
    <row r="38" spans="1:12" ht="11.25" customHeight="1">
      <c r="A38" s="448" t="s">
        <v>349</v>
      </c>
      <c r="B38" s="449"/>
      <c r="C38" s="486">
        <v>162.96295000000001</v>
      </c>
      <c r="D38" s="486">
        <v>166.33135999999999</v>
      </c>
      <c r="E38" s="486">
        <v>163.94774999999998</v>
      </c>
      <c r="F38" s="490">
        <f t="shared" si="0"/>
        <v>-2.0251202178590888E-2</v>
      </c>
      <c r="G38" s="475"/>
      <c r="H38" s="475"/>
      <c r="I38" s="475"/>
      <c r="J38" s="475"/>
      <c r="K38" s="481"/>
      <c r="L38" s="482"/>
    </row>
    <row r="39" spans="1:12" ht="11.25" customHeight="1">
      <c r="A39" s="446" t="s">
        <v>107</v>
      </c>
      <c r="B39" s="487" t="s">
        <v>350</v>
      </c>
      <c r="C39" s="488">
        <v>16.380000000000003</v>
      </c>
      <c r="D39" s="488">
        <v>16.968</v>
      </c>
      <c r="E39" s="488">
        <v>15.852</v>
      </c>
      <c r="F39" s="489">
        <f t="shared" si="0"/>
        <v>-3.4653465346534462E-2</v>
      </c>
      <c r="G39" s="475"/>
      <c r="H39" s="475"/>
      <c r="I39" s="475"/>
      <c r="J39" s="475"/>
      <c r="K39" s="481"/>
      <c r="L39" s="389"/>
    </row>
    <row r="40" spans="1:12" ht="11.25" customHeight="1">
      <c r="A40" s="446"/>
      <c r="B40" s="487" t="s">
        <v>351</v>
      </c>
      <c r="C40" s="488">
        <v>9.93</v>
      </c>
      <c r="D40" s="488">
        <v>10.391999999999999</v>
      </c>
      <c r="E40" s="488">
        <v>9.5280000000000005</v>
      </c>
      <c r="F40" s="489">
        <f t="shared" si="0"/>
        <v>-4.445727482678985E-2</v>
      </c>
      <c r="G40" s="475"/>
      <c r="H40" s="475"/>
      <c r="I40" s="475"/>
      <c r="J40" s="475"/>
      <c r="K40" s="481"/>
      <c r="L40" s="389"/>
    </row>
    <row r="41" spans="1:12" ht="11.25" customHeight="1">
      <c r="A41" s="442"/>
      <c r="B41" s="487" t="s">
        <v>352</v>
      </c>
      <c r="C41" s="488">
        <v>21.162269999999999</v>
      </c>
      <c r="D41" s="488">
        <v>16.059270000000001</v>
      </c>
      <c r="E41" s="488">
        <v>21.15654</v>
      </c>
      <c r="F41" s="489">
        <f t="shared" si="0"/>
        <v>0.31776039633183806</v>
      </c>
      <c r="G41" s="475"/>
      <c r="H41" s="475"/>
      <c r="I41" s="475"/>
      <c r="J41" s="475"/>
      <c r="K41" s="481"/>
      <c r="L41" s="389"/>
    </row>
    <row r="42" spans="1:12" ht="11.25" customHeight="1">
      <c r="A42" s="448" t="s">
        <v>353</v>
      </c>
      <c r="B42" s="449"/>
      <c r="C42" s="486">
        <v>47.472270000000002</v>
      </c>
      <c r="D42" s="486">
        <v>43.419269999999997</v>
      </c>
      <c r="E42" s="486">
        <v>46.536540000000002</v>
      </c>
      <c r="F42" s="490">
        <f t="shared" si="0"/>
        <v>9.3345650445067374E-2</v>
      </c>
      <c r="G42" s="475"/>
      <c r="H42" s="475"/>
      <c r="I42" s="475"/>
      <c r="J42" s="475"/>
      <c r="K42" s="481"/>
      <c r="L42" s="389"/>
    </row>
    <row r="43" spans="1:12" ht="11.25" customHeight="1">
      <c r="A43" s="442" t="s">
        <v>126</v>
      </c>
      <c r="B43" s="487" t="s">
        <v>79</v>
      </c>
      <c r="C43" s="488">
        <v>0.2039</v>
      </c>
      <c r="D43" s="488">
        <v>0.73899999999999999</v>
      </c>
      <c r="E43" s="488">
        <v>0</v>
      </c>
      <c r="F43" s="489">
        <f t="shared" si="0"/>
        <v>-0.72408660351826792</v>
      </c>
      <c r="G43" s="475"/>
      <c r="H43" s="475"/>
      <c r="I43" s="475"/>
      <c r="J43" s="475"/>
      <c r="K43" s="481"/>
      <c r="L43" s="389"/>
    </row>
    <row r="44" spans="1:12" ht="11.25" customHeight="1">
      <c r="A44" s="448" t="s">
        <v>354</v>
      </c>
      <c r="B44" s="449"/>
      <c r="C44" s="486">
        <v>0.2039</v>
      </c>
      <c r="D44" s="486">
        <v>0.73899999999999999</v>
      </c>
      <c r="E44" s="486">
        <v>0</v>
      </c>
      <c r="F44" s="490">
        <f t="shared" si="0"/>
        <v>-0.72408660351826792</v>
      </c>
      <c r="G44" s="475"/>
      <c r="H44" s="475"/>
      <c r="I44" s="475"/>
      <c r="J44" s="475"/>
      <c r="K44" s="481"/>
      <c r="L44" s="389"/>
    </row>
    <row r="45" spans="1:12" ht="11.25" customHeight="1">
      <c r="A45" s="442" t="s">
        <v>121</v>
      </c>
      <c r="B45" s="487" t="s">
        <v>77</v>
      </c>
      <c r="C45" s="488">
        <v>3.5541299999999998</v>
      </c>
      <c r="D45" s="488">
        <v>3.7515499999999999</v>
      </c>
      <c r="E45" s="488">
        <v>3.6137600000000001</v>
      </c>
      <c r="F45" s="489">
        <f t="shared" si="0"/>
        <v>-5.2623582252668943E-2</v>
      </c>
      <c r="G45" s="475"/>
      <c r="H45" s="475"/>
      <c r="I45" s="475"/>
      <c r="J45" s="475"/>
      <c r="K45" s="481"/>
      <c r="L45" s="483"/>
    </row>
    <row r="46" spans="1:12" ht="11.25" customHeight="1">
      <c r="A46" s="448" t="s">
        <v>355</v>
      </c>
      <c r="B46" s="449"/>
      <c r="C46" s="486">
        <v>3.5541299999999998</v>
      </c>
      <c r="D46" s="486">
        <v>3.7515499999999999</v>
      </c>
      <c r="E46" s="486">
        <v>3.6137600000000001</v>
      </c>
      <c r="F46" s="490">
        <f t="shared" si="0"/>
        <v>-5.2623582252668943E-2</v>
      </c>
      <c r="G46" s="475"/>
      <c r="H46" s="475"/>
      <c r="I46" s="475"/>
      <c r="J46" s="475"/>
      <c r="K46" s="481"/>
    </row>
    <row r="47" spans="1:12" ht="11.25" customHeight="1">
      <c r="A47" s="446" t="s">
        <v>95</v>
      </c>
      <c r="B47" s="487" t="s">
        <v>356</v>
      </c>
      <c r="C47" s="488">
        <v>638.44319999999993</v>
      </c>
      <c r="D47" s="488">
        <v>611.94720000000007</v>
      </c>
      <c r="E47" s="488">
        <v>638.88479999999993</v>
      </c>
      <c r="F47" s="489">
        <f t="shared" si="0"/>
        <v>4.3297853148114518E-2</v>
      </c>
      <c r="G47" s="475"/>
      <c r="H47" s="475"/>
      <c r="I47" s="475"/>
      <c r="J47" s="475"/>
      <c r="K47" s="481"/>
    </row>
    <row r="48" spans="1:12" ht="11.25" customHeight="1">
      <c r="A48" s="446"/>
      <c r="B48" s="487" t="s">
        <v>357</v>
      </c>
      <c r="C48" s="488">
        <v>204.81407999999999</v>
      </c>
      <c r="D48" s="488">
        <v>198.27839999999998</v>
      </c>
      <c r="E48" s="488">
        <v>209.58335999999997</v>
      </c>
      <c r="F48" s="489">
        <f t="shared" si="0"/>
        <v>3.2962138084632553E-2</v>
      </c>
      <c r="G48" s="475"/>
      <c r="H48" s="475"/>
      <c r="I48" s="475"/>
      <c r="J48" s="475"/>
      <c r="K48" s="481"/>
    </row>
    <row r="49" spans="1:11" ht="11.25" customHeight="1">
      <c r="A49" s="442"/>
      <c r="B49" s="487" t="s">
        <v>358</v>
      </c>
      <c r="C49" s="488">
        <v>0</v>
      </c>
      <c r="D49" s="488">
        <v>0</v>
      </c>
      <c r="E49" s="488">
        <v>0</v>
      </c>
      <c r="F49" s="489" t="str">
        <f t="shared" si="0"/>
        <v/>
      </c>
      <c r="G49" s="475"/>
      <c r="H49" s="475"/>
      <c r="I49" s="475"/>
      <c r="J49" s="475"/>
      <c r="K49" s="481"/>
    </row>
    <row r="50" spans="1:11" ht="11.25" customHeight="1">
      <c r="A50" s="448" t="s">
        <v>359</v>
      </c>
      <c r="B50" s="449"/>
      <c r="C50" s="486">
        <v>843.25727999999992</v>
      </c>
      <c r="D50" s="486">
        <v>810.22559999999999</v>
      </c>
      <c r="E50" s="486">
        <v>848.4681599999999</v>
      </c>
      <c r="F50" s="490">
        <f t="shared" si="0"/>
        <v>4.0768497070445386E-2</v>
      </c>
      <c r="G50" s="475"/>
      <c r="H50" s="475"/>
      <c r="I50" s="475"/>
      <c r="J50" s="475"/>
      <c r="K50" s="481"/>
    </row>
    <row r="51" spans="1:11" ht="11.25" customHeight="1">
      <c r="A51" s="446" t="s">
        <v>273</v>
      </c>
      <c r="B51" s="487" t="s">
        <v>360</v>
      </c>
      <c r="C51" s="488">
        <v>459.10456999999997</v>
      </c>
      <c r="D51" s="488">
        <v>448.60810000000004</v>
      </c>
      <c r="E51" s="488">
        <v>456.18412000000001</v>
      </c>
      <c r="F51" s="489">
        <f t="shared" si="0"/>
        <v>2.3397861072949722E-2</v>
      </c>
      <c r="G51" s="475"/>
      <c r="H51" s="475"/>
      <c r="I51" s="475"/>
      <c r="J51" s="475"/>
      <c r="K51" s="481"/>
    </row>
    <row r="52" spans="1:11" ht="11.25" customHeight="1">
      <c r="A52" s="442"/>
      <c r="B52" s="487" t="s">
        <v>361</v>
      </c>
      <c r="C52" s="488">
        <v>6.4372800000000003</v>
      </c>
      <c r="D52" s="488">
        <v>0</v>
      </c>
      <c r="E52" s="488">
        <v>6.32768</v>
      </c>
      <c r="F52" s="489" t="str">
        <f t="shared" si="0"/>
        <v/>
      </c>
      <c r="G52" s="475"/>
      <c r="H52" s="475"/>
      <c r="I52" s="475"/>
      <c r="J52" s="475"/>
      <c r="K52" s="481"/>
    </row>
    <row r="53" spans="1:11" ht="11.25" customHeight="1">
      <c r="A53" s="448" t="s">
        <v>362</v>
      </c>
      <c r="B53" s="449"/>
      <c r="C53" s="486">
        <v>465.54184999999995</v>
      </c>
      <c r="D53" s="486">
        <v>448.60810000000004</v>
      </c>
      <c r="E53" s="486">
        <v>462.51179999999999</v>
      </c>
      <c r="F53" s="490">
        <f t="shared" si="0"/>
        <v>3.7747312186293458E-2</v>
      </c>
      <c r="G53" s="475"/>
      <c r="H53" s="475"/>
      <c r="I53" s="475"/>
      <c r="J53" s="475"/>
      <c r="K53" s="481"/>
    </row>
    <row r="54" spans="1:11" ht="11.25" customHeight="1">
      <c r="A54" s="442" t="s">
        <v>274</v>
      </c>
      <c r="B54" s="487" t="s">
        <v>363</v>
      </c>
      <c r="C54" s="488">
        <v>88.467460000000003</v>
      </c>
      <c r="D54" s="488">
        <v>75.962189999999993</v>
      </c>
      <c r="E54" s="488">
        <v>71.243490000000008</v>
      </c>
      <c r="F54" s="489">
        <f t="shared" si="0"/>
        <v>0.16462492721708011</v>
      </c>
      <c r="G54" s="475"/>
      <c r="H54" s="475"/>
      <c r="I54" s="475"/>
      <c r="J54" s="475"/>
      <c r="K54" s="481"/>
    </row>
    <row r="55" spans="1:11" ht="11.25" customHeight="1">
      <c r="A55" s="448" t="s">
        <v>364</v>
      </c>
      <c r="B55" s="449"/>
      <c r="C55" s="486">
        <v>88.467460000000003</v>
      </c>
      <c r="D55" s="486">
        <v>75.962189999999993</v>
      </c>
      <c r="E55" s="486">
        <v>71.243490000000008</v>
      </c>
      <c r="F55" s="490">
        <f t="shared" si="0"/>
        <v>0.16462492721708011</v>
      </c>
      <c r="G55" s="484"/>
      <c r="H55" s="484"/>
      <c r="I55" s="484"/>
      <c r="J55" s="484"/>
      <c r="K55" s="481"/>
    </row>
    <row r="56" spans="1:11" ht="11.25" customHeight="1">
      <c r="A56" s="446" t="s">
        <v>275</v>
      </c>
      <c r="B56" s="487" t="s">
        <v>64</v>
      </c>
      <c r="C56" s="488">
        <v>12.25376</v>
      </c>
      <c r="D56" s="488">
        <v>17.193280000000001</v>
      </c>
      <c r="E56" s="488">
        <v>17.115880000000001</v>
      </c>
      <c r="F56" s="489">
        <f t="shared" si="0"/>
        <v>-0.28729364030598004</v>
      </c>
      <c r="G56" s="484"/>
      <c r="H56" s="484"/>
      <c r="I56" s="484"/>
      <c r="J56" s="484"/>
      <c r="K56" s="481"/>
    </row>
    <row r="57" spans="1:11" ht="11.25" customHeight="1">
      <c r="A57" s="442"/>
      <c r="B57" s="487" t="s">
        <v>61</v>
      </c>
      <c r="C57" s="488">
        <v>18.761040000000001</v>
      </c>
      <c r="D57" s="488">
        <v>20.100519999999999</v>
      </c>
      <c r="E57" s="488">
        <v>20.103280000000002</v>
      </c>
      <c r="F57" s="489">
        <f t="shared" si="0"/>
        <v>-6.6639072024007207E-2</v>
      </c>
      <c r="G57" s="484"/>
      <c r="H57" s="484"/>
      <c r="I57" s="484"/>
      <c r="J57" s="484"/>
      <c r="K57" s="481"/>
    </row>
    <row r="58" spans="1:11" ht="11.25" customHeight="1">
      <c r="A58" s="448" t="s">
        <v>365</v>
      </c>
      <c r="B58" s="449"/>
      <c r="C58" s="486">
        <v>31.014800000000001</v>
      </c>
      <c r="D58" s="486">
        <v>37.293800000000005</v>
      </c>
      <c r="E58" s="486">
        <v>37.219160000000002</v>
      </c>
      <c r="F58" s="490">
        <f t="shared" si="0"/>
        <v>-0.16836578734266827</v>
      </c>
      <c r="G58" s="484"/>
      <c r="H58" s="484"/>
      <c r="I58" s="484"/>
      <c r="J58" s="484"/>
      <c r="K58" s="481"/>
    </row>
    <row r="59" spans="1:11" ht="11.25" customHeight="1">
      <c r="A59" s="446" t="s">
        <v>94</v>
      </c>
      <c r="B59" s="487" t="s">
        <v>455</v>
      </c>
      <c r="C59" s="488"/>
      <c r="D59" s="488">
        <v>0</v>
      </c>
      <c r="E59" s="488"/>
      <c r="F59" s="489" t="str">
        <f t="shared" si="0"/>
        <v/>
      </c>
      <c r="G59" s="484"/>
      <c r="H59" s="484"/>
      <c r="I59" s="484"/>
      <c r="J59" s="484"/>
      <c r="K59" s="481"/>
    </row>
    <row r="60" spans="1:11" ht="11.25" customHeight="1">
      <c r="A60" s="446"/>
      <c r="B60" s="487" t="s">
        <v>366</v>
      </c>
      <c r="C60" s="488">
        <v>15.318519999999999</v>
      </c>
      <c r="D60" s="488">
        <v>30.66535</v>
      </c>
      <c r="E60" s="488">
        <v>30.46866</v>
      </c>
      <c r="F60" s="489">
        <f t="shared" si="0"/>
        <v>-0.50046159590547634</v>
      </c>
      <c r="G60" s="475"/>
      <c r="H60" s="475"/>
      <c r="I60" s="475"/>
      <c r="J60" s="475"/>
      <c r="K60" s="481"/>
    </row>
    <row r="61" spans="1:11" ht="11.25" customHeight="1">
      <c r="A61" s="446"/>
      <c r="B61" s="487" t="s">
        <v>367</v>
      </c>
      <c r="C61" s="488">
        <v>171.29234000000002</v>
      </c>
      <c r="D61" s="488">
        <v>261.92710999999997</v>
      </c>
      <c r="E61" s="488">
        <v>197.28959999999998</v>
      </c>
      <c r="F61" s="489">
        <f t="shared" si="0"/>
        <v>-0.34603050444072003</v>
      </c>
      <c r="G61" s="475"/>
      <c r="H61" s="475"/>
      <c r="I61" s="475"/>
      <c r="J61" s="475"/>
      <c r="K61" s="481"/>
    </row>
    <row r="62" spans="1:11" ht="11.25" customHeight="1">
      <c r="A62" s="446"/>
      <c r="B62" s="487" t="s">
        <v>368</v>
      </c>
      <c r="C62" s="488">
        <v>0</v>
      </c>
      <c r="D62" s="488">
        <v>136.01949999999999</v>
      </c>
      <c r="E62" s="488">
        <v>129.73957999999999</v>
      </c>
      <c r="F62" s="489">
        <f t="shared" si="0"/>
        <v>-1</v>
      </c>
      <c r="G62" s="475"/>
      <c r="H62" s="475"/>
      <c r="I62" s="475"/>
      <c r="J62" s="475"/>
      <c r="K62" s="481"/>
    </row>
    <row r="63" spans="1:11" ht="11.25" customHeight="1">
      <c r="A63" s="446"/>
      <c r="B63" s="487" t="s">
        <v>369</v>
      </c>
      <c r="C63" s="488">
        <v>66.240870000000001</v>
      </c>
      <c r="D63" s="488">
        <v>0</v>
      </c>
      <c r="E63" s="488">
        <v>65.240179999999995</v>
      </c>
      <c r="F63" s="489" t="str">
        <f t="shared" si="0"/>
        <v/>
      </c>
      <c r="G63" s="485"/>
      <c r="H63" s="475"/>
      <c r="I63" s="475"/>
      <c r="J63" s="475"/>
      <c r="K63" s="481"/>
    </row>
    <row r="64" spans="1:11" ht="11.25" customHeight="1">
      <c r="A64" s="446"/>
      <c r="B64" s="487" t="s">
        <v>370</v>
      </c>
      <c r="C64" s="488">
        <v>0</v>
      </c>
      <c r="D64" s="488">
        <v>0</v>
      </c>
      <c r="E64" s="488">
        <v>0</v>
      </c>
      <c r="F64" s="489" t="str">
        <f t="shared" si="0"/>
        <v/>
      </c>
      <c r="G64" s="485"/>
      <c r="H64" s="475"/>
      <c r="I64" s="475"/>
      <c r="J64" s="475"/>
      <c r="K64" s="475"/>
    </row>
    <row r="65" spans="1:11" ht="11.25" customHeight="1">
      <c r="A65" s="446"/>
      <c r="B65" s="487" t="s">
        <v>371</v>
      </c>
      <c r="C65" s="488">
        <v>174.70917</v>
      </c>
      <c r="D65" s="488">
        <v>0</v>
      </c>
      <c r="E65" s="488">
        <v>173.95402000000001</v>
      </c>
      <c r="F65" s="489" t="str">
        <f t="shared" si="0"/>
        <v/>
      </c>
      <c r="G65" s="485"/>
      <c r="H65" s="475"/>
      <c r="I65" s="475"/>
      <c r="J65" s="475"/>
      <c r="K65" s="475"/>
    </row>
    <row r="66" spans="1:11" ht="11.25" customHeight="1">
      <c r="A66" s="442"/>
      <c r="B66" s="487" t="s">
        <v>372</v>
      </c>
      <c r="C66" s="488">
        <v>218.70931999999999</v>
      </c>
      <c r="D66" s="488">
        <v>169.7191</v>
      </c>
      <c r="E66" s="488">
        <v>284.87977000000001</v>
      </c>
      <c r="F66" s="489">
        <f t="shared" si="0"/>
        <v>0.28865472418837945</v>
      </c>
    </row>
    <row r="67" spans="1:11" ht="11.25" customHeight="1">
      <c r="A67" s="448" t="s">
        <v>373</v>
      </c>
      <c r="B67" s="449"/>
      <c r="C67" s="486">
        <v>646.27022000000011</v>
      </c>
      <c r="D67" s="486">
        <v>598.33105999999998</v>
      </c>
      <c r="E67" s="486">
        <v>881.57181000000003</v>
      </c>
      <c r="F67" s="490">
        <f t="shared" si="0"/>
        <v>8.0121463191297648E-2</v>
      </c>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67"/>
  <sheetViews>
    <sheetView showGridLines="0" view="pageBreakPreview" topLeftCell="A31" zoomScale="145" zoomScaleNormal="100" zoomScaleSheetLayoutView="145" zoomScalePageLayoutView="160" workbookViewId="0">
      <selection activeCell="Q26" sqref="Q26"/>
    </sheetView>
  </sheetViews>
  <sheetFormatPr defaultRowHeight="9"/>
  <cols>
    <col min="1" max="1" width="28.6640625" style="469" customWidth="1"/>
    <col min="2" max="2" width="22.1640625" style="469" customWidth="1"/>
    <col min="3" max="4" width="17.6640625" style="469" customWidth="1"/>
    <col min="5" max="5" width="15.1640625" style="469" customWidth="1"/>
    <col min="6" max="6" width="13.33203125" style="469" customWidth="1"/>
    <col min="7" max="9" width="9.33203125" style="469"/>
    <col min="10" max="11" width="9.33203125" style="469" customWidth="1"/>
    <col min="12" max="13" width="9.33203125" style="469"/>
    <col min="14" max="16384" width="9.33203125" style="470"/>
  </cols>
  <sheetData>
    <row r="1" spans="1:12" ht="11.25" customHeight="1">
      <c r="A1" s="975" t="s">
        <v>291</v>
      </c>
      <c r="B1" s="978" t="s">
        <v>57</v>
      </c>
      <c r="C1" s="978" t="s">
        <v>463</v>
      </c>
      <c r="D1" s="978"/>
      <c r="E1" s="978"/>
      <c r="F1" s="981"/>
      <c r="G1" s="471"/>
      <c r="H1" s="471"/>
      <c r="I1" s="471"/>
      <c r="J1" s="471"/>
      <c r="K1" s="471"/>
    </row>
    <row r="2" spans="1:12" ht="11.25" customHeight="1">
      <c r="A2" s="976"/>
      <c r="B2" s="979"/>
      <c r="C2" s="493" t="str">
        <f>+'21. ANEXOII-1'!C3</f>
        <v>MAYO 2018</v>
      </c>
      <c r="D2" s="494" t="str">
        <f>+'21. ANEXOII-1'!D3</f>
        <v>MAYO 2017</v>
      </c>
      <c r="E2" s="495">
        <v>2018</v>
      </c>
      <c r="F2" s="472" t="s">
        <v>461</v>
      </c>
      <c r="G2" s="473"/>
      <c r="H2" s="473"/>
      <c r="I2" s="473"/>
      <c r="J2" s="473"/>
      <c r="K2" s="473"/>
      <c r="L2" s="474"/>
    </row>
    <row r="3" spans="1:12" ht="11.25" customHeight="1">
      <c r="A3" s="976"/>
      <c r="B3" s="979"/>
      <c r="C3" s="496">
        <f>+'8. Max Potencia'!D8</f>
        <v>43228.78125</v>
      </c>
      <c r="D3" s="496">
        <f>+'8. Max Potencia'!E8</f>
        <v>42864.791666666664</v>
      </c>
      <c r="E3" s="496">
        <f>+'8. Max Potencia'!G8</f>
        <v>43214.78125</v>
      </c>
      <c r="F3" s="497" t="s">
        <v>449</v>
      </c>
      <c r="G3" s="475"/>
      <c r="H3" s="475"/>
      <c r="I3" s="476"/>
      <c r="J3" s="476"/>
      <c r="K3" s="476"/>
      <c r="L3" s="474"/>
    </row>
    <row r="4" spans="1:12" ht="11.25" customHeight="1">
      <c r="A4" s="977"/>
      <c r="B4" s="980"/>
      <c r="C4" s="498">
        <f>+'8. Max Potencia'!D9</f>
        <v>43228.78125</v>
      </c>
      <c r="D4" s="498">
        <f>+'8. Max Potencia'!E9</f>
        <v>42864.791666666664</v>
      </c>
      <c r="E4" s="498">
        <f>+'8. Max Potencia'!G9</f>
        <v>43214.78125</v>
      </c>
      <c r="F4" s="499" t="s">
        <v>450</v>
      </c>
      <c r="G4" s="475"/>
      <c r="H4" s="475"/>
      <c r="I4" s="475"/>
      <c r="J4" s="475"/>
      <c r="K4" s="475"/>
      <c r="L4" s="477"/>
    </row>
    <row r="5" spans="1:12" ht="11.25" customHeight="1">
      <c r="A5" s="446" t="s">
        <v>102</v>
      </c>
      <c r="B5" s="487" t="s">
        <v>374</v>
      </c>
      <c r="C5" s="488">
        <v>49.256149999999998</v>
      </c>
      <c r="D5" s="488">
        <v>0</v>
      </c>
      <c r="E5" s="488">
        <v>48.357289999999999</v>
      </c>
      <c r="F5" s="489" t="str">
        <f>+IF(D5=0,"",C5/D5-1)</f>
        <v/>
      </c>
    </row>
    <row r="6" spans="1:12" ht="11.25" customHeight="1">
      <c r="A6" s="446"/>
      <c r="B6" s="487" t="s">
        <v>375</v>
      </c>
      <c r="C6" s="488">
        <v>0</v>
      </c>
      <c r="D6" s="488">
        <v>15.74619</v>
      </c>
      <c r="E6" s="488">
        <v>0</v>
      </c>
      <c r="F6" s="489">
        <f t="shared" ref="F6:F67" si="0">+IF(D6=0,"",C6/D6-1)</f>
        <v>-1</v>
      </c>
    </row>
    <row r="7" spans="1:12" ht="11.25" customHeight="1">
      <c r="A7" s="442"/>
      <c r="B7" s="487" t="s">
        <v>376</v>
      </c>
      <c r="C7" s="488">
        <v>0</v>
      </c>
      <c r="D7" s="488">
        <v>13.76942</v>
      </c>
      <c r="E7" s="488">
        <v>0</v>
      </c>
      <c r="F7" s="489">
        <f t="shared" si="0"/>
        <v>-1</v>
      </c>
    </row>
    <row r="8" spans="1:12" ht="11.25" customHeight="1">
      <c r="A8" s="448" t="s">
        <v>377</v>
      </c>
      <c r="B8" s="449"/>
      <c r="C8" s="486">
        <v>49.256149999999998</v>
      </c>
      <c r="D8" s="486">
        <v>29.515610000000002</v>
      </c>
      <c r="E8" s="486">
        <v>48.357289999999999</v>
      </c>
      <c r="F8" s="490">
        <f t="shared" si="0"/>
        <v>0.66881694127277047</v>
      </c>
    </row>
    <row r="9" spans="1:12" ht="11.25" customHeight="1">
      <c r="A9" s="447" t="s">
        <v>104</v>
      </c>
      <c r="B9" s="491" t="s">
        <v>772</v>
      </c>
      <c r="C9" s="492">
        <v>0</v>
      </c>
      <c r="D9" s="492"/>
      <c r="E9" s="492">
        <v>0</v>
      </c>
      <c r="F9" s="489" t="str">
        <f t="shared" si="0"/>
        <v/>
      </c>
    </row>
    <row r="10" spans="1:12" ht="11.25" customHeight="1">
      <c r="A10" s="446"/>
      <c r="B10" s="487" t="s">
        <v>773</v>
      </c>
      <c r="C10" s="488">
        <v>125.70907</v>
      </c>
      <c r="D10" s="488"/>
      <c r="E10" s="488">
        <v>124.78003</v>
      </c>
      <c r="F10" s="489" t="str">
        <f t="shared" si="0"/>
        <v/>
      </c>
    </row>
    <row r="11" spans="1:12" ht="11.25" customHeight="1">
      <c r="A11" s="448" t="s">
        <v>378</v>
      </c>
      <c r="B11" s="449"/>
      <c r="C11" s="486">
        <v>125.70907</v>
      </c>
      <c r="D11" s="486"/>
      <c r="E11" s="486">
        <v>124.78003</v>
      </c>
      <c r="F11" s="490" t="str">
        <f t="shared" si="0"/>
        <v/>
      </c>
    </row>
    <row r="12" spans="1:12" ht="11.25" customHeight="1">
      <c r="A12" s="446" t="s">
        <v>103</v>
      </c>
      <c r="B12" s="487" t="s">
        <v>82</v>
      </c>
      <c r="C12" s="488">
        <v>33.403149999999997</v>
      </c>
      <c r="D12" s="488">
        <v>32.073030000000003</v>
      </c>
      <c r="E12" s="488">
        <v>56.373829999999998</v>
      </c>
      <c r="F12" s="489">
        <f t="shared" si="0"/>
        <v>4.1471604023691988E-2</v>
      </c>
    </row>
    <row r="13" spans="1:12" ht="11.25" customHeight="1">
      <c r="A13" s="446"/>
      <c r="B13" s="487" t="s">
        <v>84</v>
      </c>
      <c r="C13" s="488">
        <v>20.024470000000001</v>
      </c>
      <c r="D13" s="488">
        <v>2.9060700000000002</v>
      </c>
      <c r="E13" s="488">
        <v>12.37213</v>
      </c>
      <c r="F13" s="489">
        <f t="shared" si="0"/>
        <v>5.8905669856541651</v>
      </c>
    </row>
    <row r="14" spans="1:12" ht="11.25" customHeight="1">
      <c r="A14" s="448" t="s">
        <v>379</v>
      </c>
      <c r="B14" s="449"/>
      <c r="C14" s="486">
        <v>53.427619999999997</v>
      </c>
      <c r="D14" s="486">
        <v>34.979100000000003</v>
      </c>
      <c r="E14" s="486">
        <v>68.745959999999997</v>
      </c>
      <c r="F14" s="490">
        <f t="shared" si="0"/>
        <v>0.52741551383540441</v>
      </c>
    </row>
    <row r="15" spans="1:12" ht="11.25" customHeight="1">
      <c r="A15" s="446" t="s">
        <v>93</v>
      </c>
      <c r="B15" s="487" t="s">
        <v>380</v>
      </c>
      <c r="C15" s="488">
        <v>108.23681999999999</v>
      </c>
      <c r="D15" s="488">
        <v>108.91318</v>
      </c>
      <c r="E15" s="488">
        <v>108.30475</v>
      </c>
      <c r="F15" s="489">
        <f t="shared" si="0"/>
        <v>-6.210084032070351E-3</v>
      </c>
    </row>
    <row r="16" spans="1:12" ht="11.25" customHeight="1">
      <c r="A16" s="446"/>
      <c r="B16" s="487" t="s">
        <v>381</v>
      </c>
      <c r="C16" s="488">
        <v>132.55986000000001</v>
      </c>
      <c r="D16" s="488">
        <v>130.07765000000001</v>
      </c>
      <c r="E16" s="488">
        <v>131.79328000000001</v>
      </c>
      <c r="F16" s="489">
        <f t="shared" si="0"/>
        <v>1.908252493798912E-2</v>
      </c>
    </row>
    <row r="17" spans="1:6" ht="11.25" customHeight="1">
      <c r="A17" s="446"/>
      <c r="B17" s="487" t="s">
        <v>382</v>
      </c>
      <c r="C17" s="488">
        <v>724.18205999999998</v>
      </c>
      <c r="D17" s="488">
        <v>746.00862999999993</v>
      </c>
      <c r="E17" s="488">
        <v>0</v>
      </c>
      <c r="F17" s="489">
        <f t="shared" si="0"/>
        <v>-2.9257798264344381E-2</v>
      </c>
    </row>
    <row r="18" spans="1:6" ht="11.25" customHeight="1">
      <c r="A18" s="446"/>
      <c r="B18" s="487" t="s">
        <v>383</v>
      </c>
      <c r="C18" s="488">
        <v>0</v>
      </c>
      <c r="D18" s="488">
        <v>41.335549999999998</v>
      </c>
      <c r="E18" s="488">
        <v>0</v>
      </c>
      <c r="F18" s="489">
        <f t="shared" si="0"/>
        <v>-1</v>
      </c>
    </row>
    <row r="19" spans="1:6" ht="11.25" customHeight="1">
      <c r="A19" s="446"/>
      <c r="B19" s="487" t="s">
        <v>456</v>
      </c>
      <c r="C19" s="488"/>
      <c r="D19" s="488">
        <v>33.354990000000001</v>
      </c>
      <c r="E19" s="488"/>
      <c r="F19" s="489">
        <f t="shared" si="0"/>
        <v>-1</v>
      </c>
    </row>
    <row r="20" spans="1:6" ht="11.25" customHeight="1">
      <c r="A20" s="446"/>
      <c r="B20" s="487" t="s">
        <v>384</v>
      </c>
      <c r="C20" s="488">
        <v>0</v>
      </c>
      <c r="D20" s="488">
        <v>0</v>
      </c>
      <c r="E20" s="488">
        <v>0</v>
      </c>
      <c r="F20" s="489" t="str">
        <f t="shared" si="0"/>
        <v/>
      </c>
    </row>
    <row r="21" spans="1:6" ht="11.25" customHeight="1">
      <c r="A21" s="446"/>
      <c r="B21" s="487" t="s">
        <v>385</v>
      </c>
      <c r="C21" s="488">
        <v>0</v>
      </c>
      <c r="D21" s="488">
        <v>0</v>
      </c>
      <c r="E21" s="488">
        <v>0</v>
      </c>
      <c r="F21" s="489" t="str">
        <f t="shared" si="0"/>
        <v/>
      </c>
    </row>
    <row r="22" spans="1:6" ht="11.25" customHeight="1">
      <c r="A22" s="446"/>
      <c r="B22" s="487" t="s">
        <v>386</v>
      </c>
      <c r="C22" s="488">
        <v>0</v>
      </c>
      <c r="D22" s="488">
        <v>0</v>
      </c>
      <c r="E22" s="488">
        <v>0</v>
      </c>
      <c r="F22" s="489" t="str">
        <f t="shared" si="0"/>
        <v/>
      </c>
    </row>
    <row r="23" spans="1:6" ht="11.25" customHeight="1">
      <c r="A23" s="446"/>
      <c r="B23" s="487" t="s">
        <v>766</v>
      </c>
      <c r="C23" s="488">
        <v>0</v>
      </c>
      <c r="D23" s="488"/>
      <c r="E23" s="488">
        <v>0</v>
      </c>
      <c r="F23" s="489" t="str">
        <f t="shared" si="0"/>
        <v/>
      </c>
    </row>
    <row r="24" spans="1:6" ht="11.25" customHeight="1">
      <c r="A24" s="448" t="s">
        <v>387</v>
      </c>
      <c r="B24" s="449"/>
      <c r="C24" s="486">
        <v>964.97874000000002</v>
      </c>
      <c r="D24" s="486">
        <v>1059.69</v>
      </c>
      <c r="E24" s="486">
        <v>240.09802999999999</v>
      </c>
      <c r="F24" s="490">
        <f t="shared" si="0"/>
        <v>-8.9376383659372061E-2</v>
      </c>
    </row>
    <row r="25" spans="1:6" ht="11.25" customHeight="1">
      <c r="A25" s="446" t="s">
        <v>276</v>
      </c>
      <c r="B25" s="487" t="s">
        <v>388</v>
      </c>
      <c r="C25" s="488">
        <v>275.80000999999999</v>
      </c>
      <c r="D25" s="488">
        <v>550.49736000000007</v>
      </c>
      <c r="E25" s="488">
        <v>553.66996999999992</v>
      </c>
      <c r="F25" s="489">
        <f t="shared" si="0"/>
        <v>-0.49899848747685194</v>
      </c>
    </row>
    <row r="26" spans="1:6" ht="11.25" customHeight="1">
      <c r="A26" s="448" t="s">
        <v>389</v>
      </c>
      <c r="B26" s="449"/>
      <c r="C26" s="486">
        <v>275.80000999999999</v>
      </c>
      <c r="D26" s="486">
        <v>550.49736000000007</v>
      </c>
      <c r="E26" s="486">
        <v>553.66996999999992</v>
      </c>
      <c r="F26" s="490">
        <f t="shared" si="0"/>
        <v>-0.49899848747685194</v>
      </c>
    </row>
    <row r="27" spans="1:6" ht="11.25" customHeight="1">
      <c r="A27" s="446" t="s">
        <v>114</v>
      </c>
      <c r="B27" s="487" t="s">
        <v>70</v>
      </c>
      <c r="C27" s="488">
        <v>5.5061999999999998</v>
      </c>
      <c r="D27" s="488">
        <v>4.8769099999999996</v>
      </c>
      <c r="E27" s="488">
        <v>6.8397399999999999</v>
      </c>
      <c r="F27" s="489">
        <f t="shared" si="0"/>
        <v>0.12903457312109512</v>
      </c>
    </row>
    <row r="28" spans="1:6" ht="11.25" customHeight="1">
      <c r="A28" s="448" t="s">
        <v>390</v>
      </c>
      <c r="B28" s="449"/>
      <c r="C28" s="486">
        <v>5.5061999999999998</v>
      </c>
      <c r="D28" s="486">
        <v>4.8769099999999996</v>
      </c>
      <c r="E28" s="486">
        <v>6.8397399999999999</v>
      </c>
      <c r="F28" s="490">
        <f t="shared" si="0"/>
        <v>0.12903457312109512</v>
      </c>
    </row>
    <row r="29" spans="1:6" ht="11.25" customHeight="1">
      <c r="A29" s="446" t="s">
        <v>117</v>
      </c>
      <c r="B29" s="487" t="s">
        <v>268</v>
      </c>
      <c r="C29" s="488">
        <v>0</v>
      </c>
      <c r="D29" s="488">
        <v>0</v>
      </c>
      <c r="E29" s="488">
        <v>0</v>
      </c>
      <c r="F29" s="489" t="str">
        <f t="shared" si="0"/>
        <v/>
      </c>
    </row>
    <row r="30" spans="1:6" ht="11.25" customHeight="1">
      <c r="A30" s="448" t="s">
        <v>391</v>
      </c>
      <c r="B30" s="449"/>
      <c r="C30" s="486">
        <v>0</v>
      </c>
      <c r="D30" s="486">
        <v>0</v>
      </c>
      <c r="E30" s="486">
        <v>0</v>
      </c>
      <c r="F30" s="490" t="str">
        <f t="shared" si="0"/>
        <v/>
      </c>
    </row>
    <row r="31" spans="1:6" ht="11.25" customHeight="1">
      <c r="A31" s="446" t="s">
        <v>118</v>
      </c>
      <c r="B31" s="487" t="s">
        <v>88</v>
      </c>
      <c r="C31" s="488">
        <v>0</v>
      </c>
      <c r="D31" s="488">
        <v>0</v>
      </c>
      <c r="E31" s="488">
        <v>0</v>
      </c>
      <c r="F31" s="489" t="str">
        <f t="shared" si="0"/>
        <v/>
      </c>
    </row>
    <row r="32" spans="1:6" ht="11.25" customHeight="1">
      <c r="A32" s="448" t="s">
        <v>392</v>
      </c>
      <c r="B32" s="449"/>
      <c r="C32" s="486">
        <v>0</v>
      </c>
      <c r="D32" s="486">
        <v>0</v>
      </c>
      <c r="E32" s="486">
        <v>0</v>
      </c>
      <c r="F32" s="490" t="str">
        <f t="shared" si="0"/>
        <v/>
      </c>
    </row>
    <row r="33" spans="1:6" ht="11.25" customHeight="1">
      <c r="A33" s="446" t="s">
        <v>122</v>
      </c>
      <c r="B33" s="487" t="s">
        <v>78</v>
      </c>
      <c r="C33" s="488">
        <v>3.6</v>
      </c>
      <c r="D33" s="488">
        <v>3.0147300000000001</v>
      </c>
      <c r="E33" s="488">
        <v>0</v>
      </c>
      <c r="F33" s="489">
        <f t="shared" si="0"/>
        <v>0.19413678836910764</v>
      </c>
    </row>
    <row r="34" spans="1:6" ht="11.25" customHeight="1">
      <c r="A34" s="448" t="s">
        <v>393</v>
      </c>
      <c r="B34" s="449"/>
      <c r="C34" s="486">
        <v>3.6</v>
      </c>
      <c r="D34" s="486">
        <v>3.0147300000000001</v>
      </c>
      <c r="E34" s="486">
        <v>0</v>
      </c>
      <c r="F34" s="490">
        <f t="shared" si="0"/>
        <v>0.19413678836910764</v>
      </c>
    </row>
    <row r="35" spans="1:6" ht="11.25" customHeight="1">
      <c r="A35" s="446" t="s">
        <v>109</v>
      </c>
      <c r="B35" s="487" t="s">
        <v>394</v>
      </c>
      <c r="C35" s="488">
        <v>9.3759999999999994</v>
      </c>
      <c r="D35" s="488">
        <v>19.148</v>
      </c>
      <c r="E35" s="488">
        <v>19.619999999999997</v>
      </c>
      <c r="F35" s="489">
        <f t="shared" si="0"/>
        <v>-0.51034050553582622</v>
      </c>
    </row>
    <row r="36" spans="1:6" ht="11.25" customHeight="1">
      <c r="A36" s="448" t="s">
        <v>395</v>
      </c>
      <c r="B36" s="449"/>
      <c r="C36" s="486">
        <v>9.3759999999999994</v>
      </c>
      <c r="D36" s="486">
        <v>19.148</v>
      </c>
      <c r="E36" s="486">
        <v>19.619999999999997</v>
      </c>
      <c r="F36" s="490">
        <f t="shared" si="0"/>
        <v>-0.51034050553582622</v>
      </c>
    </row>
    <row r="37" spans="1:6" ht="11.25" customHeight="1">
      <c r="A37" s="446" t="s">
        <v>277</v>
      </c>
      <c r="B37" s="487" t="s">
        <v>63</v>
      </c>
      <c r="C37" s="488">
        <v>0</v>
      </c>
      <c r="D37" s="488"/>
      <c r="E37" s="488">
        <v>9.0002999999999993</v>
      </c>
      <c r="F37" s="489" t="str">
        <f t="shared" si="0"/>
        <v/>
      </c>
    </row>
    <row r="38" spans="1:6" ht="11.25" customHeight="1">
      <c r="A38" s="448" t="s">
        <v>397</v>
      </c>
      <c r="B38" s="449"/>
      <c r="C38" s="486">
        <v>0</v>
      </c>
      <c r="D38" s="486"/>
      <c r="E38" s="486">
        <v>9.0002999999999993</v>
      </c>
      <c r="F38" s="490" t="str">
        <f t="shared" si="0"/>
        <v/>
      </c>
    </row>
    <row r="39" spans="1:6" ht="11.25" customHeight="1">
      <c r="A39" s="446" t="s">
        <v>125</v>
      </c>
      <c r="B39" s="487" t="s">
        <v>398</v>
      </c>
      <c r="C39" s="488">
        <v>0</v>
      </c>
      <c r="D39" s="488">
        <v>0</v>
      </c>
      <c r="E39" s="488">
        <v>0</v>
      </c>
      <c r="F39" s="489" t="str">
        <f t="shared" si="0"/>
        <v/>
      </c>
    </row>
    <row r="40" spans="1:6" ht="11.25" customHeight="1">
      <c r="A40" s="446"/>
      <c r="B40" s="487" t="s">
        <v>399</v>
      </c>
      <c r="C40" s="488">
        <v>0</v>
      </c>
      <c r="D40" s="488">
        <v>0</v>
      </c>
      <c r="E40" s="488">
        <v>0</v>
      </c>
      <c r="F40" s="489" t="str">
        <f t="shared" si="0"/>
        <v/>
      </c>
    </row>
    <row r="41" spans="1:6" ht="11.25" customHeight="1">
      <c r="A41" s="448" t="s">
        <v>400</v>
      </c>
      <c r="B41" s="449"/>
      <c r="C41" s="486">
        <v>0</v>
      </c>
      <c r="D41" s="486">
        <v>0</v>
      </c>
      <c r="E41" s="486">
        <v>0</v>
      </c>
      <c r="F41" s="490" t="str">
        <f t="shared" si="0"/>
        <v/>
      </c>
    </row>
    <row r="42" spans="1:6" ht="11.25" customHeight="1">
      <c r="A42" s="446" t="s">
        <v>664</v>
      </c>
      <c r="B42" s="487" t="s">
        <v>402</v>
      </c>
      <c r="C42" s="488">
        <v>170.83644000000001</v>
      </c>
      <c r="D42" s="488">
        <v>457.25670000000002</v>
      </c>
      <c r="E42" s="488">
        <v>508.16005999999999</v>
      </c>
      <c r="F42" s="489">
        <f t="shared" si="0"/>
        <v>-0.62638832848157278</v>
      </c>
    </row>
    <row r="43" spans="1:6" ht="11.25" customHeight="1">
      <c r="A43" s="446"/>
      <c r="B43" s="487" t="s">
        <v>403</v>
      </c>
      <c r="C43" s="488">
        <v>144.02862999999999</v>
      </c>
      <c r="D43" s="488">
        <v>0</v>
      </c>
      <c r="E43" s="488">
        <v>0</v>
      </c>
      <c r="F43" s="489" t="str">
        <f t="shared" si="0"/>
        <v/>
      </c>
    </row>
    <row r="44" spans="1:6" ht="11.25" customHeight="1">
      <c r="A44" s="446"/>
      <c r="B44" s="487" t="s">
        <v>401</v>
      </c>
      <c r="C44" s="488">
        <v>526.4211499999999</v>
      </c>
      <c r="D44" s="488"/>
      <c r="E44" s="488">
        <v>526.44351000000006</v>
      </c>
      <c r="F44" s="489" t="str">
        <f t="shared" si="0"/>
        <v/>
      </c>
    </row>
    <row r="45" spans="1:6" ht="11.25" customHeight="1">
      <c r="A45" s="446"/>
      <c r="B45" s="487" t="s">
        <v>404</v>
      </c>
      <c r="C45" s="488">
        <v>9.9966899999999992</v>
      </c>
      <c r="D45" s="488"/>
      <c r="E45" s="488">
        <v>10.008279999999999</v>
      </c>
      <c r="F45" s="489" t="str">
        <f>+IF(D45=0,"",C45/D45-1)</f>
        <v/>
      </c>
    </row>
    <row r="46" spans="1:6" ht="11.25" customHeight="1">
      <c r="A46" s="448" t="s">
        <v>405</v>
      </c>
      <c r="B46" s="449"/>
      <c r="C46" s="486">
        <v>851.2829099999999</v>
      </c>
      <c r="D46" s="486">
        <v>457.25670000000002</v>
      </c>
      <c r="E46" s="486">
        <v>1044.61185</v>
      </c>
      <c r="F46" s="490"/>
    </row>
    <row r="47" spans="1:6" ht="11.25" customHeight="1">
      <c r="A47" s="446" t="s">
        <v>767</v>
      </c>
      <c r="B47" s="487" t="s">
        <v>579</v>
      </c>
      <c r="C47" s="488">
        <v>88.915989999999994</v>
      </c>
      <c r="D47" s="488">
        <v>90.332329999999999</v>
      </c>
      <c r="E47" s="488">
        <v>88.961479999999995</v>
      </c>
      <c r="F47" s="489">
        <f t="shared" si="0"/>
        <v>-1.5679214739617642E-2</v>
      </c>
    </row>
    <row r="48" spans="1:6" ht="11.25" customHeight="1">
      <c r="A48" s="448" t="s">
        <v>537</v>
      </c>
      <c r="B48" s="449"/>
      <c r="C48" s="486">
        <v>88.915989999999994</v>
      </c>
      <c r="D48" s="486">
        <v>90.332329999999999</v>
      </c>
      <c r="E48" s="486">
        <v>88.961479999999995</v>
      </c>
      <c r="F48" s="490">
        <f>+IF(D48=0,"",C48/D48-1)</f>
        <v>-1.5679214739617642E-2</v>
      </c>
    </row>
    <row r="49" spans="1:6" ht="11.25" customHeight="1">
      <c r="A49" s="446" t="s">
        <v>123</v>
      </c>
      <c r="B49" s="487" t="s">
        <v>76</v>
      </c>
      <c r="C49" s="488">
        <v>3.8170000000000002</v>
      </c>
      <c r="D49" s="488">
        <v>3.3679999999999999</v>
      </c>
      <c r="E49" s="488">
        <v>3.7160000000000002</v>
      </c>
      <c r="F49" s="489">
        <f t="shared" si="0"/>
        <v>0.13331353919239919</v>
      </c>
    </row>
    <row r="50" spans="1:6" ht="11.25" customHeight="1">
      <c r="A50" s="448" t="s">
        <v>406</v>
      </c>
      <c r="B50" s="449"/>
      <c r="C50" s="486">
        <v>3.8170000000000002</v>
      </c>
      <c r="D50" s="486">
        <v>3.3679999999999999</v>
      </c>
      <c r="E50" s="486">
        <v>3.7160000000000002</v>
      </c>
      <c r="F50" s="490">
        <f t="shared" si="0"/>
        <v>0.13331353919239919</v>
      </c>
    </row>
    <row r="51" spans="1:6" ht="11.25" customHeight="1">
      <c r="A51" s="446" t="s">
        <v>116</v>
      </c>
      <c r="B51" s="487" t="s">
        <v>86</v>
      </c>
      <c r="C51" s="488">
        <v>0</v>
      </c>
      <c r="D51" s="488">
        <v>0</v>
      </c>
      <c r="E51" s="488">
        <v>0</v>
      </c>
      <c r="F51" s="489" t="str">
        <f t="shared" si="0"/>
        <v/>
      </c>
    </row>
    <row r="52" spans="1:6" ht="11.25" customHeight="1">
      <c r="A52" s="448" t="s">
        <v>407</v>
      </c>
      <c r="B52" s="449"/>
      <c r="C52" s="486">
        <v>0</v>
      </c>
      <c r="D52" s="486">
        <v>0</v>
      </c>
      <c r="E52" s="486">
        <v>0</v>
      </c>
      <c r="F52" s="490" t="str">
        <f t="shared" si="0"/>
        <v/>
      </c>
    </row>
    <row r="53" spans="1:6" ht="11.25" customHeight="1">
      <c r="A53" s="446" t="s">
        <v>279</v>
      </c>
      <c r="B53" s="487" t="s">
        <v>75</v>
      </c>
      <c r="C53" s="488">
        <v>4.87723</v>
      </c>
      <c r="D53" s="488">
        <v>5.3089199999999996</v>
      </c>
      <c r="E53" s="488">
        <v>5.1007199999999999</v>
      </c>
      <c r="F53" s="489">
        <f t="shared" si="0"/>
        <v>-8.1314090248110649E-2</v>
      </c>
    </row>
    <row r="54" spans="1:6" ht="11.25" customHeight="1">
      <c r="A54" s="446"/>
      <c r="B54" s="487" t="s">
        <v>408</v>
      </c>
      <c r="C54" s="488">
        <v>251.02560999999997</v>
      </c>
      <c r="D54" s="488">
        <v>246.50357000000002</v>
      </c>
      <c r="E54" s="488">
        <v>248.68201999999999</v>
      </c>
      <c r="F54" s="489">
        <f t="shared" si="0"/>
        <v>1.8344724175799687E-2</v>
      </c>
    </row>
    <row r="55" spans="1:6" ht="11.25" customHeight="1">
      <c r="A55" s="446"/>
      <c r="B55" s="487" t="s">
        <v>409</v>
      </c>
      <c r="C55" s="488">
        <v>60.071579999999997</v>
      </c>
      <c r="D55" s="488">
        <v>92.22945</v>
      </c>
      <c r="E55" s="488">
        <v>89.720569999999995</v>
      </c>
      <c r="F55" s="489">
        <f t="shared" si="0"/>
        <v>-0.34867246850111333</v>
      </c>
    </row>
    <row r="56" spans="1:6" ht="11.25" customHeight="1">
      <c r="A56" s="446"/>
      <c r="B56" s="487" t="s">
        <v>66</v>
      </c>
      <c r="C56" s="488">
        <v>9.9213699999999996</v>
      </c>
      <c r="D56" s="488">
        <v>10.00207</v>
      </c>
      <c r="E56" s="488">
        <v>9.9176400000000005</v>
      </c>
      <c r="F56" s="489">
        <f t="shared" si="0"/>
        <v>-8.0683298557199246E-3</v>
      </c>
    </row>
    <row r="57" spans="1:6" ht="11.25" customHeight="1">
      <c r="A57" s="448" t="s">
        <v>410</v>
      </c>
      <c r="B57" s="449"/>
      <c r="C57" s="486">
        <v>325.89578999999998</v>
      </c>
      <c r="D57" s="486">
        <v>354.04401000000001</v>
      </c>
      <c r="E57" s="486">
        <v>353.42095</v>
      </c>
      <c r="F57" s="490">
        <f t="shared" si="0"/>
        <v>-7.95048615566184E-2</v>
      </c>
    </row>
    <row r="58" spans="1:6" ht="11.25" customHeight="1">
      <c r="A58" s="446" t="s">
        <v>280</v>
      </c>
      <c r="B58" s="487" t="s">
        <v>83</v>
      </c>
      <c r="C58" s="488">
        <v>12.64213</v>
      </c>
      <c r="D58" s="488">
        <v>0</v>
      </c>
      <c r="E58" s="488">
        <v>26.574349999999999</v>
      </c>
      <c r="F58" s="489" t="str">
        <f t="shared" si="0"/>
        <v/>
      </c>
    </row>
    <row r="59" spans="1:6" ht="11.25" customHeight="1">
      <c r="A59" s="448" t="s">
        <v>411</v>
      </c>
      <c r="B59" s="449"/>
      <c r="C59" s="486">
        <v>12.64213</v>
      </c>
      <c r="D59" s="486">
        <v>0</v>
      </c>
      <c r="E59" s="486">
        <v>26.574349999999999</v>
      </c>
      <c r="F59" s="490" t="str">
        <f t="shared" si="0"/>
        <v/>
      </c>
    </row>
    <row r="60" spans="1:6" ht="11.25" customHeight="1">
      <c r="A60" s="446" t="s">
        <v>105</v>
      </c>
      <c r="B60" s="487" t="s">
        <v>80</v>
      </c>
      <c r="C60" s="488">
        <v>43.124569999999999</v>
      </c>
      <c r="D60" s="488">
        <v>0</v>
      </c>
      <c r="E60" s="488">
        <v>88.914940000000001</v>
      </c>
      <c r="F60" s="489" t="str">
        <f t="shared" si="0"/>
        <v/>
      </c>
    </row>
    <row r="61" spans="1:6" ht="11.25" customHeight="1">
      <c r="A61" s="448" t="s">
        <v>412</v>
      </c>
      <c r="B61" s="449"/>
      <c r="C61" s="486">
        <v>43.124569999999999</v>
      </c>
      <c r="D61" s="486">
        <v>0</v>
      </c>
      <c r="E61" s="486">
        <v>88.914940000000001</v>
      </c>
      <c r="F61" s="490" t="str">
        <f t="shared" si="0"/>
        <v/>
      </c>
    </row>
    <row r="62" spans="1:6" ht="11.25" customHeight="1">
      <c r="A62" s="446" t="s">
        <v>113</v>
      </c>
      <c r="B62" s="487" t="s">
        <v>267</v>
      </c>
      <c r="C62" s="488">
        <v>0</v>
      </c>
      <c r="D62" s="488">
        <v>0</v>
      </c>
      <c r="E62" s="488">
        <v>0</v>
      </c>
      <c r="F62" s="489" t="str">
        <f t="shared" si="0"/>
        <v/>
      </c>
    </row>
    <row r="63" spans="1:6" ht="11.25" customHeight="1">
      <c r="A63" s="448" t="s">
        <v>413</v>
      </c>
      <c r="B63" s="449"/>
      <c r="C63" s="486">
        <v>0</v>
      </c>
      <c r="D63" s="486">
        <v>0</v>
      </c>
      <c r="E63" s="486">
        <v>0</v>
      </c>
      <c r="F63" s="490" t="str">
        <f t="shared" si="0"/>
        <v/>
      </c>
    </row>
    <row r="64" spans="1:6" ht="11.25" customHeight="1">
      <c r="A64" s="446" t="s">
        <v>771</v>
      </c>
      <c r="B64" s="487" t="s">
        <v>91</v>
      </c>
      <c r="C64" s="488">
        <v>0</v>
      </c>
      <c r="D64" s="488"/>
      <c r="E64" s="488">
        <v>0</v>
      </c>
      <c r="F64" s="489" t="str">
        <f t="shared" si="0"/>
        <v/>
      </c>
    </row>
    <row r="65" spans="1:6" ht="11.25" customHeight="1">
      <c r="A65" s="446"/>
      <c r="B65" s="487" t="s">
        <v>90</v>
      </c>
      <c r="C65" s="488">
        <v>3.1875</v>
      </c>
      <c r="D65" s="488">
        <v>4.5192999999999994</v>
      </c>
      <c r="E65" s="488">
        <v>4.4090999999999996</v>
      </c>
      <c r="F65" s="489">
        <f t="shared" si="0"/>
        <v>-0.29469165578740064</v>
      </c>
    </row>
    <row r="66" spans="1:6" ht="11.25" customHeight="1">
      <c r="A66" s="448" t="s">
        <v>414</v>
      </c>
      <c r="B66" s="449"/>
      <c r="C66" s="486">
        <v>3.1875</v>
      </c>
      <c r="D66" s="486">
        <v>4.5192999999999994</v>
      </c>
      <c r="E66" s="486">
        <v>4.4090999999999996</v>
      </c>
      <c r="F66" s="490">
        <f t="shared" si="0"/>
        <v>-0.29469165578740064</v>
      </c>
    </row>
    <row r="67" spans="1:6" ht="11.25" customHeight="1">
      <c r="A67" s="446"/>
      <c r="B67" s="487"/>
      <c r="C67" s="488"/>
      <c r="D67" s="488"/>
      <c r="E67" s="488"/>
      <c r="F67" s="489" t="str">
        <f t="shared" si="0"/>
        <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4"/>
  <sheetViews>
    <sheetView showGridLines="0" view="pageBreakPreview" topLeftCell="A14" zoomScale="140" zoomScaleNormal="100" zoomScaleSheetLayoutView="140" zoomScalePageLayoutView="130" workbookViewId="0">
      <selection activeCell="Q26" sqref="Q26"/>
    </sheetView>
  </sheetViews>
  <sheetFormatPr defaultRowHeight="9"/>
  <cols>
    <col min="1" max="1" width="27.6640625" style="469" customWidth="1"/>
    <col min="2" max="2" width="23" style="469" customWidth="1"/>
    <col min="3" max="4" width="17.6640625" style="469" customWidth="1"/>
    <col min="5" max="5" width="15.1640625" style="469" customWidth="1"/>
    <col min="6" max="6" width="13.33203125" style="469" customWidth="1"/>
    <col min="7" max="9" width="9.33203125" style="469"/>
    <col min="10" max="11" width="9.33203125" style="469" customWidth="1"/>
    <col min="12" max="13" width="9.33203125" style="469"/>
    <col min="14" max="16384" width="9.33203125" style="470"/>
  </cols>
  <sheetData>
    <row r="1" spans="1:12" ht="11.25" customHeight="1">
      <c r="A1" s="975" t="s">
        <v>291</v>
      </c>
      <c r="B1" s="978" t="s">
        <v>57</v>
      </c>
      <c r="C1" s="978" t="s">
        <v>463</v>
      </c>
      <c r="D1" s="978"/>
      <c r="E1" s="978"/>
      <c r="F1" s="981"/>
      <c r="G1" s="471"/>
      <c r="H1" s="471"/>
      <c r="I1" s="471"/>
      <c r="J1" s="471"/>
      <c r="K1" s="471"/>
    </row>
    <row r="2" spans="1:12" ht="11.25" customHeight="1">
      <c r="A2" s="976"/>
      <c r="B2" s="979"/>
      <c r="C2" s="493" t="str">
        <f>+'22. ANEXOII-2'!C2</f>
        <v>MAYO 2018</v>
      </c>
      <c r="D2" s="494" t="str">
        <f>+'22. ANEXOII-2'!D2</f>
        <v>MAYO 2017</v>
      </c>
      <c r="E2" s="495">
        <v>2018</v>
      </c>
      <c r="F2" s="472" t="s">
        <v>461</v>
      </c>
      <c r="G2" s="473"/>
      <c r="H2" s="473"/>
      <c r="I2" s="473"/>
      <c r="J2" s="473"/>
      <c r="K2" s="473"/>
      <c r="L2" s="474"/>
    </row>
    <row r="3" spans="1:12" ht="11.25" customHeight="1">
      <c r="A3" s="976"/>
      <c r="B3" s="979"/>
      <c r="C3" s="496">
        <f>+'8. Max Potencia'!D8</f>
        <v>43228.78125</v>
      </c>
      <c r="D3" s="496">
        <f>+'8. Max Potencia'!E8</f>
        <v>42864.791666666664</v>
      </c>
      <c r="E3" s="496">
        <f>+'8. Max Potencia'!G8</f>
        <v>43214.78125</v>
      </c>
      <c r="F3" s="497" t="s">
        <v>449</v>
      </c>
      <c r="G3" s="475"/>
      <c r="H3" s="475"/>
      <c r="I3" s="476"/>
      <c r="J3" s="476"/>
      <c r="K3" s="476"/>
      <c r="L3" s="474"/>
    </row>
    <row r="4" spans="1:12" ht="11.25" customHeight="1">
      <c r="A4" s="977"/>
      <c r="B4" s="980"/>
      <c r="C4" s="498">
        <f>+'8. Max Potencia'!D9</f>
        <v>43228.78125</v>
      </c>
      <c r="D4" s="498">
        <f>+'8. Max Potencia'!E9</f>
        <v>42864.791666666664</v>
      </c>
      <c r="E4" s="498">
        <f>+'8. Max Potencia'!G9</f>
        <v>43214.78125</v>
      </c>
      <c r="F4" s="499" t="s">
        <v>450</v>
      </c>
      <c r="G4" s="475"/>
      <c r="H4" s="475"/>
      <c r="I4" s="475"/>
      <c r="J4" s="475"/>
      <c r="K4" s="475"/>
      <c r="L4" s="477"/>
    </row>
    <row r="5" spans="1:12" ht="11.25" customHeight="1">
      <c r="A5" s="446" t="s">
        <v>282</v>
      </c>
      <c r="B5" s="487" t="s">
        <v>415</v>
      </c>
      <c r="C5" s="488">
        <v>0</v>
      </c>
      <c r="D5" s="488">
        <v>0</v>
      </c>
      <c r="E5" s="488">
        <v>0</v>
      </c>
      <c r="F5" s="489" t="str">
        <f t="shared" ref="F5:F52" si="0">+IF(D5=0,"",C5/D5-1)</f>
        <v/>
      </c>
    </row>
    <row r="6" spans="1:12" ht="11.25" customHeight="1">
      <c r="A6" s="448" t="s">
        <v>416</v>
      </c>
      <c r="B6" s="449"/>
      <c r="C6" s="486">
        <v>0</v>
      </c>
      <c r="D6" s="486">
        <v>0</v>
      </c>
      <c r="E6" s="486">
        <v>0</v>
      </c>
      <c r="F6" s="490" t="str">
        <f t="shared" si="0"/>
        <v/>
      </c>
    </row>
    <row r="7" spans="1:12" ht="11.25" customHeight="1">
      <c r="A7" s="446" t="s">
        <v>130</v>
      </c>
      <c r="B7" s="487" t="s">
        <v>457</v>
      </c>
      <c r="C7" s="488"/>
      <c r="D7" s="488">
        <v>0</v>
      </c>
      <c r="E7" s="488"/>
      <c r="F7" s="489" t="str">
        <f t="shared" si="0"/>
        <v/>
      </c>
    </row>
    <row r="8" spans="1:12" ht="11.25" customHeight="1">
      <c r="A8" s="448" t="s">
        <v>458</v>
      </c>
      <c r="B8" s="449"/>
      <c r="C8" s="486"/>
      <c r="D8" s="486">
        <v>0</v>
      </c>
      <c r="E8" s="486"/>
      <c r="F8" s="490" t="str">
        <f t="shared" si="0"/>
        <v/>
      </c>
    </row>
    <row r="9" spans="1:12" ht="11.25" customHeight="1">
      <c r="A9" s="446" t="s">
        <v>110</v>
      </c>
      <c r="B9" s="487" t="s">
        <v>65</v>
      </c>
      <c r="C9" s="488">
        <v>19.292819999999999</v>
      </c>
      <c r="D9" s="488">
        <v>19.383990000000001</v>
      </c>
      <c r="E9" s="488">
        <v>18.94304</v>
      </c>
      <c r="F9" s="489">
        <f t="shared" si="0"/>
        <v>-4.7033660252611131E-3</v>
      </c>
    </row>
    <row r="10" spans="1:12" ht="11.25" customHeight="1">
      <c r="A10" s="448" t="s">
        <v>417</v>
      </c>
      <c r="B10" s="449"/>
      <c r="C10" s="486">
        <v>19.292819999999999</v>
      </c>
      <c r="D10" s="486">
        <v>19.383990000000001</v>
      </c>
      <c r="E10" s="486">
        <v>18.94304</v>
      </c>
      <c r="F10" s="490">
        <f t="shared" si="0"/>
        <v>-4.7033660252611131E-3</v>
      </c>
    </row>
    <row r="11" spans="1:12" ht="11.25" customHeight="1">
      <c r="A11" s="446" t="s">
        <v>283</v>
      </c>
      <c r="B11" s="487" t="s">
        <v>418</v>
      </c>
      <c r="C11" s="488">
        <v>0</v>
      </c>
      <c r="D11" s="488">
        <v>149.13802999999999</v>
      </c>
      <c r="E11" s="488">
        <v>0</v>
      </c>
      <c r="F11" s="489">
        <f t="shared" si="0"/>
        <v>-1</v>
      </c>
    </row>
    <row r="12" spans="1:12" ht="11.25" customHeight="1">
      <c r="A12" s="448" t="s">
        <v>419</v>
      </c>
      <c r="B12" s="449"/>
      <c r="C12" s="486">
        <v>0</v>
      </c>
      <c r="D12" s="486">
        <v>149.13802999999999</v>
      </c>
      <c r="E12" s="486">
        <v>0</v>
      </c>
      <c r="F12" s="490">
        <f t="shared" si="0"/>
        <v>-1</v>
      </c>
    </row>
    <row r="13" spans="1:12" ht="11.25" customHeight="1">
      <c r="A13" s="446" t="s">
        <v>101</v>
      </c>
      <c r="B13" s="487" t="s">
        <v>420</v>
      </c>
      <c r="C13" s="488">
        <v>111.20417</v>
      </c>
      <c r="D13" s="488">
        <v>110.94408</v>
      </c>
      <c r="E13" s="488">
        <v>110.79231</v>
      </c>
      <c r="F13" s="489">
        <f t="shared" si="0"/>
        <v>2.3443341907023463E-3</v>
      </c>
    </row>
    <row r="14" spans="1:12" ht="11.25" customHeight="1">
      <c r="A14" s="446"/>
      <c r="B14" s="487" t="s">
        <v>459</v>
      </c>
      <c r="C14" s="488"/>
      <c r="D14" s="488">
        <v>0</v>
      </c>
      <c r="E14" s="488"/>
      <c r="F14" s="489" t="str">
        <f t="shared" si="0"/>
        <v/>
      </c>
    </row>
    <row r="15" spans="1:12" ht="11.25" customHeight="1">
      <c r="A15" s="448" t="s">
        <v>421</v>
      </c>
      <c r="B15" s="449"/>
      <c r="C15" s="486">
        <v>111.20417</v>
      </c>
      <c r="D15" s="486">
        <v>110.94408</v>
      </c>
      <c r="E15" s="486">
        <v>110.79231</v>
      </c>
      <c r="F15" s="490">
        <f t="shared" si="0"/>
        <v>2.3443341907023463E-3</v>
      </c>
    </row>
    <row r="16" spans="1:12" ht="11.25" customHeight="1">
      <c r="A16" s="446" t="s">
        <v>284</v>
      </c>
      <c r="B16" s="487" t="s">
        <v>69</v>
      </c>
      <c r="C16" s="488">
        <v>7.6681999999999997</v>
      </c>
      <c r="D16" s="488">
        <v>5.4595200000000004</v>
      </c>
      <c r="E16" s="488">
        <v>8.5421899999999997</v>
      </c>
      <c r="F16" s="489">
        <f t="shared" si="0"/>
        <v>0.40455571185745254</v>
      </c>
    </row>
    <row r="17" spans="1:6" ht="11.25" customHeight="1">
      <c r="A17" s="446"/>
      <c r="B17" s="487" t="s">
        <v>68</v>
      </c>
      <c r="C17" s="488">
        <v>8.1153499999999994</v>
      </c>
      <c r="D17" s="488">
        <v>6.4664900000000003</v>
      </c>
      <c r="E17" s="488">
        <v>8.9284199999999991</v>
      </c>
      <c r="F17" s="489">
        <f t="shared" si="0"/>
        <v>0.2549853166091649</v>
      </c>
    </row>
    <row r="18" spans="1:6" ht="11.25" customHeight="1">
      <c r="A18" s="446"/>
      <c r="B18" s="487" t="s">
        <v>72</v>
      </c>
      <c r="C18" s="488">
        <v>3.3801700000000001</v>
      </c>
      <c r="D18" s="488">
        <v>3.6041699999999999</v>
      </c>
      <c r="E18" s="488">
        <v>4.32423</v>
      </c>
      <c r="F18" s="489">
        <f t="shared" si="0"/>
        <v>-6.2150231537358103E-2</v>
      </c>
    </row>
    <row r="19" spans="1:6" ht="11.25" customHeight="1">
      <c r="A19" s="446"/>
      <c r="B19" s="487" t="s">
        <v>71</v>
      </c>
      <c r="C19" s="488">
        <v>3.9290500000000002</v>
      </c>
      <c r="D19" s="488">
        <v>4.0453200000000002</v>
      </c>
      <c r="E19" s="488">
        <v>5.0239000000000003</v>
      </c>
      <c r="F19" s="489">
        <f t="shared" si="0"/>
        <v>-2.8741854785282794E-2</v>
      </c>
    </row>
    <row r="20" spans="1:6" ht="11.25" customHeight="1">
      <c r="A20" s="448" t="s">
        <v>422</v>
      </c>
      <c r="B20" s="449"/>
      <c r="C20" s="486">
        <v>23.092769999999998</v>
      </c>
      <c r="D20" s="486">
        <v>19.575500000000002</v>
      </c>
      <c r="E20" s="486">
        <v>26.818740000000002</v>
      </c>
      <c r="F20" s="490">
        <f t="shared" si="0"/>
        <v>0.17967714745472629</v>
      </c>
    </row>
    <row r="21" spans="1:6" ht="11.25" customHeight="1">
      <c r="A21" s="446" t="s">
        <v>108</v>
      </c>
      <c r="B21" s="487" t="s">
        <v>423</v>
      </c>
      <c r="C21" s="488">
        <v>27.398900000000001</v>
      </c>
      <c r="D21" s="488">
        <v>26.42136</v>
      </c>
      <c r="E21" s="488">
        <v>27.351590000000002</v>
      </c>
      <c r="F21" s="489">
        <f t="shared" si="0"/>
        <v>3.6998095480323512E-2</v>
      </c>
    </row>
    <row r="22" spans="1:6" ht="11.25" customHeight="1">
      <c r="A22" s="448" t="s">
        <v>424</v>
      </c>
      <c r="B22" s="449"/>
      <c r="C22" s="486">
        <v>27.398900000000001</v>
      </c>
      <c r="D22" s="486">
        <v>26.42136</v>
      </c>
      <c r="E22" s="486">
        <v>27.351590000000002</v>
      </c>
      <c r="F22" s="490">
        <f t="shared" si="0"/>
        <v>3.6998095480323512E-2</v>
      </c>
    </row>
    <row r="23" spans="1:6" ht="11.25" customHeight="1">
      <c r="A23" s="446" t="s">
        <v>127</v>
      </c>
      <c r="B23" s="487" t="s">
        <v>425</v>
      </c>
      <c r="C23" s="488">
        <v>0</v>
      </c>
      <c r="D23" s="488">
        <v>0</v>
      </c>
      <c r="E23" s="488">
        <v>0</v>
      </c>
      <c r="F23" s="489" t="str">
        <f t="shared" si="0"/>
        <v/>
      </c>
    </row>
    <row r="24" spans="1:6" ht="11.25" customHeight="1">
      <c r="A24" s="448" t="s">
        <v>426</v>
      </c>
      <c r="B24" s="449"/>
      <c r="C24" s="486">
        <v>0</v>
      </c>
      <c r="D24" s="486">
        <v>0</v>
      </c>
      <c r="E24" s="486">
        <v>0</v>
      </c>
      <c r="F24" s="490" t="str">
        <f t="shared" si="0"/>
        <v/>
      </c>
    </row>
    <row r="25" spans="1:6" ht="11.25" customHeight="1">
      <c r="A25" s="446" t="s">
        <v>119</v>
      </c>
      <c r="B25" s="487" t="s">
        <v>460</v>
      </c>
      <c r="C25" s="488"/>
      <c r="D25" s="488">
        <v>0</v>
      </c>
      <c r="E25" s="488"/>
      <c r="F25" s="489" t="str">
        <f t="shared" si="0"/>
        <v/>
      </c>
    </row>
    <row r="26" spans="1:6" ht="11.25" customHeight="1">
      <c r="A26" s="446"/>
      <c r="B26" s="487" t="s">
        <v>73</v>
      </c>
      <c r="C26" s="488">
        <v>8.4739900000000006</v>
      </c>
      <c r="D26" s="488">
        <v>9.1927500000000002</v>
      </c>
      <c r="E26" s="488">
        <v>8.8075100000000006</v>
      </c>
      <c r="F26" s="489">
        <f t="shared" si="0"/>
        <v>-7.8187702265372083E-2</v>
      </c>
    </row>
    <row r="27" spans="1:6" ht="11.25" customHeight="1">
      <c r="A27" s="448" t="s">
        <v>427</v>
      </c>
      <c r="B27" s="449"/>
      <c r="C27" s="486">
        <v>8.4739900000000006</v>
      </c>
      <c r="D27" s="486">
        <v>9.1927500000000002</v>
      </c>
      <c r="E27" s="486">
        <v>8.8075100000000006</v>
      </c>
      <c r="F27" s="490">
        <f t="shared" si="0"/>
        <v>-7.8187702265372083E-2</v>
      </c>
    </row>
    <row r="28" spans="1:6" ht="11.25" customHeight="1">
      <c r="A28" s="446" t="s">
        <v>96</v>
      </c>
      <c r="B28" s="487" t="s">
        <v>428</v>
      </c>
      <c r="C28" s="488">
        <v>43.687539999999998</v>
      </c>
      <c r="D28" s="488">
        <v>21.6557</v>
      </c>
      <c r="E28" s="488">
        <v>43.690919999999998</v>
      </c>
      <c r="F28" s="489">
        <f t="shared" si="0"/>
        <v>1.0173690991286359</v>
      </c>
    </row>
    <row r="29" spans="1:6" ht="11.25" customHeight="1">
      <c r="A29" s="446"/>
      <c r="B29" s="487" t="s">
        <v>429</v>
      </c>
      <c r="C29" s="488">
        <v>147.66295</v>
      </c>
      <c r="D29" s="488">
        <v>163.70699999999999</v>
      </c>
      <c r="E29" s="488">
        <v>167.52777</v>
      </c>
      <c r="F29" s="489">
        <f t="shared" si="0"/>
        <v>-9.8004666874354829E-2</v>
      </c>
    </row>
    <row r="30" spans="1:6" ht="11.25" customHeight="1">
      <c r="A30" s="446"/>
      <c r="B30" s="487" t="s">
        <v>430</v>
      </c>
      <c r="C30" s="488">
        <v>27.98086</v>
      </c>
      <c r="D30" s="488">
        <v>38.368760000000002</v>
      </c>
      <c r="E30" s="488">
        <v>30.279130000000002</v>
      </c>
      <c r="F30" s="489">
        <f t="shared" si="0"/>
        <v>-0.27073848620596552</v>
      </c>
    </row>
    <row r="31" spans="1:6" ht="11.25" customHeight="1">
      <c r="A31" s="446"/>
      <c r="B31" s="487" t="s">
        <v>431</v>
      </c>
      <c r="C31" s="488">
        <v>0</v>
      </c>
      <c r="D31" s="488">
        <v>0</v>
      </c>
      <c r="E31" s="488">
        <v>0</v>
      </c>
      <c r="F31" s="489" t="str">
        <f t="shared" si="0"/>
        <v/>
      </c>
    </row>
    <row r="32" spans="1:6" ht="11.25" customHeight="1">
      <c r="A32" s="446"/>
      <c r="B32" s="487" t="s">
        <v>432</v>
      </c>
      <c r="C32" s="488">
        <v>43.8645</v>
      </c>
      <c r="D32" s="488">
        <v>33.431690000000003</v>
      </c>
      <c r="E32" s="488">
        <v>32.940539999999999</v>
      </c>
      <c r="F32" s="489">
        <f t="shared" si="0"/>
        <v>0.31206349424752378</v>
      </c>
    </row>
    <row r="33" spans="1:6" ht="11.25" customHeight="1">
      <c r="A33" s="446"/>
      <c r="B33" s="487" t="s">
        <v>433</v>
      </c>
      <c r="C33" s="488">
        <v>2.9246400000000001</v>
      </c>
      <c r="D33" s="488">
        <v>2.9923199999999999</v>
      </c>
      <c r="E33" s="488">
        <v>3.0095999999999998</v>
      </c>
      <c r="F33" s="489">
        <f t="shared" si="0"/>
        <v>-2.2617901828681286E-2</v>
      </c>
    </row>
    <row r="34" spans="1:6" ht="11.25" customHeight="1">
      <c r="A34" s="446"/>
      <c r="B34" s="487" t="s">
        <v>434</v>
      </c>
      <c r="C34" s="488">
        <v>8.4448800000000013</v>
      </c>
      <c r="D34" s="488">
        <v>4.4960399999999998</v>
      </c>
      <c r="E34" s="488">
        <v>8.1388800000000003</v>
      </c>
      <c r="F34" s="489">
        <f t="shared" si="0"/>
        <v>0.8782928977500204</v>
      </c>
    </row>
    <row r="35" spans="1:6" ht="11.25" customHeight="1">
      <c r="A35" s="446"/>
      <c r="B35" s="487" t="s">
        <v>435</v>
      </c>
      <c r="C35" s="488">
        <v>5.0439699999999998</v>
      </c>
      <c r="D35" s="488">
        <v>8.8805899999999998</v>
      </c>
      <c r="E35" s="488">
        <v>5.7245100000000004</v>
      </c>
      <c r="F35" s="489">
        <f t="shared" si="0"/>
        <v>-0.43202309756446367</v>
      </c>
    </row>
    <row r="36" spans="1:6" ht="11.25" customHeight="1">
      <c r="A36" s="446"/>
      <c r="B36" s="487" t="s">
        <v>436</v>
      </c>
      <c r="C36" s="488">
        <v>4.0386800000000003</v>
      </c>
      <c r="D36" s="488">
        <v>3.3289699999999995</v>
      </c>
      <c r="E36" s="488">
        <v>4.1269400000000003</v>
      </c>
      <c r="F36" s="489">
        <f t="shared" si="0"/>
        <v>0.21319206841755878</v>
      </c>
    </row>
    <row r="37" spans="1:6" ht="11.25" customHeight="1">
      <c r="A37" s="446"/>
      <c r="B37" s="487" t="s">
        <v>437</v>
      </c>
      <c r="C37" s="488">
        <v>0</v>
      </c>
      <c r="D37" s="488">
        <v>0.42720000000000002</v>
      </c>
      <c r="E37" s="488">
        <v>0</v>
      </c>
      <c r="F37" s="489">
        <f t="shared" si="0"/>
        <v>-1</v>
      </c>
    </row>
    <row r="38" spans="1:6" ht="11.25" customHeight="1">
      <c r="A38" s="446"/>
      <c r="B38" s="487" t="s">
        <v>438</v>
      </c>
      <c r="C38" s="488">
        <v>0</v>
      </c>
      <c r="D38" s="488">
        <v>0.27456999999999998</v>
      </c>
      <c r="E38" s="488">
        <v>0</v>
      </c>
      <c r="F38" s="489">
        <f t="shared" si="0"/>
        <v>-1</v>
      </c>
    </row>
    <row r="39" spans="1:6" ht="11.25" customHeight="1">
      <c r="A39" s="446"/>
      <c r="B39" s="487" t="s">
        <v>439</v>
      </c>
      <c r="C39" s="488">
        <v>105.10234</v>
      </c>
      <c r="D39" s="488">
        <v>81.948679999999996</v>
      </c>
      <c r="E39" s="488">
        <v>105.35533</v>
      </c>
      <c r="F39" s="489">
        <f t="shared" si="0"/>
        <v>0.2825385350929388</v>
      </c>
    </row>
    <row r="40" spans="1:6" ht="11.25" customHeight="1">
      <c r="A40" s="448" t="s">
        <v>440</v>
      </c>
      <c r="B40" s="449"/>
      <c r="C40" s="486">
        <v>388.75036</v>
      </c>
      <c r="D40" s="486">
        <v>359.51152000000002</v>
      </c>
      <c r="E40" s="486">
        <v>400.79361999999992</v>
      </c>
      <c r="F40" s="490">
        <f t="shared" si="0"/>
        <v>8.1329354898001638E-2</v>
      </c>
    </row>
    <row r="41" spans="1:6" ht="11.25" customHeight="1">
      <c r="A41" s="446" t="s">
        <v>115</v>
      </c>
      <c r="B41" s="487" t="s">
        <v>266</v>
      </c>
      <c r="C41" s="488">
        <v>0</v>
      </c>
      <c r="D41" s="488">
        <v>0</v>
      </c>
      <c r="E41" s="488">
        <v>0</v>
      </c>
      <c r="F41" s="489" t="str">
        <f t="shared" si="0"/>
        <v/>
      </c>
    </row>
    <row r="42" spans="1:6" ht="11.25" customHeight="1">
      <c r="A42" s="448" t="s">
        <v>441</v>
      </c>
      <c r="B42" s="449"/>
      <c r="C42" s="486">
        <v>0</v>
      </c>
      <c r="D42" s="486">
        <v>0</v>
      </c>
      <c r="E42" s="486">
        <v>0</v>
      </c>
      <c r="F42" s="490" t="str">
        <f t="shared" si="0"/>
        <v/>
      </c>
    </row>
    <row r="43" spans="1:6" ht="11.25" customHeight="1">
      <c r="A43" s="446" t="s">
        <v>768</v>
      </c>
      <c r="B43" s="487" t="s">
        <v>591</v>
      </c>
      <c r="C43" s="488">
        <v>286.74772000000002</v>
      </c>
      <c r="D43" s="488">
        <v>0</v>
      </c>
      <c r="E43" s="488">
        <v>293.38225</v>
      </c>
      <c r="F43" s="489" t="str">
        <f t="shared" si="0"/>
        <v/>
      </c>
    </row>
    <row r="44" spans="1:6" ht="11.25" customHeight="1">
      <c r="A44" s="448" t="s">
        <v>442</v>
      </c>
      <c r="B44" s="449"/>
      <c r="C44" s="486">
        <v>286.74772000000002</v>
      </c>
      <c r="D44" s="486">
        <v>0</v>
      </c>
      <c r="E44" s="486">
        <v>293.38225</v>
      </c>
      <c r="F44" s="490" t="str">
        <f t="shared" si="0"/>
        <v/>
      </c>
    </row>
    <row r="45" spans="1:6" ht="11.25" customHeight="1">
      <c r="A45" s="446" t="s">
        <v>111</v>
      </c>
      <c r="B45" s="487" t="s">
        <v>443</v>
      </c>
      <c r="C45" s="488">
        <v>0</v>
      </c>
      <c r="D45" s="488">
        <v>0</v>
      </c>
      <c r="E45" s="488">
        <v>0</v>
      </c>
      <c r="F45" s="489" t="str">
        <f t="shared" si="0"/>
        <v/>
      </c>
    </row>
    <row r="46" spans="1:6" ht="11.25" customHeight="1">
      <c r="A46" s="448" t="s">
        <v>444</v>
      </c>
      <c r="B46" s="449"/>
      <c r="C46" s="486">
        <v>0</v>
      </c>
      <c r="D46" s="486">
        <v>0</v>
      </c>
      <c r="E46" s="486">
        <v>0</v>
      </c>
      <c r="F46" s="490" t="str">
        <f t="shared" si="0"/>
        <v/>
      </c>
    </row>
    <row r="47" spans="1:6" ht="11.25" customHeight="1">
      <c r="A47" s="446" t="s">
        <v>769</v>
      </c>
      <c r="B47" s="487" t="s">
        <v>552</v>
      </c>
      <c r="C47" s="488">
        <v>19.94556</v>
      </c>
      <c r="D47" s="488"/>
      <c r="E47" s="488">
        <v>19.976400000000002</v>
      </c>
      <c r="F47" s="489" t="str">
        <f t="shared" si="0"/>
        <v/>
      </c>
    </row>
    <row r="48" spans="1:6" ht="11.25" customHeight="1">
      <c r="A48" s="448" t="s">
        <v>534</v>
      </c>
      <c r="B48" s="449"/>
      <c r="C48" s="486">
        <v>19.94556</v>
      </c>
      <c r="D48" s="486"/>
      <c r="E48" s="486">
        <v>19.976400000000002</v>
      </c>
      <c r="F48" s="490" t="str">
        <f t="shared" si="0"/>
        <v/>
      </c>
    </row>
    <row r="49" spans="1:6" ht="12" customHeight="1">
      <c r="A49" s="446" t="s">
        <v>770</v>
      </c>
      <c r="B49" s="487" t="s">
        <v>396</v>
      </c>
      <c r="C49" s="488">
        <v>19.524169999999998</v>
      </c>
      <c r="D49" s="488">
        <v>0</v>
      </c>
      <c r="E49" s="488">
        <v>19.575330000000001</v>
      </c>
      <c r="F49" s="489" t="str">
        <f t="shared" si="0"/>
        <v/>
      </c>
    </row>
    <row r="50" spans="1:6" ht="12" customHeight="1">
      <c r="A50" s="798" t="s">
        <v>562</v>
      </c>
      <c r="B50" s="798"/>
      <c r="C50" s="799">
        <v>19.524169999999998</v>
      </c>
      <c r="D50" s="799">
        <v>0</v>
      </c>
      <c r="E50" s="799">
        <v>19.575330000000001</v>
      </c>
      <c r="F50" s="800"/>
    </row>
    <row r="52" spans="1:6" ht="10.5" customHeight="1">
      <c r="A52" s="457" t="s">
        <v>535</v>
      </c>
      <c r="B52" s="672"/>
      <c r="C52" s="459">
        <v>6616.6757799999996</v>
      </c>
      <c r="D52" s="459">
        <v>6427.4603400000015</v>
      </c>
      <c r="E52" s="459">
        <v>6710.6748599999992</v>
      </c>
      <c r="F52" s="674">
        <f t="shared" si="0"/>
        <v>2.9438600938920478E-2</v>
      </c>
    </row>
    <row r="53" spans="1:6" ht="10.5" customHeight="1">
      <c r="A53" s="461" t="s">
        <v>446</v>
      </c>
      <c r="B53" s="462"/>
      <c r="C53" s="459">
        <f>+'8. Max Potencia'!D16</f>
        <v>0</v>
      </c>
      <c r="D53" s="459">
        <f>+'8. Max Potencia'!E16</f>
        <v>0</v>
      </c>
      <c r="E53" s="460">
        <v>0</v>
      </c>
      <c r="F53" s="675">
        <v>0</v>
      </c>
    </row>
    <row r="54" spans="1:6" ht="10.5" customHeight="1">
      <c r="A54" s="465" t="s">
        <v>447</v>
      </c>
      <c r="B54" s="466"/>
      <c r="C54" s="459">
        <f>+'8. Max Potencia'!D17</f>
        <v>0</v>
      </c>
      <c r="D54" s="459">
        <f>+'8. Max Potencia'!E17</f>
        <v>0</v>
      </c>
      <c r="E54" s="460">
        <v>0</v>
      </c>
      <c r="F54" s="675">
        <v>0</v>
      </c>
    </row>
    <row r="56" spans="1:6" ht="11.25" customHeight="1">
      <c r="A56" s="469" t="s">
        <v>662</v>
      </c>
    </row>
    <row r="57" spans="1:6" s="828" customFormat="1" ht="11.25" customHeight="1">
      <c r="A57" s="469" t="s">
        <v>755</v>
      </c>
      <c r="B57" s="469"/>
      <c r="C57" s="469"/>
      <c r="D57" s="469"/>
      <c r="E57" s="469"/>
      <c r="F57" s="469"/>
    </row>
    <row r="58" spans="1:6" ht="11.25" customHeight="1">
      <c r="A58" s="469" t="s">
        <v>756</v>
      </c>
    </row>
    <row r="59" spans="1:6" ht="11.25" customHeight="1">
      <c r="A59" s="469" t="s">
        <v>757</v>
      </c>
    </row>
    <row r="60" spans="1:6" ht="11.25" customHeight="1">
      <c r="A60" s="469" t="s">
        <v>758</v>
      </c>
    </row>
    <row r="61" spans="1:6" ht="11.25" customHeight="1">
      <c r="A61" s="469" t="s">
        <v>759</v>
      </c>
    </row>
    <row r="62" spans="1:6" ht="10.5" customHeight="1">
      <c r="A62" s="469" t="s">
        <v>760</v>
      </c>
    </row>
    <row r="63" spans="1:6">
      <c r="A63" s="469" t="s">
        <v>761</v>
      </c>
    </row>
    <row r="64" spans="1:6">
      <c r="A64" s="469" t="s">
        <v>762</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9"/>
  <sheetViews>
    <sheetView showGridLines="0" view="pageBreakPreview" zoomScale="190" zoomScaleNormal="100" zoomScaleSheetLayoutView="190" zoomScalePageLayoutView="145" workbookViewId="0">
      <selection activeCell="Q26" sqref="Q26"/>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507" t="s">
        <v>471</v>
      </c>
      <c r="B3" s="505"/>
    </row>
    <row r="4" spans="1:13" s="50" customFormat="1" ht="11.25" customHeight="1">
      <c r="A4" s="412"/>
      <c r="B4" s="505"/>
    </row>
    <row r="5" spans="1:13" s="50" customFormat="1" ht="11.25" customHeight="1">
      <c r="A5" s="506" t="s">
        <v>774</v>
      </c>
      <c r="C5" s="801" t="s">
        <v>665</v>
      </c>
    </row>
    <row r="6" spans="1:13" s="50" customFormat="1" ht="11.25" customHeight="1">
      <c r="A6" s="506" t="s">
        <v>472</v>
      </c>
      <c r="C6" s="625" t="s">
        <v>666</v>
      </c>
    </row>
    <row r="7" spans="1:13" s="50" customFormat="1" ht="11.25" customHeight="1">
      <c r="A7" s="506" t="s">
        <v>473</v>
      </c>
      <c r="C7" s="626" t="s">
        <v>581</v>
      </c>
    </row>
    <row r="8" spans="1:13" s="50" customFormat="1" ht="11.25" customHeight="1"/>
    <row r="9" spans="1:13" s="50" customFormat="1" ht="14.25" customHeight="1">
      <c r="A9" s="982" t="s">
        <v>464</v>
      </c>
      <c r="B9" s="983" t="s">
        <v>465</v>
      </c>
      <c r="C9" s="983"/>
      <c r="D9" s="983"/>
      <c r="E9" s="983"/>
      <c r="F9" s="983"/>
      <c r="G9" s="983" t="s">
        <v>466</v>
      </c>
      <c r="H9" s="983"/>
      <c r="I9" s="983"/>
      <c r="J9" s="983"/>
      <c r="K9" s="983"/>
    </row>
    <row r="10" spans="1:13" s="50" customFormat="1" ht="26.25" customHeight="1">
      <c r="A10" s="982"/>
      <c r="B10" s="500" t="s">
        <v>467</v>
      </c>
      <c r="C10" s="500" t="s">
        <v>217</v>
      </c>
      <c r="D10" s="500" t="s">
        <v>446</v>
      </c>
      <c r="E10" s="500" t="s">
        <v>447</v>
      </c>
      <c r="F10" s="501" t="s">
        <v>470</v>
      </c>
      <c r="G10" s="500" t="s">
        <v>467</v>
      </c>
      <c r="H10" s="500" t="s">
        <v>217</v>
      </c>
      <c r="I10" s="500" t="s">
        <v>446</v>
      </c>
      <c r="J10" s="500" t="s">
        <v>447</v>
      </c>
      <c r="K10" s="501" t="s">
        <v>470</v>
      </c>
      <c r="L10" s="269"/>
      <c r="M10" s="61"/>
    </row>
    <row r="11" spans="1:13" s="50" customFormat="1" ht="11.25" customHeight="1">
      <c r="A11" s="982"/>
      <c r="B11" s="500" t="s">
        <v>468</v>
      </c>
      <c r="C11" s="500" t="s">
        <v>469</v>
      </c>
      <c r="D11" s="500" t="s">
        <v>469</v>
      </c>
      <c r="E11" s="500" t="s">
        <v>469</v>
      </c>
      <c r="F11" s="500" t="s">
        <v>469</v>
      </c>
      <c r="G11" s="500" t="s">
        <v>468</v>
      </c>
      <c r="H11" s="500" t="s">
        <v>469</v>
      </c>
      <c r="I11" s="500" t="s">
        <v>469</v>
      </c>
      <c r="J11" s="500" t="s">
        <v>469</v>
      </c>
      <c r="K11" s="500" t="s">
        <v>469</v>
      </c>
      <c r="L11" s="269"/>
      <c r="M11" s="61"/>
    </row>
    <row r="12" spans="1:13" s="50" customFormat="1" ht="11.25" customHeight="1">
      <c r="A12" s="622" t="s">
        <v>667</v>
      </c>
      <c r="B12" s="623" t="s">
        <v>582</v>
      </c>
      <c r="C12" s="502">
        <v>5427.9170800000002</v>
      </c>
      <c r="D12" s="502">
        <v>0</v>
      </c>
      <c r="E12" s="502">
        <v>0</v>
      </c>
      <c r="F12" s="502">
        <v>5427.9170800000002</v>
      </c>
      <c r="G12" s="623" t="s">
        <v>580</v>
      </c>
      <c r="H12" s="502">
        <v>6006.96792</v>
      </c>
      <c r="I12" s="502">
        <v>0</v>
      </c>
      <c r="J12" s="502">
        <v>0</v>
      </c>
      <c r="K12" s="502">
        <v>6006.96792</v>
      </c>
      <c r="L12" s="281"/>
      <c r="M12" s="61"/>
    </row>
    <row r="13" spans="1:13" s="50" customFormat="1" ht="11.25" customHeight="1">
      <c r="A13" s="622" t="s">
        <v>668</v>
      </c>
      <c r="B13" s="624" t="s">
        <v>545</v>
      </c>
      <c r="C13" s="503">
        <v>6223.6979099999999</v>
      </c>
      <c r="D13" s="503">
        <v>0</v>
      </c>
      <c r="E13" s="503">
        <v>0</v>
      </c>
      <c r="F13" s="503">
        <v>6223.6979099999999</v>
      </c>
      <c r="G13" s="624" t="s">
        <v>544</v>
      </c>
      <c r="H13" s="503">
        <v>6463.3013099999998</v>
      </c>
      <c r="I13" s="503">
        <v>0</v>
      </c>
      <c r="J13" s="503">
        <v>0</v>
      </c>
      <c r="K13" s="503">
        <v>6463.3013099999998</v>
      </c>
      <c r="L13" s="7"/>
    </row>
    <row r="14" spans="1:13" s="50" customFormat="1" ht="11.25" customHeight="1">
      <c r="A14" s="622" t="s">
        <v>669</v>
      </c>
      <c r="B14" s="624" t="s">
        <v>545</v>
      </c>
      <c r="C14" s="503">
        <v>6460.2047400000001</v>
      </c>
      <c r="D14" s="503">
        <v>0</v>
      </c>
      <c r="E14" s="503">
        <v>0</v>
      </c>
      <c r="F14" s="503">
        <v>6460.2047400000001</v>
      </c>
      <c r="G14" s="624" t="s">
        <v>547</v>
      </c>
      <c r="H14" s="503">
        <v>6504.3225899999998</v>
      </c>
      <c r="I14" s="503">
        <v>0</v>
      </c>
      <c r="J14" s="503">
        <v>0</v>
      </c>
      <c r="K14" s="503">
        <v>6504.3225899999998</v>
      </c>
      <c r="L14" s="20"/>
    </row>
    <row r="15" spans="1:13" s="50" customFormat="1" ht="11.25" customHeight="1">
      <c r="A15" s="622" t="s">
        <v>670</v>
      </c>
      <c r="B15" s="624" t="s">
        <v>540</v>
      </c>
      <c r="C15" s="503">
        <v>6322.28791</v>
      </c>
      <c r="D15" s="503">
        <v>0</v>
      </c>
      <c r="E15" s="503">
        <v>0</v>
      </c>
      <c r="F15" s="503">
        <v>6322.28791</v>
      </c>
      <c r="G15" s="624" t="s">
        <v>581</v>
      </c>
      <c r="H15" s="503">
        <v>6498.8186999999998</v>
      </c>
      <c r="I15" s="503">
        <v>0</v>
      </c>
      <c r="J15" s="503">
        <v>0</v>
      </c>
      <c r="K15" s="503">
        <v>6498.8186999999998</v>
      </c>
      <c r="L15" s="16"/>
    </row>
    <row r="16" spans="1:13" s="50" customFormat="1" ht="11.25" customHeight="1">
      <c r="A16" s="622" t="s">
        <v>671</v>
      </c>
      <c r="B16" s="624" t="s">
        <v>540</v>
      </c>
      <c r="C16" s="503">
        <v>6271.9895999999999</v>
      </c>
      <c r="D16" s="503">
        <v>0</v>
      </c>
      <c r="E16" s="503">
        <v>0</v>
      </c>
      <c r="F16" s="503">
        <v>6271.9895999999999</v>
      </c>
      <c r="G16" s="624" t="s">
        <v>581</v>
      </c>
      <c r="H16" s="503">
        <v>6345.4946099999997</v>
      </c>
      <c r="I16" s="503">
        <v>0</v>
      </c>
      <c r="J16" s="503">
        <v>0</v>
      </c>
      <c r="K16" s="503">
        <v>6345.4946099999997</v>
      </c>
      <c r="L16" s="29"/>
    </row>
    <row r="17" spans="1:12" s="50" customFormat="1" ht="11.25" customHeight="1">
      <c r="A17" s="622" t="s">
        <v>672</v>
      </c>
      <c r="B17" s="624" t="s">
        <v>543</v>
      </c>
      <c r="C17" s="503">
        <v>5600.0635599999996</v>
      </c>
      <c r="D17" s="503">
        <v>0</v>
      </c>
      <c r="E17" s="503">
        <v>0</v>
      </c>
      <c r="F17" s="503">
        <v>5600.0635599999996</v>
      </c>
      <c r="G17" s="624" t="s">
        <v>541</v>
      </c>
      <c r="H17" s="503">
        <v>6341.5205400000004</v>
      </c>
      <c r="I17" s="503">
        <v>0</v>
      </c>
      <c r="J17" s="503">
        <v>0</v>
      </c>
      <c r="K17" s="503">
        <v>6341.5205400000004</v>
      </c>
      <c r="L17" s="29"/>
    </row>
    <row r="18" spans="1:12" s="50" customFormat="1" ht="11.25" customHeight="1">
      <c r="A18" s="622" t="s">
        <v>673</v>
      </c>
      <c r="B18" s="624" t="s">
        <v>674</v>
      </c>
      <c r="C18" s="503">
        <v>6262.8626999999997</v>
      </c>
      <c r="D18" s="503">
        <v>0</v>
      </c>
      <c r="E18" s="503">
        <v>0</v>
      </c>
      <c r="F18" s="503">
        <v>6262.8626999999997</v>
      </c>
      <c r="G18" s="624" t="s">
        <v>581</v>
      </c>
      <c r="H18" s="503">
        <v>6532.00839</v>
      </c>
      <c r="I18" s="503">
        <v>0</v>
      </c>
      <c r="J18" s="503">
        <v>0</v>
      </c>
      <c r="K18" s="503">
        <v>6532.00839</v>
      </c>
      <c r="L18" s="29"/>
    </row>
    <row r="19" spans="1:12" s="50" customFormat="1" ht="11.25" customHeight="1">
      <c r="A19" s="622" t="s">
        <v>666</v>
      </c>
      <c r="B19" s="624" t="s">
        <v>540</v>
      </c>
      <c r="C19" s="504">
        <v>6501.1186100000004</v>
      </c>
      <c r="D19" s="504">
        <v>0</v>
      </c>
      <c r="E19" s="504">
        <v>0</v>
      </c>
      <c r="F19" s="504">
        <v>6501.1186100000004</v>
      </c>
      <c r="G19" s="624" t="s">
        <v>581</v>
      </c>
      <c r="H19" s="504">
        <v>6616.6757799999996</v>
      </c>
      <c r="I19" s="504">
        <v>0</v>
      </c>
      <c r="J19" s="504">
        <v>0</v>
      </c>
      <c r="K19" s="504">
        <v>6616.6757799999996</v>
      </c>
      <c r="L19" s="29"/>
    </row>
    <row r="20" spans="1:12" s="50" customFormat="1" ht="11.25" customHeight="1">
      <c r="A20" s="622" t="s">
        <v>675</v>
      </c>
      <c r="B20" s="624" t="s">
        <v>545</v>
      </c>
      <c r="C20" s="772">
        <v>6446.3798999999999</v>
      </c>
      <c r="D20" s="772">
        <v>0</v>
      </c>
      <c r="E20" s="772">
        <v>0</v>
      </c>
      <c r="F20" s="772">
        <v>6446.3798999999999</v>
      </c>
      <c r="G20" s="773" t="s">
        <v>580</v>
      </c>
      <c r="H20" s="772">
        <v>6586.22901</v>
      </c>
      <c r="I20" s="772">
        <v>0</v>
      </c>
      <c r="J20" s="772">
        <v>0</v>
      </c>
      <c r="K20" s="772">
        <v>6586.22901</v>
      </c>
      <c r="L20" s="31"/>
    </row>
    <row r="21" spans="1:12" s="50" customFormat="1" ht="11.25" customHeight="1">
      <c r="A21" s="622" t="s">
        <v>676</v>
      </c>
      <c r="B21" s="624" t="s">
        <v>674</v>
      </c>
      <c r="C21" s="772">
        <v>6420.0599499999998</v>
      </c>
      <c r="D21" s="772">
        <v>0</v>
      </c>
      <c r="E21" s="772">
        <v>0</v>
      </c>
      <c r="F21" s="772">
        <v>6420.0599499999998</v>
      </c>
      <c r="G21" s="773" t="s">
        <v>581</v>
      </c>
      <c r="H21" s="772">
        <v>6567.9205400000001</v>
      </c>
      <c r="I21" s="772">
        <v>0</v>
      </c>
      <c r="J21" s="772">
        <v>0</v>
      </c>
      <c r="K21" s="772">
        <v>6567.9205400000001</v>
      </c>
      <c r="L21" s="29"/>
    </row>
    <row r="22" spans="1:12" s="50" customFormat="1" ht="11.25" customHeight="1">
      <c r="A22" s="622" t="s">
        <v>677</v>
      </c>
      <c r="B22" s="624" t="s">
        <v>546</v>
      </c>
      <c r="C22" s="772">
        <v>6272.55843</v>
      </c>
      <c r="D22" s="772">
        <v>0</v>
      </c>
      <c r="E22" s="772">
        <v>0</v>
      </c>
      <c r="F22" s="772">
        <v>6272.55843</v>
      </c>
      <c r="G22" s="773" t="s">
        <v>678</v>
      </c>
      <c r="H22" s="772">
        <v>6361.10041</v>
      </c>
      <c r="I22" s="772">
        <v>0</v>
      </c>
      <c r="J22" s="772">
        <v>0</v>
      </c>
      <c r="K22" s="772">
        <v>6361.10041</v>
      </c>
      <c r="L22" s="29"/>
    </row>
    <row r="23" spans="1:12" s="50" customFormat="1" ht="11.25" customHeight="1">
      <c r="A23" s="622" t="s">
        <v>679</v>
      </c>
      <c r="B23" s="624" t="s">
        <v>548</v>
      </c>
      <c r="C23" s="772">
        <v>6143.96173</v>
      </c>
      <c r="D23" s="772">
        <v>0</v>
      </c>
      <c r="E23" s="772">
        <v>0</v>
      </c>
      <c r="F23" s="772">
        <v>6143.96173</v>
      </c>
      <c r="G23" s="773" t="s">
        <v>581</v>
      </c>
      <c r="H23" s="772">
        <v>6329.6867899999997</v>
      </c>
      <c r="I23" s="772">
        <v>0</v>
      </c>
      <c r="J23" s="772">
        <v>0</v>
      </c>
      <c r="K23" s="772">
        <v>6329.6867899999997</v>
      </c>
      <c r="L23" s="29"/>
    </row>
    <row r="24" spans="1:12" s="50" customFormat="1" ht="11.25" customHeight="1">
      <c r="A24" s="622" t="s">
        <v>680</v>
      </c>
      <c r="B24" s="624" t="s">
        <v>582</v>
      </c>
      <c r="C24" s="772">
        <v>5509.0487499999999</v>
      </c>
      <c r="D24" s="772">
        <v>0</v>
      </c>
      <c r="E24" s="772">
        <v>0</v>
      </c>
      <c r="F24" s="772">
        <v>5509.0487499999999</v>
      </c>
      <c r="G24" s="773" t="s">
        <v>580</v>
      </c>
      <c r="H24" s="772">
        <v>5974.0304500000002</v>
      </c>
      <c r="I24" s="772">
        <v>0</v>
      </c>
      <c r="J24" s="772">
        <v>0</v>
      </c>
      <c r="K24" s="772">
        <v>5974.0304500000002</v>
      </c>
      <c r="L24" s="29"/>
    </row>
    <row r="25" spans="1:12" s="50" customFormat="1" ht="11.25" customHeight="1">
      <c r="A25" s="622" t="s">
        <v>681</v>
      </c>
      <c r="B25" s="624" t="s">
        <v>540</v>
      </c>
      <c r="C25" s="772">
        <v>6264.0838999999996</v>
      </c>
      <c r="D25" s="772">
        <v>0</v>
      </c>
      <c r="E25" s="772">
        <v>0</v>
      </c>
      <c r="F25" s="772">
        <v>6264.0838999999996</v>
      </c>
      <c r="G25" s="773" t="s">
        <v>581</v>
      </c>
      <c r="H25" s="772">
        <v>6382.4910900000004</v>
      </c>
      <c r="I25" s="772">
        <v>0</v>
      </c>
      <c r="J25" s="772">
        <v>0</v>
      </c>
      <c r="K25" s="772">
        <v>6382.4910900000004</v>
      </c>
      <c r="L25" s="29"/>
    </row>
    <row r="26" spans="1:12" s="50" customFormat="1" ht="11.25" customHeight="1">
      <c r="A26" s="622" t="s">
        <v>682</v>
      </c>
      <c r="B26" s="624" t="s">
        <v>540</v>
      </c>
      <c r="C26" s="772">
        <v>6407.11319</v>
      </c>
      <c r="D26" s="772">
        <v>0</v>
      </c>
      <c r="E26" s="772">
        <v>0</v>
      </c>
      <c r="F26" s="772">
        <v>6407.11319</v>
      </c>
      <c r="G26" s="773" t="s">
        <v>581</v>
      </c>
      <c r="H26" s="772">
        <v>6543.5600700000005</v>
      </c>
      <c r="I26" s="772">
        <v>0</v>
      </c>
      <c r="J26" s="772">
        <v>0</v>
      </c>
      <c r="K26" s="772">
        <v>6543.5600700000005</v>
      </c>
      <c r="L26" s="29"/>
    </row>
    <row r="27" spans="1:12" s="50" customFormat="1" ht="11.25" customHeight="1">
      <c r="A27" s="622" t="s">
        <v>683</v>
      </c>
      <c r="B27" s="624" t="s">
        <v>684</v>
      </c>
      <c r="C27" s="772">
        <v>6365.2528300000004</v>
      </c>
      <c r="D27" s="772">
        <v>0</v>
      </c>
      <c r="E27" s="772">
        <v>0</v>
      </c>
      <c r="F27" s="772">
        <v>6365.2528300000004</v>
      </c>
      <c r="G27" s="773" t="s">
        <v>547</v>
      </c>
      <c r="H27" s="772">
        <v>6585.4584199999999</v>
      </c>
      <c r="I27" s="772">
        <v>0</v>
      </c>
      <c r="J27" s="772">
        <v>0</v>
      </c>
      <c r="K27" s="772">
        <v>6585.4584199999999</v>
      </c>
      <c r="L27" s="29"/>
    </row>
    <row r="28" spans="1:12" s="50" customFormat="1" ht="11.25" customHeight="1">
      <c r="A28" s="622" t="s">
        <v>685</v>
      </c>
      <c r="B28" s="624" t="s">
        <v>545</v>
      </c>
      <c r="C28" s="772">
        <v>6185.0580499999996</v>
      </c>
      <c r="D28" s="772">
        <v>0</v>
      </c>
      <c r="E28" s="772">
        <v>0</v>
      </c>
      <c r="F28" s="772">
        <v>6185.0580499999996</v>
      </c>
      <c r="G28" s="773" t="s">
        <v>581</v>
      </c>
      <c r="H28" s="772">
        <v>6359.5659100000003</v>
      </c>
      <c r="I28" s="772">
        <v>0</v>
      </c>
      <c r="J28" s="772">
        <v>0</v>
      </c>
      <c r="K28" s="772">
        <v>6359.5659100000003</v>
      </c>
      <c r="L28" s="39"/>
    </row>
    <row r="29" spans="1:12" s="50" customFormat="1" ht="11.25" customHeight="1">
      <c r="A29" s="622" t="s">
        <v>686</v>
      </c>
      <c r="B29" s="624" t="s">
        <v>540</v>
      </c>
      <c r="C29" s="772">
        <v>6257.0746900000004</v>
      </c>
      <c r="D29" s="772">
        <v>0</v>
      </c>
      <c r="E29" s="772">
        <v>0</v>
      </c>
      <c r="F29" s="772">
        <v>6257.0746900000004</v>
      </c>
      <c r="G29" s="773" t="s">
        <v>547</v>
      </c>
      <c r="H29" s="772">
        <v>6411.9427500000002</v>
      </c>
      <c r="I29" s="772">
        <v>0</v>
      </c>
      <c r="J29" s="772">
        <v>0</v>
      </c>
      <c r="K29" s="772">
        <v>6411.9427500000002</v>
      </c>
      <c r="L29" s="29"/>
    </row>
    <row r="30" spans="1:12" s="50" customFormat="1" ht="11.25" customHeight="1">
      <c r="A30" s="622" t="s">
        <v>687</v>
      </c>
      <c r="B30" s="624" t="s">
        <v>540</v>
      </c>
      <c r="C30" s="772">
        <v>6196.5486799999999</v>
      </c>
      <c r="D30" s="772">
        <v>0</v>
      </c>
      <c r="E30" s="772">
        <v>0</v>
      </c>
      <c r="F30" s="772">
        <v>6196.5486799999999</v>
      </c>
      <c r="G30" s="773" t="s">
        <v>581</v>
      </c>
      <c r="H30" s="772">
        <v>6427.0323900000003</v>
      </c>
      <c r="I30" s="772">
        <v>0</v>
      </c>
      <c r="J30" s="772">
        <v>0</v>
      </c>
      <c r="K30" s="772">
        <v>6427.0323900000003</v>
      </c>
      <c r="L30" s="29"/>
    </row>
    <row r="31" spans="1:12" s="50" customFormat="1" ht="11.25" customHeight="1">
      <c r="A31" s="622" t="s">
        <v>688</v>
      </c>
      <c r="B31" s="624" t="s">
        <v>543</v>
      </c>
      <c r="C31" s="772">
        <v>5531.2186700000002</v>
      </c>
      <c r="D31" s="772">
        <v>0</v>
      </c>
      <c r="E31" s="772">
        <v>0</v>
      </c>
      <c r="F31" s="772">
        <v>5531.2186700000002</v>
      </c>
      <c r="G31" s="773" t="s">
        <v>580</v>
      </c>
      <c r="H31" s="772">
        <v>6304.6410999999998</v>
      </c>
      <c r="I31" s="772">
        <v>0</v>
      </c>
      <c r="J31" s="772">
        <v>0</v>
      </c>
      <c r="K31" s="772">
        <v>6304.6410999999998</v>
      </c>
      <c r="L31" s="20"/>
    </row>
    <row r="32" spans="1:12" s="50" customFormat="1" ht="11.25" customHeight="1">
      <c r="A32" s="622" t="s">
        <v>689</v>
      </c>
      <c r="B32" s="624" t="s">
        <v>540</v>
      </c>
      <c r="C32" s="772">
        <v>6286.9815699999999</v>
      </c>
      <c r="D32" s="772">
        <v>0</v>
      </c>
      <c r="E32" s="772">
        <v>0</v>
      </c>
      <c r="F32" s="772">
        <v>6286.9815699999999</v>
      </c>
      <c r="G32" s="773" t="s">
        <v>690</v>
      </c>
      <c r="H32" s="772">
        <v>6443.1296499999999</v>
      </c>
      <c r="I32" s="772">
        <v>0</v>
      </c>
      <c r="J32" s="772">
        <v>0</v>
      </c>
      <c r="K32" s="772">
        <v>6443.1296499999999</v>
      </c>
      <c r="L32" s="22"/>
    </row>
    <row r="33" spans="1:12" s="50" customFormat="1" ht="11.25" customHeight="1">
      <c r="A33" s="622" t="s">
        <v>691</v>
      </c>
      <c r="B33" s="624" t="s">
        <v>674</v>
      </c>
      <c r="C33" s="772">
        <v>6180.1626399999996</v>
      </c>
      <c r="D33" s="772">
        <v>0</v>
      </c>
      <c r="E33" s="772">
        <v>0</v>
      </c>
      <c r="F33" s="772">
        <v>6180.1626399999996</v>
      </c>
      <c r="G33" s="773" t="s">
        <v>581</v>
      </c>
      <c r="H33" s="772">
        <v>6397.5489699999998</v>
      </c>
      <c r="I33" s="772">
        <v>0</v>
      </c>
      <c r="J33" s="772">
        <v>0</v>
      </c>
      <c r="K33" s="772">
        <v>6397.5489699999998</v>
      </c>
      <c r="L33" s="20"/>
    </row>
    <row r="34" spans="1:12" s="50" customFormat="1" ht="11.25" customHeight="1">
      <c r="A34" s="622" t="s">
        <v>692</v>
      </c>
      <c r="B34" s="624" t="s">
        <v>674</v>
      </c>
      <c r="C34" s="772">
        <v>6337.3523599999999</v>
      </c>
      <c r="D34" s="772">
        <v>0</v>
      </c>
      <c r="E34" s="772">
        <v>0</v>
      </c>
      <c r="F34" s="772">
        <v>6337.3523599999999</v>
      </c>
      <c r="G34" s="773" t="s">
        <v>544</v>
      </c>
      <c r="H34" s="772">
        <v>6425.6219000000001</v>
      </c>
      <c r="I34" s="772">
        <v>0</v>
      </c>
      <c r="J34" s="772">
        <v>0</v>
      </c>
      <c r="K34" s="772">
        <v>6425.6219000000001</v>
      </c>
      <c r="L34" s="20"/>
    </row>
    <row r="35" spans="1:12" s="50" customFormat="1" ht="11.25" customHeight="1">
      <c r="A35" s="622" t="s">
        <v>693</v>
      </c>
      <c r="B35" s="624" t="s">
        <v>674</v>
      </c>
      <c r="C35" s="772">
        <v>6296.5800200000003</v>
      </c>
      <c r="D35" s="772">
        <v>0</v>
      </c>
      <c r="E35" s="772">
        <v>0</v>
      </c>
      <c r="F35" s="772">
        <v>6296.5800200000003</v>
      </c>
      <c r="G35" s="773" t="s">
        <v>581</v>
      </c>
      <c r="H35" s="772">
        <v>6403.6444600000004</v>
      </c>
      <c r="I35" s="772">
        <v>0</v>
      </c>
      <c r="J35" s="772">
        <v>0</v>
      </c>
      <c r="K35" s="772">
        <v>6403.6444600000004</v>
      </c>
      <c r="L35" s="29"/>
    </row>
    <row r="36" spans="1:12" s="50" customFormat="1" ht="11.25" customHeight="1">
      <c r="A36" s="622" t="s">
        <v>694</v>
      </c>
      <c r="B36" s="624" t="s">
        <v>545</v>
      </c>
      <c r="C36" s="772">
        <v>6286.3812399999997</v>
      </c>
      <c r="D36" s="772">
        <v>0</v>
      </c>
      <c r="E36" s="772">
        <v>0</v>
      </c>
      <c r="F36" s="772">
        <v>6286.3812399999997</v>
      </c>
      <c r="G36" s="773" t="s">
        <v>581</v>
      </c>
      <c r="H36" s="772">
        <v>6332.0586000000003</v>
      </c>
      <c r="I36" s="772">
        <v>0</v>
      </c>
      <c r="J36" s="772">
        <v>0</v>
      </c>
      <c r="K36" s="772">
        <v>6332.0586000000003</v>
      </c>
      <c r="L36" s="29"/>
    </row>
    <row r="37" spans="1:12" s="50" customFormat="1" ht="11.25" customHeight="1">
      <c r="A37" s="622" t="s">
        <v>695</v>
      </c>
      <c r="B37" s="624" t="s">
        <v>542</v>
      </c>
      <c r="C37" s="503">
        <v>6187.3715199999997</v>
      </c>
      <c r="D37" s="503">
        <v>0</v>
      </c>
      <c r="E37" s="503">
        <v>0</v>
      </c>
      <c r="F37" s="503">
        <v>6187.3715199999997</v>
      </c>
      <c r="G37" s="624" t="s">
        <v>581</v>
      </c>
      <c r="H37" s="503">
        <v>6381.1374500000002</v>
      </c>
      <c r="I37" s="503">
        <v>0</v>
      </c>
      <c r="J37" s="503">
        <v>0</v>
      </c>
      <c r="K37" s="503">
        <v>6381.1374500000002</v>
      </c>
      <c r="L37" s="29"/>
    </row>
    <row r="38" spans="1:12" s="50" customFormat="1" ht="11.25" customHeight="1">
      <c r="A38" s="622" t="s">
        <v>696</v>
      </c>
      <c r="B38" s="624" t="s">
        <v>582</v>
      </c>
      <c r="C38" s="503">
        <v>5559.0586199999998</v>
      </c>
      <c r="D38" s="503">
        <v>0</v>
      </c>
      <c r="E38" s="503">
        <v>0</v>
      </c>
      <c r="F38" s="503">
        <v>5559.0586199999998</v>
      </c>
      <c r="G38" s="624" t="s">
        <v>690</v>
      </c>
      <c r="H38" s="503">
        <v>6277.3495000000003</v>
      </c>
      <c r="I38" s="503">
        <v>0</v>
      </c>
      <c r="J38" s="503">
        <v>0</v>
      </c>
      <c r="K38" s="503">
        <v>6277.3495000000003</v>
      </c>
      <c r="L38" s="29"/>
    </row>
    <row r="39" spans="1:12" s="50" customFormat="1" ht="11.25" customHeight="1">
      <c r="A39" s="622" t="s">
        <v>697</v>
      </c>
      <c r="B39" s="624" t="s">
        <v>674</v>
      </c>
      <c r="C39" s="503">
        <v>6250.06567</v>
      </c>
      <c r="D39" s="503">
        <v>0</v>
      </c>
      <c r="E39" s="503">
        <v>0</v>
      </c>
      <c r="F39" s="503">
        <v>6250.06567</v>
      </c>
      <c r="G39" s="624" t="s">
        <v>547</v>
      </c>
      <c r="H39" s="503">
        <v>6468.7447099999999</v>
      </c>
      <c r="I39" s="503">
        <v>0</v>
      </c>
      <c r="J39" s="503">
        <v>0</v>
      </c>
      <c r="K39" s="503">
        <v>6468.7447099999999</v>
      </c>
      <c r="L39" s="29"/>
    </row>
    <row r="40" spans="1:12" s="50" customFormat="1" ht="11.25" customHeight="1">
      <c r="A40" s="622" t="s">
        <v>698</v>
      </c>
      <c r="B40" s="624" t="s">
        <v>674</v>
      </c>
      <c r="C40" s="503">
        <v>6427.6346299999996</v>
      </c>
      <c r="D40" s="503">
        <v>0</v>
      </c>
      <c r="E40" s="503">
        <v>0</v>
      </c>
      <c r="F40" s="503">
        <v>6427.6346299999996</v>
      </c>
      <c r="G40" s="624" t="s">
        <v>581</v>
      </c>
      <c r="H40" s="503">
        <v>6522.1284299999998</v>
      </c>
      <c r="I40" s="503">
        <v>0</v>
      </c>
      <c r="J40" s="503">
        <v>0</v>
      </c>
      <c r="K40" s="503">
        <v>6522.1284299999998</v>
      </c>
      <c r="L40" s="29"/>
    </row>
    <row r="41" spans="1:12" s="50" customFormat="1" ht="11.25" customHeight="1">
      <c r="A41" s="622" t="s">
        <v>699</v>
      </c>
      <c r="B41" s="624" t="s">
        <v>674</v>
      </c>
      <c r="C41" s="503">
        <v>6373.2802199999996</v>
      </c>
      <c r="D41" s="503">
        <v>0</v>
      </c>
      <c r="E41" s="503">
        <v>0</v>
      </c>
      <c r="F41" s="503">
        <v>6373.2802199999996</v>
      </c>
      <c r="G41" s="624" t="s">
        <v>581</v>
      </c>
      <c r="H41" s="503">
        <v>6472.8296300000002</v>
      </c>
      <c r="I41" s="503">
        <v>0</v>
      </c>
      <c r="J41" s="503">
        <v>0</v>
      </c>
      <c r="K41" s="503">
        <v>6472.8296300000002</v>
      </c>
      <c r="L41" s="29"/>
    </row>
    <row r="42" spans="1:12" s="50" customFormat="1" ht="11.25" customHeight="1">
      <c r="A42" s="622" t="s">
        <v>700</v>
      </c>
      <c r="B42" s="624" t="s">
        <v>674</v>
      </c>
      <c r="C42" s="503">
        <v>6371.8686600000001</v>
      </c>
      <c r="D42" s="503">
        <v>0</v>
      </c>
      <c r="E42" s="503">
        <v>0</v>
      </c>
      <c r="F42" s="503">
        <v>6371.8686600000001</v>
      </c>
      <c r="G42" s="624" t="s">
        <v>547</v>
      </c>
      <c r="H42" s="503">
        <v>6475.61715</v>
      </c>
      <c r="I42" s="503">
        <v>0</v>
      </c>
      <c r="J42" s="503">
        <v>0</v>
      </c>
      <c r="K42" s="503">
        <v>6475.61715</v>
      </c>
      <c r="L42" s="29"/>
    </row>
    <row r="43" spans="1:12" s="50" customFormat="1" ht="11.25" customHeight="1">
      <c r="A43" s="271"/>
      <c r="B43" s="271"/>
      <c r="C43" s="271"/>
      <c r="D43" s="271"/>
      <c r="E43" s="271"/>
      <c r="F43" s="271"/>
      <c r="G43" s="271"/>
      <c r="H43" s="271"/>
      <c r="I43" s="271"/>
      <c r="J43" s="271"/>
      <c r="K43" s="273"/>
      <c r="L43" s="29"/>
    </row>
    <row r="44" spans="1:12" s="50" customFormat="1" ht="11.25" customHeight="1">
      <c r="A44" s="271"/>
      <c r="B44" s="271"/>
      <c r="C44" s="271"/>
      <c r="D44" s="271"/>
      <c r="E44" s="271"/>
      <c r="F44" s="271"/>
      <c r="G44" s="271"/>
      <c r="H44" s="271"/>
      <c r="I44" s="271"/>
      <c r="J44" s="271"/>
      <c r="K44" s="273"/>
      <c r="L44" s="29"/>
    </row>
    <row r="45" spans="1:12" s="50" customFormat="1" ht="11.25" customHeight="1">
      <c r="A45" s="271"/>
      <c r="B45" s="271"/>
      <c r="C45" s="271"/>
      <c r="D45" s="271"/>
      <c r="E45" s="271"/>
      <c r="F45" s="271"/>
      <c r="G45" s="271"/>
      <c r="H45" s="271"/>
      <c r="I45" s="271"/>
      <c r="J45" s="271"/>
      <c r="K45" s="273"/>
      <c r="L45" s="29"/>
    </row>
    <row r="46" spans="1:12" s="50" customFormat="1" ht="11.25" customHeight="1">
      <c r="A46" s="271"/>
      <c r="B46" s="271"/>
      <c r="C46" s="271"/>
      <c r="D46" s="271"/>
      <c r="E46" s="271"/>
      <c r="F46" s="271"/>
      <c r="G46" s="271"/>
      <c r="H46" s="271"/>
      <c r="I46" s="271"/>
      <c r="J46" s="271"/>
      <c r="K46" s="273"/>
      <c r="L46" s="29"/>
    </row>
    <row r="47" spans="1:12" s="50" customFormat="1" ht="11.25" customHeight="1">
      <c r="A47" s="271"/>
      <c r="B47" s="271"/>
      <c r="C47" s="271"/>
      <c r="D47" s="271"/>
      <c r="E47" s="271"/>
      <c r="F47" s="271"/>
      <c r="G47" s="271"/>
      <c r="H47" s="271"/>
      <c r="I47" s="271"/>
      <c r="J47" s="271"/>
      <c r="K47" s="273"/>
      <c r="L47" s="29"/>
    </row>
    <row r="48" spans="1:12" s="50" customFormat="1" ht="11.25" customHeight="1">
      <c r="A48" s="271"/>
      <c r="B48" s="271"/>
      <c r="C48" s="271"/>
      <c r="D48" s="271"/>
      <c r="E48" s="271"/>
      <c r="F48" s="271"/>
      <c r="G48" s="271"/>
      <c r="H48" s="271"/>
      <c r="I48" s="271"/>
      <c r="J48" s="271"/>
      <c r="K48" s="273"/>
      <c r="L48" s="29"/>
    </row>
    <row r="49" spans="1:12" s="50" customFormat="1" ht="11.25" customHeight="1">
      <c r="A49" s="271"/>
      <c r="B49" s="271"/>
      <c r="C49" s="271"/>
      <c r="D49" s="271"/>
      <c r="E49" s="271"/>
      <c r="F49" s="271"/>
      <c r="G49" s="271"/>
      <c r="H49" s="271"/>
      <c r="I49" s="271"/>
      <c r="J49" s="271"/>
      <c r="K49" s="275"/>
      <c r="L49" s="58"/>
    </row>
    <row r="50" spans="1:12" s="50" customFormat="1" ht="11.25" customHeight="1">
      <c r="A50" s="271"/>
      <c r="B50" s="271"/>
      <c r="C50" s="271"/>
      <c r="D50" s="271"/>
      <c r="E50" s="271"/>
      <c r="F50" s="271"/>
      <c r="G50" s="271"/>
      <c r="H50" s="271"/>
      <c r="I50" s="271"/>
      <c r="J50" s="271"/>
      <c r="K50" s="275"/>
      <c r="L50" s="59"/>
    </row>
    <row r="51" spans="1:12" s="50" customFormat="1" ht="11.25" customHeight="1">
      <c r="A51" s="271"/>
      <c r="B51" s="271"/>
      <c r="C51" s="271"/>
      <c r="D51" s="271"/>
      <c r="E51" s="271"/>
      <c r="F51" s="271"/>
      <c r="G51" s="271"/>
      <c r="H51" s="271"/>
      <c r="I51" s="271"/>
      <c r="J51" s="271"/>
      <c r="K51" s="275"/>
      <c r="L51" s="59"/>
    </row>
    <row r="52" spans="1:12" s="50" customFormat="1" ht="11.25" customHeight="1">
      <c r="A52" s="271"/>
      <c r="B52" s="271"/>
      <c r="C52" s="271"/>
      <c r="D52" s="271"/>
      <c r="E52" s="271"/>
      <c r="F52" s="271"/>
      <c r="G52" s="271"/>
      <c r="H52" s="271"/>
      <c r="I52" s="271"/>
      <c r="J52" s="271"/>
      <c r="K52" s="273"/>
    </row>
    <row r="53" spans="1:12" s="50" customFormat="1" ht="11.25" customHeight="1">
      <c r="A53" s="271"/>
      <c r="B53" s="271"/>
      <c r="C53" s="271"/>
      <c r="D53" s="271"/>
      <c r="E53" s="271"/>
      <c r="F53" s="271"/>
      <c r="G53" s="271"/>
      <c r="H53" s="271"/>
      <c r="I53" s="271"/>
      <c r="J53" s="271"/>
      <c r="K53" s="273"/>
    </row>
    <row r="54" spans="1:12" s="50" customFormat="1" ht="12.75">
      <c r="A54" s="271"/>
      <c r="B54" s="271"/>
      <c r="C54" s="271"/>
      <c r="D54" s="271"/>
      <c r="E54" s="271"/>
      <c r="F54" s="271"/>
      <c r="G54" s="271"/>
      <c r="H54" s="271"/>
      <c r="I54" s="271"/>
      <c r="J54" s="271"/>
      <c r="K54" s="273"/>
    </row>
    <row r="55" spans="1:12" s="50" customFormat="1" ht="12.75">
      <c r="A55" s="271"/>
      <c r="B55" s="271"/>
      <c r="C55" s="271"/>
      <c r="D55" s="271"/>
      <c r="E55" s="271"/>
      <c r="F55" s="271"/>
      <c r="G55" s="271"/>
      <c r="H55" s="271"/>
      <c r="I55" s="271"/>
      <c r="J55" s="271"/>
      <c r="K55" s="273"/>
    </row>
    <row r="56" spans="1:12" s="50" customFormat="1" ht="12.75">
      <c r="A56" s="271"/>
      <c r="B56" s="271"/>
      <c r="C56" s="271"/>
      <c r="D56" s="271"/>
      <c r="E56" s="271"/>
      <c r="F56" s="271"/>
      <c r="G56" s="271"/>
      <c r="H56" s="271"/>
      <c r="I56" s="271"/>
      <c r="J56" s="271"/>
      <c r="K56" s="273"/>
    </row>
    <row r="57" spans="1:12" s="50" customFormat="1" ht="12.75">
      <c r="A57" s="271"/>
      <c r="B57" s="271"/>
      <c r="C57" s="271"/>
      <c r="D57" s="271"/>
      <c r="E57" s="271"/>
      <c r="F57" s="271"/>
      <c r="G57" s="271"/>
      <c r="H57" s="271"/>
      <c r="I57" s="271"/>
      <c r="J57" s="271"/>
      <c r="K57" s="273"/>
    </row>
    <row r="58" spans="1:12" s="50" customFormat="1" ht="12.75">
      <c r="A58" s="271"/>
      <c r="B58" s="271"/>
      <c r="C58" s="271"/>
      <c r="D58" s="271"/>
      <c r="E58" s="271"/>
      <c r="F58" s="271"/>
      <c r="G58" s="271"/>
      <c r="H58" s="271"/>
      <c r="I58" s="271"/>
      <c r="J58" s="271"/>
      <c r="K58" s="273"/>
    </row>
    <row r="59" spans="1:12" s="50" customFormat="1" ht="12.75">
      <c r="A59" s="271"/>
      <c r="B59" s="132"/>
      <c r="C59" s="132"/>
      <c r="D59" s="132"/>
      <c r="E59" s="132"/>
      <c r="F59" s="132"/>
      <c r="G59" s="132"/>
      <c r="H59" s="132"/>
      <c r="I59" s="132"/>
      <c r="J59" s="132"/>
      <c r="K59" s="273"/>
    </row>
    <row r="60" spans="1:12" s="50" customFormat="1" ht="12.75">
      <c r="A60" s="271"/>
      <c r="B60" s="132"/>
      <c r="C60" s="132"/>
      <c r="D60" s="132"/>
      <c r="E60" s="132"/>
      <c r="F60" s="132"/>
      <c r="G60" s="132"/>
      <c r="H60" s="132"/>
      <c r="I60" s="132"/>
      <c r="J60" s="132"/>
      <c r="K60" s="273"/>
    </row>
    <row r="61" spans="1:12" s="50" customFormat="1" ht="12.75">
      <c r="A61" s="271"/>
      <c r="B61" s="132"/>
      <c r="C61" s="132"/>
      <c r="D61" s="132"/>
      <c r="E61" s="132"/>
      <c r="F61" s="132"/>
      <c r="G61" s="132"/>
      <c r="H61" s="132"/>
      <c r="I61" s="132"/>
      <c r="J61" s="132"/>
      <c r="K61" s="273"/>
    </row>
    <row r="62" spans="1:12" s="50" customFormat="1" ht="12.75">
      <c r="A62" s="271"/>
      <c r="B62" s="132"/>
      <c r="C62" s="132"/>
      <c r="D62" s="132"/>
      <c r="E62" s="132"/>
      <c r="F62" s="132"/>
      <c r="G62" s="132"/>
      <c r="H62" s="132"/>
      <c r="I62" s="132"/>
      <c r="J62" s="132"/>
      <c r="K62" s="273"/>
    </row>
    <row r="63" spans="1:12" s="50" customFormat="1" ht="12.75">
      <c r="A63" s="271"/>
      <c r="B63" s="132"/>
      <c r="C63" s="132"/>
      <c r="D63" s="132"/>
      <c r="E63" s="132"/>
      <c r="F63" s="132"/>
      <c r="G63" s="132"/>
      <c r="H63" s="132"/>
      <c r="I63" s="132"/>
      <c r="J63" s="132"/>
      <c r="K63" s="273"/>
    </row>
    <row r="64" spans="1:12" s="50" customFormat="1" ht="12.75">
      <c r="A64" s="271"/>
      <c r="B64" s="272"/>
      <c r="C64" s="272"/>
      <c r="D64" s="272"/>
      <c r="E64" s="272"/>
      <c r="F64" s="272"/>
      <c r="G64" s="272"/>
      <c r="H64" s="272"/>
      <c r="I64" s="272"/>
      <c r="J64" s="272"/>
      <c r="K64" s="273"/>
    </row>
    <row r="65" spans="1:11" s="50" customFormat="1" ht="12.75">
      <c r="A65" s="271"/>
      <c r="B65" s="272"/>
      <c r="C65" s="272"/>
      <c r="D65" s="272"/>
      <c r="E65" s="272"/>
      <c r="F65" s="272"/>
      <c r="G65" s="272"/>
      <c r="H65" s="272"/>
      <c r="I65" s="272"/>
      <c r="J65" s="272"/>
      <c r="K65" s="273"/>
    </row>
    <row r="66" spans="1:11" s="50" customFormat="1" ht="12.75">
      <c r="A66" s="271"/>
      <c r="B66" s="276"/>
      <c r="C66" s="273"/>
      <c r="D66" s="273"/>
      <c r="E66" s="273"/>
      <c r="F66" s="273"/>
      <c r="G66" s="272"/>
      <c r="H66" s="272"/>
      <c r="I66" s="272"/>
      <c r="J66" s="272"/>
      <c r="K66" s="273"/>
    </row>
    <row r="67" spans="1:11" s="50" customFormat="1" ht="12.75">
      <c r="A67" s="277"/>
      <c r="B67" s="278"/>
      <c r="C67" s="278"/>
      <c r="D67" s="278"/>
      <c r="E67" s="278"/>
      <c r="F67" s="278"/>
      <c r="G67" s="278"/>
      <c r="H67" s="272"/>
      <c r="I67" s="272"/>
      <c r="J67" s="272"/>
      <c r="K67" s="273"/>
    </row>
    <row r="68" spans="1:11" s="50" customFormat="1" ht="12.75">
      <c r="A68" s="277"/>
      <c r="B68" s="278"/>
      <c r="C68" s="278"/>
      <c r="D68" s="278"/>
      <c r="E68" s="278"/>
      <c r="F68" s="278"/>
      <c r="G68" s="278"/>
      <c r="H68" s="272"/>
      <c r="I68" s="272"/>
      <c r="J68" s="272"/>
      <c r="K68" s="272"/>
    </row>
    <row r="69" spans="1:11" s="50" customFormat="1" ht="12.75">
      <c r="A69" s="277"/>
      <c r="B69" s="278"/>
      <c r="C69" s="278"/>
      <c r="D69" s="278"/>
      <c r="E69" s="278"/>
      <c r="F69" s="278"/>
      <c r="G69" s="278"/>
      <c r="H69" s="272"/>
      <c r="I69" s="272"/>
      <c r="J69" s="272"/>
      <c r="K69" s="272"/>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1"/>
  <sheetViews>
    <sheetView showGridLines="0" view="pageBreakPreview" zoomScale="145" zoomScaleNormal="100" zoomScaleSheetLayoutView="145" zoomScalePageLayoutView="130" workbookViewId="0">
      <selection activeCell="Q26" sqref="Q26"/>
    </sheetView>
  </sheetViews>
  <sheetFormatPr defaultRowHeight="9"/>
  <cols>
    <col min="1" max="1" width="16.1640625" style="510" customWidth="1"/>
    <col min="2" max="2" width="19.6640625" style="510" customWidth="1"/>
    <col min="3" max="3" width="12.16406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11.25" customHeight="1">
      <c r="A1" s="508" t="s">
        <v>474</v>
      </c>
      <c r="B1" s="509"/>
      <c r="C1" s="509"/>
      <c r="D1" s="509"/>
      <c r="E1" s="509"/>
      <c r="F1" s="509"/>
    </row>
    <row r="2" spans="1:9" s="510" customFormat="1" ht="30" customHeight="1">
      <c r="A2" s="521" t="s">
        <v>291</v>
      </c>
      <c r="B2" s="522" t="s">
        <v>475</v>
      </c>
      <c r="C2" s="521" t="s">
        <v>464</v>
      </c>
      <c r="D2" s="523" t="s">
        <v>476</v>
      </c>
      <c r="E2" s="524" t="s">
        <v>477</v>
      </c>
      <c r="F2" s="524" t="s">
        <v>478</v>
      </c>
      <c r="G2" s="476"/>
      <c r="H2" s="511"/>
      <c r="I2" s="474"/>
    </row>
    <row r="3" spans="1:9" s="510" customFormat="1" ht="113.25" customHeight="1">
      <c r="A3" s="678" t="s">
        <v>488</v>
      </c>
      <c r="B3" s="678" t="s">
        <v>491</v>
      </c>
      <c r="C3" s="679">
        <v>43221.759722222225</v>
      </c>
      <c r="D3" s="680" t="s">
        <v>593</v>
      </c>
      <c r="E3" s="681">
        <v>10.62</v>
      </c>
      <c r="F3" s="681">
        <v>0.43</v>
      </c>
      <c r="H3" s="476"/>
      <c r="I3" s="474"/>
    </row>
    <row r="4" spans="1:9" s="510" customFormat="1" ht="82.5" customHeight="1">
      <c r="A4" s="682" t="s">
        <v>489</v>
      </c>
      <c r="B4" s="682" t="s">
        <v>594</v>
      </c>
      <c r="C4" s="683">
        <v>43222.542361111111</v>
      </c>
      <c r="D4" s="684" t="s">
        <v>595</v>
      </c>
      <c r="E4" s="685">
        <v>7.26</v>
      </c>
      <c r="F4" s="685"/>
      <c r="G4" s="475"/>
      <c r="H4" s="475"/>
      <c r="I4" s="512"/>
    </row>
    <row r="5" spans="1:9" s="510" customFormat="1" ht="147" customHeight="1">
      <c r="A5" s="682" t="s">
        <v>575</v>
      </c>
      <c r="B5" s="682" t="s">
        <v>596</v>
      </c>
      <c r="C5" s="683">
        <v>43222.626388888886</v>
      </c>
      <c r="D5" s="684" t="s">
        <v>597</v>
      </c>
      <c r="E5" s="685">
        <v>22.55</v>
      </c>
      <c r="F5" s="685"/>
      <c r="G5" s="475"/>
      <c r="H5" s="475"/>
      <c r="I5" s="513"/>
    </row>
    <row r="6" spans="1:9" s="510" customFormat="1" ht="77.25" customHeight="1">
      <c r="A6" s="682" t="s">
        <v>490</v>
      </c>
      <c r="B6" s="682" t="s">
        <v>598</v>
      </c>
      <c r="C6" s="683">
        <v>43222.772222222222</v>
      </c>
      <c r="D6" s="684" t="s">
        <v>599</v>
      </c>
      <c r="E6" s="685">
        <v>31.29</v>
      </c>
      <c r="F6" s="685"/>
      <c r="G6" s="475"/>
      <c r="H6" s="475"/>
      <c r="I6" s="514"/>
    </row>
    <row r="7" spans="1:9" s="510" customFormat="1" ht="183" customHeight="1">
      <c r="A7" s="682" t="s">
        <v>479</v>
      </c>
      <c r="B7" s="682" t="s">
        <v>600</v>
      </c>
      <c r="C7" s="683">
        <v>43223.334722222222</v>
      </c>
      <c r="D7" s="684" t="s">
        <v>601</v>
      </c>
      <c r="E7" s="685"/>
      <c r="F7" s="685">
        <v>15.74</v>
      </c>
      <c r="G7" s="475"/>
      <c r="H7" s="475"/>
      <c r="I7" s="515"/>
    </row>
    <row r="8" spans="1:9" s="510" customFormat="1" ht="95.25" customHeight="1">
      <c r="A8" s="682" t="s">
        <v>575</v>
      </c>
      <c r="B8" s="682" t="s">
        <v>602</v>
      </c>
      <c r="C8" s="683">
        <v>43223.537499999999</v>
      </c>
      <c r="D8" s="684" t="s">
        <v>603</v>
      </c>
      <c r="E8" s="685">
        <v>21.06</v>
      </c>
      <c r="F8" s="685"/>
      <c r="G8" s="475"/>
      <c r="H8" s="475"/>
      <c r="I8" s="514"/>
    </row>
    <row r="9" spans="1:9">
      <c r="E9" s="520"/>
      <c r="F9" s="520"/>
    </row>
    <row r="10" spans="1:9">
      <c r="E10" s="520"/>
      <c r="F10" s="520"/>
    </row>
    <row r="11" spans="1:9">
      <c r="E11" s="520"/>
      <c r="F11" s="520"/>
    </row>
    <row r="12" spans="1:9">
      <c r="E12" s="520"/>
      <c r="F12" s="520"/>
    </row>
    <row r="13" spans="1:9">
      <c r="E13" s="520"/>
      <c r="F13" s="520"/>
    </row>
    <row r="14" spans="1:9">
      <c r="E14" s="520"/>
      <c r="F14" s="520"/>
    </row>
    <row r="15" spans="1:9">
      <c r="E15" s="520"/>
      <c r="F15" s="520"/>
    </row>
    <row r="16" spans="1:9">
      <c r="E16" s="520"/>
      <c r="F16" s="520"/>
    </row>
    <row r="17" spans="5:6">
      <c r="E17" s="520"/>
      <c r="F17" s="520"/>
    </row>
    <row r="18" spans="5:6">
      <c r="E18" s="520"/>
      <c r="F18" s="520"/>
    </row>
    <row r="19" spans="5:6">
      <c r="E19" s="520"/>
      <c r="F19" s="520"/>
    </row>
    <row r="20" spans="5:6">
      <c r="E20" s="520"/>
      <c r="F20" s="520"/>
    </row>
    <row r="21" spans="5:6">
      <c r="E21" s="520"/>
      <c r="F21" s="520"/>
    </row>
    <row r="22" spans="5:6">
      <c r="E22" s="520"/>
      <c r="F22" s="520"/>
    </row>
    <row r="23" spans="5:6">
      <c r="E23" s="520"/>
      <c r="F23" s="520"/>
    </row>
    <row r="24" spans="5:6">
      <c r="E24" s="520"/>
      <c r="F24" s="520"/>
    </row>
    <row r="25" spans="5:6">
      <c r="E25" s="520"/>
      <c r="F25" s="520"/>
    </row>
    <row r="26" spans="5:6">
      <c r="E26" s="520"/>
      <c r="F26" s="520"/>
    </row>
    <row r="27" spans="5:6">
      <c r="E27" s="520"/>
      <c r="F27" s="520"/>
    </row>
    <row r="28" spans="5:6">
      <c r="E28" s="520"/>
      <c r="F28" s="520"/>
    </row>
    <row r="29" spans="5:6">
      <c r="E29" s="520"/>
      <c r="F29" s="520"/>
    </row>
    <row r="30" spans="5:6">
      <c r="E30" s="520"/>
      <c r="F30" s="520"/>
    </row>
    <row r="31" spans="5:6">
      <c r="E31" s="520"/>
      <c r="F31" s="520"/>
    </row>
    <row r="32" spans="5:6">
      <c r="E32" s="520"/>
      <c r="F32" s="520"/>
    </row>
    <row r="33" spans="5:6">
      <c r="E33" s="520"/>
      <c r="F33" s="520"/>
    </row>
    <row r="34" spans="5:6">
      <c r="E34" s="520"/>
      <c r="F34" s="520"/>
    </row>
    <row r="35" spans="5:6">
      <c r="E35" s="520"/>
      <c r="F35" s="520"/>
    </row>
    <row r="36" spans="5:6">
      <c r="E36" s="520"/>
      <c r="F36" s="520"/>
    </row>
    <row r="37" spans="5:6">
      <c r="E37" s="520"/>
      <c r="F37" s="520"/>
    </row>
    <row r="38" spans="5:6">
      <c r="E38" s="520"/>
      <c r="F38" s="520"/>
    </row>
    <row r="39" spans="5:6">
      <c r="E39" s="520"/>
      <c r="F39" s="520"/>
    </row>
    <row r="40" spans="5:6">
      <c r="E40" s="520"/>
      <c r="F40" s="520"/>
    </row>
    <row r="41" spans="5:6">
      <c r="E41" s="520"/>
      <c r="F41" s="520"/>
    </row>
    <row r="42" spans="5:6">
      <c r="E42" s="520"/>
      <c r="F42" s="520"/>
    </row>
    <row r="43" spans="5:6">
      <c r="E43" s="520"/>
      <c r="F43" s="520"/>
    </row>
    <row r="44" spans="5:6">
      <c r="E44" s="520"/>
      <c r="F44" s="520"/>
    </row>
    <row r="45" spans="5:6">
      <c r="E45" s="520"/>
      <c r="F45" s="520"/>
    </row>
    <row r="46" spans="5:6">
      <c r="E46" s="520"/>
      <c r="F46" s="520"/>
    </row>
    <row r="47" spans="5:6">
      <c r="E47" s="520"/>
      <c r="F47" s="520"/>
    </row>
    <row r="48" spans="5:6">
      <c r="E48" s="520"/>
      <c r="F48" s="520"/>
    </row>
    <row r="49" spans="5:6">
      <c r="E49" s="520"/>
      <c r="F49" s="520"/>
    </row>
    <row r="50" spans="5:6">
      <c r="E50" s="520"/>
      <c r="F50" s="520"/>
    </row>
    <row r="51" spans="5:6">
      <c r="E51" s="520"/>
      <c r="F51" s="520"/>
    </row>
    <row r="52" spans="5:6">
      <c r="E52" s="520"/>
      <c r="F52" s="520"/>
    </row>
    <row r="53" spans="5:6">
      <c r="E53" s="520"/>
      <c r="F53" s="520"/>
    </row>
    <row r="54" spans="5:6">
      <c r="E54" s="520"/>
      <c r="F54" s="520"/>
    </row>
    <row r="55" spans="5:6">
      <c r="E55" s="520"/>
      <c r="F55" s="520"/>
    </row>
    <row r="56" spans="5:6">
      <c r="E56" s="520"/>
      <c r="F56" s="520"/>
    </row>
    <row r="57" spans="5:6">
      <c r="E57" s="520"/>
      <c r="F57" s="520"/>
    </row>
    <row r="58" spans="5:6">
      <c r="E58" s="520"/>
      <c r="F58" s="520"/>
    </row>
    <row r="59" spans="5:6">
      <c r="E59" s="520"/>
      <c r="F59" s="520"/>
    </row>
    <row r="60" spans="5:6">
      <c r="E60" s="520"/>
      <c r="F60" s="520"/>
    </row>
    <row r="61" spans="5:6">
      <c r="E61" s="520"/>
      <c r="F61" s="520"/>
    </row>
    <row r="62" spans="5:6">
      <c r="E62" s="520"/>
      <c r="F62" s="520"/>
    </row>
    <row r="63" spans="5:6">
      <c r="E63" s="520"/>
      <c r="F63" s="520"/>
    </row>
    <row r="64" spans="5:6">
      <c r="E64" s="520"/>
      <c r="F64" s="520"/>
    </row>
    <row r="65" spans="5:6">
      <c r="E65" s="520"/>
      <c r="F65" s="520"/>
    </row>
    <row r="66" spans="5:6">
      <c r="E66" s="520"/>
      <c r="F66" s="520"/>
    </row>
    <row r="67" spans="5:6">
      <c r="E67" s="520"/>
      <c r="F67" s="520"/>
    </row>
    <row r="68" spans="5:6">
      <c r="E68" s="520"/>
      <c r="F68" s="520"/>
    </row>
    <row r="69" spans="5:6">
      <c r="E69" s="520"/>
      <c r="F69" s="520"/>
    </row>
    <row r="70" spans="5:6">
      <c r="E70" s="520"/>
      <c r="F70" s="520"/>
    </row>
    <row r="71" spans="5:6">
      <c r="E71" s="520"/>
      <c r="F71" s="520"/>
    </row>
    <row r="72" spans="5:6">
      <c r="E72" s="520"/>
      <c r="F72" s="520"/>
    </row>
    <row r="73" spans="5:6">
      <c r="E73" s="520"/>
      <c r="F73" s="520"/>
    </row>
    <row r="74" spans="5:6">
      <c r="E74" s="520"/>
      <c r="F74" s="520"/>
    </row>
    <row r="75" spans="5:6">
      <c r="E75" s="520"/>
      <c r="F75" s="520"/>
    </row>
    <row r="76" spans="5:6">
      <c r="E76" s="520"/>
      <c r="F76" s="520"/>
    </row>
    <row r="77" spans="5:6">
      <c r="E77" s="520"/>
      <c r="F77" s="520"/>
    </row>
    <row r="78" spans="5:6">
      <c r="E78" s="520"/>
      <c r="F78" s="520"/>
    </row>
    <row r="79" spans="5:6">
      <c r="E79" s="520"/>
      <c r="F79" s="520"/>
    </row>
    <row r="80" spans="5:6">
      <c r="E80" s="520"/>
      <c r="F80" s="520"/>
    </row>
    <row r="81" spans="5:6">
      <c r="E81" s="520"/>
      <c r="F81" s="520"/>
    </row>
    <row r="82" spans="5:6">
      <c r="E82" s="520"/>
      <c r="F82" s="520"/>
    </row>
    <row r="83" spans="5:6">
      <c r="E83" s="520"/>
      <c r="F83" s="520"/>
    </row>
    <row r="84" spans="5:6">
      <c r="E84" s="520"/>
      <c r="F84" s="520"/>
    </row>
    <row r="85" spans="5:6">
      <c r="E85" s="520"/>
      <c r="F85" s="520"/>
    </row>
    <row r="86" spans="5:6">
      <c r="E86" s="520"/>
      <c r="F86" s="520"/>
    </row>
    <row r="87" spans="5:6">
      <c r="E87" s="520"/>
      <c r="F87" s="520"/>
    </row>
    <row r="88" spans="5:6">
      <c r="E88" s="520"/>
      <c r="F88" s="520"/>
    </row>
    <row r="89" spans="5:6">
      <c r="E89" s="520"/>
      <c r="F89" s="520"/>
    </row>
    <row r="90" spans="5:6">
      <c r="E90" s="520"/>
      <c r="F90" s="520"/>
    </row>
    <row r="91" spans="5:6">
      <c r="E91" s="520"/>
      <c r="F91" s="520"/>
    </row>
    <row r="92" spans="5:6">
      <c r="E92" s="520"/>
      <c r="F92" s="520"/>
    </row>
    <row r="93" spans="5:6">
      <c r="E93" s="520"/>
      <c r="F93" s="520"/>
    </row>
    <row r="94" spans="5:6">
      <c r="E94" s="520"/>
      <c r="F94" s="520"/>
    </row>
    <row r="95" spans="5:6">
      <c r="E95" s="520"/>
      <c r="F95" s="520"/>
    </row>
    <row r="96" spans="5:6">
      <c r="E96" s="520"/>
      <c r="F96" s="520"/>
    </row>
    <row r="97" spans="5:6">
      <c r="E97" s="520"/>
      <c r="F97" s="520"/>
    </row>
    <row r="98" spans="5:6">
      <c r="E98" s="520"/>
      <c r="F98" s="520"/>
    </row>
    <row r="99" spans="5:6">
      <c r="E99" s="520"/>
      <c r="F99" s="520"/>
    </row>
    <row r="100" spans="5:6">
      <c r="E100" s="520"/>
      <c r="F100" s="520"/>
    </row>
    <row r="101" spans="5:6">
      <c r="E101" s="520"/>
      <c r="F101" s="520"/>
    </row>
    <row r="102" spans="5:6">
      <c r="E102" s="520"/>
      <c r="F102" s="520"/>
    </row>
    <row r="103" spans="5:6">
      <c r="E103" s="520"/>
      <c r="F103" s="520"/>
    </row>
    <row r="104" spans="5:6">
      <c r="E104" s="520"/>
      <c r="F104" s="520"/>
    </row>
    <row r="105" spans="5:6">
      <c r="E105" s="520"/>
      <c r="F105" s="520"/>
    </row>
    <row r="106" spans="5:6">
      <c r="E106" s="520"/>
      <c r="F106" s="520"/>
    </row>
    <row r="107" spans="5:6">
      <c r="E107" s="520"/>
      <c r="F107" s="520"/>
    </row>
    <row r="108" spans="5:6">
      <c r="E108" s="520"/>
      <c r="F108" s="520"/>
    </row>
    <row r="109" spans="5:6">
      <c r="E109" s="520"/>
      <c r="F109" s="520"/>
    </row>
    <row r="110" spans="5:6">
      <c r="E110" s="520"/>
      <c r="F110" s="520"/>
    </row>
    <row r="111" spans="5:6">
      <c r="E111" s="520"/>
      <c r="F111" s="520"/>
    </row>
    <row r="112" spans="5:6">
      <c r="E112" s="520"/>
      <c r="F112" s="520"/>
    </row>
    <row r="113" spans="5:6">
      <c r="E113" s="520"/>
      <c r="F113" s="520"/>
    </row>
    <row r="114" spans="5:6">
      <c r="E114" s="520"/>
      <c r="F114" s="520"/>
    </row>
    <row r="115" spans="5:6">
      <c r="E115" s="520"/>
      <c r="F115" s="520"/>
    </row>
    <row r="116" spans="5:6">
      <c r="E116" s="520"/>
      <c r="F116" s="520"/>
    </row>
    <row r="117" spans="5:6">
      <c r="E117" s="520"/>
      <c r="F117" s="520"/>
    </row>
    <row r="118" spans="5:6">
      <c r="E118" s="520"/>
      <c r="F118" s="520"/>
    </row>
    <row r="119" spans="5:6">
      <c r="E119" s="520"/>
      <c r="F119" s="520"/>
    </row>
    <row r="120" spans="5:6">
      <c r="E120" s="520"/>
      <c r="F120" s="520"/>
    </row>
    <row r="121" spans="5:6">
      <c r="E121" s="520"/>
      <c r="F121" s="520"/>
    </row>
    <row r="122" spans="5:6">
      <c r="E122" s="520"/>
      <c r="F122" s="520"/>
    </row>
    <row r="123" spans="5:6">
      <c r="E123" s="520"/>
      <c r="F123" s="520"/>
    </row>
    <row r="124" spans="5:6">
      <c r="E124" s="520"/>
      <c r="F124" s="520"/>
    </row>
    <row r="125" spans="5:6">
      <c r="E125" s="520"/>
      <c r="F125" s="520"/>
    </row>
    <row r="126" spans="5:6">
      <c r="E126" s="520"/>
      <c r="F126" s="520"/>
    </row>
    <row r="127" spans="5:6">
      <c r="E127" s="520"/>
      <c r="F127" s="520"/>
    </row>
    <row r="128" spans="5:6">
      <c r="E128" s="520"/>
      <c r="F128" s="520"/>
    </row>
    <row r="129" spans="5:6">
      <c r="E129" s="520"/>
      <c r="F129" s="520"/>
    </row>
    <row r="130" spans="5:6">
      <c r="E130" s="520"/>
      <c r="F130" s="520"/>
    </row>
    <row r="131" spans="5:6">
      <c r="E131" s="520"/>
      <c r="F131" s="520"/>
    </row>
    <row r="132" spans="5:6">
      <c r="E132" s="520"/>
      <c r="F132" s="520"/>
    </row>
    <row r="133" spans="5:6">
      <c r="E133" s="520"/>
      <c r="F133" s="520"/>
    </row>
    <row r="134" spans="5:6">
      <c r="E134" s="520"/>
      <c r="F134" s="520"/>
    </row>
    <row r="135" spans="5:6">
      <c r="E135" s="520"/>
      <c r="F135" s="520"/>
    </row>
    <row r="136" spans="5:6">
      <c r="E136" s="520"/>
      <c r="F136" s="520"/>
    </row>
    <row r="137" spans="5:6">
      <c r="E137" s="520"/>
      <c r="F137" s="520"/>
    </row>
    <row r="138" spans="5:6">
      <c r="E138" s="520"/>
      <c r="F138" s="520"/>
    </row>
    <row r="139" spans="5:6">
      <c r="E139" s="520"/>
      <c r="F139" s="520"/>
    </row>
    <row r="140" spans="5:6">
      <c r="E140" s="520"/>
      <c r="F140" s="520"/>
    </row>
    <row r="141" spans="5:6">
      <c r="E141" s="520"/>
      <c r="F141" s="520"/>
    </row>
    <row r="142" spans="5:6">
      <c r="E142" s="520"/>
      <c r="F142" s="520"/>
    </row>
    <row r="143" spans="5:6">
      <c r="E143" s="520"/>
      <c r="F143" s="520"/>
    </row>
    <row r="144" spans="5:6">
      <c r="E144" s="520"/>
      <c r="F144" s="520"/>
    </row>
    <row r="145" spans="5:6">
      <c r="E145" s="520"/>
      <c r="F145" s="520"/>
    </row>
    <row r="146" spans="5:6">
      <c r="E146" s="520"/>
      <c r="F146" s="520"/>
    </row>
    <row r="147" spans="5:6">
      <c r="E147" s="520"/>
      <c r="F147" s="520"/>
    </row>
    <row r="148" spans="5:6">
      <c r="E148" s="520"/>
      <c r="F148" s="520"/>
    </row>
    <row r="149" spans="5:6">
      <c r="E149" s="520"/>
      <c r="F149" s="520"/>
    </row>
    <row r="150" spans="5:6">
      <c r="E150" s="520"/>
      <c r="F150" s="520"/>
    </row>
    <row r="151" spans="5:6">
      <c r="E151" s="520"/>
      <c r="F151" s="520"/>
    </row>
    <row r="152" spans="5:6">
      <c r="E152" s="520"/>
      <c r="F152" s="520"/>
    </row>
    <row r="153" spans="5:6">
      <c r="E153" s="520"/>
      <c r="F153" s="520"/>
    </row>
    <row r="154" spans="5:6">
      <c r="E154" s="520"/>
      <c r="F154" s="520"/>
    </row>
    <row r="155" spans="5:6">
      <c r="E155" s="520"/>
      <c r="F155" s="520"/>
    </row>
    <row r="156" spans="5:6">
      <c r="E156" s="520"/>
      <c r="F156" s="520"/>
    </row>
    <row r="157" spans="5:6">
      <c r="E157" s="520"/>
      <c r="F157" s="520"/>
    </row>
    <row r="158" spans="5:6">
      <c r="E158" s="520"/>
      <c r="F158" s="520"/>
    </row>
    <row r="159" spans="5:6">
      <c r="E159" s="520"/>
      <c r="F159" s="520"/>
    </row>
    <row r="160" spans="5:6">
      <c r="E160" s="520"/>
      <c r="F160" s="520"/>
    </row>
    <row r="161" spans="5:6">
      <c r="E161" s="520"/>
      <c r="F161" s="520"/>
    </row>
  </sheetData>
  <pageMargins left="0.7" right="0.51432291666666663" top="0.86956521739130432" bottom="0.61458333333333337" header="0.3" footer="0.3"/>
  <pageSetup orientation="portrait" r:id="rId1"/>
  <headerFooter>
    <oddHeader>&amp;R&amp;7Informe de la Operación Mensual - Mayo 2018
INFSGI-MES-05-2018
07/06/2018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7"/>
  <sheetViews>
    <sheetView showGridLines="0" view="pageBreakPreview" zoomScale="145" zoomScaleNormal="100" zoomScaleSheetLayoutView="145" zoomScalePageLayoutView="145" workbookViewId="0">
      <selection activeCell="Q26" sqref="Q26"/>
    </sheetView>
  </sheetViews>
  <sheetFormatPr defaultRowHeight="9"/>
  <cols>
    <col min="1" max="1" width="16.1640625" style="510" customWidth="1"/>
    <col min="2" max="2" width="19.6640625" style="510" customWidth="1"/>
    <col min="3" max="3" width="12.16406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60" customHeight="1">
      <c r="A2" s="525" t="s">
        <v>484</v>
      </c>
      <c r="B2" s="525" t="s">
        <v>485</v>
      </c>
      <c r="C2" s="526">
        <v>43223.749305555553</v>
      </c>
      <c r="D2" s="684" t="s">
        <v>659</v>
      </c>
      <c r="E2" s="527">
        <v>5.46</v>
      </c>
      <c r="F2" s="527"/>
      <c r="G2" s="475"/>
      <c r="H2" s="475"/>
      <c r="I2" s="514"/>
    </row>
    <row r="3" spans="1:9" s="510" customFormat="1" ht="77.25" customHeight="1">
      <c r="A3" s="525" t="s">
        <v>490</v>
      </c>
      <c r="B3" s="525" t="s">
        <v>598</v>
      </c>
      <c r="C3" s="526">
        <v>43223.774305555555</v>
      </c>
      <c r="D3" s="684" t="s">
        <v>604</v>
      </c>
      <c r="E3" s="527">
        <v>31.67</v>
      </c>
      <c r="F3" s="527"/>
      <c r="G3" s="475"/>
      <c r="H3" s="475"/>
      <c r="I3" s="514"/>
    </row>
    <row r="4" spans="1:9" s="510" customFormat="1" ht="67.5" customHeight="1">
      <c r="A4" s="525" t="s">
        <v>486</v>
      </c>
      <c r="B4" s="525" t="s">
        <v>605</v>
      </c>
      <c r="C4" s="526">
        <v>43223.774305555555</v>
      </c>
      <c r="D4" s="684" t="s">
        <v>606</v>
      </c>
      <c r="E4" s="527">
        <v>5.21</v>
      </c>
      <c r="F4" s="527"/>
      <c r="G4" s="475"/>
      <c r="H4" s="475"/>
      <c r="I4" s="514"/>
    </row>
    <row r="5" spans="1:9" s="510" customFormat="1" ht="66" customHeight="1">
      <c r="A5" s="525" t="s">
        <v>480</v>
      </c>
      <c r="B5" s="525" t="s">
        <v>481</v>
      </c>
      <c r="C5" s="526">
        <v>43225.622916666667</v>
      </c>
      <c r="D5" s="684" t="s">
        <v>607</v>
      </c>
      <c r="E5" s="527">
        <v>2.2999999999999998</v>
      </c>
      <c r="F5" s="527"/>
      <c r="G5" s="475"/>
      <c r="H5" s="475"/>
      <c r="I5" s="515"/>
    </row>
    <row r="6" spans="1:9" s="510" customFormat="1" ht="118.5" customHeight="1">
      <c r="A6" s="525" t="s">
        <v>608</v>
      </c>
      <c r="B6" s="525" t="s">
        <v>609</v>
      </c>
      <c r="C6" s="526">
        <v>43226.436805555553</v>
      </c>
      <c r="D6" s="684" t="s">
        <v>610</v>
      </c>
      <c r="E6" s="527">
        <v>193.66</v>
      </c>
      <c r="F6" s="527"/>
      <c r="G6" s="475"/>
      <c r="H6" s="475"/>
      <c r="I6" s="514"/>
    </row>
    <row r="7" spans="1:9" s="510" customFormat="1" ht="63.75" customHeight="1">
      <c r="A7" s="525" t="s">
        <v>490</v>
      </c>
      <c r="B7" s="525" t="s">
        <v>598</v>
      </c>
      <c r="C7" s="526">
        <v>43227.482638888891</v>
      </c>
      <c r="D7" s="684" t="s">
        <v>611</v>
      </c>
      <c r="E7" s="527">
        <v>24.32</v>
      </c>
      <c r="F7" s="527"/>
      <c r="G7" s="475"/>
      <c r="H7" s="475"/>
      <c r="I7" s="514"/>
    </row>
    <row r="8" spans="1:9" s="510" customFormat="1" ht="75" customHeight="1">
      <c r="A8" s="525" t="s">
        <v>483</v>
      </c>
      <c r="B8" s="525" t="s">
        <v>612</v>
      </c>
      <c r="C8" s="526">
        <v>43231.285416666666</v>
      </c>
      <c r="D8" s="684" t="s">
        <v>613</v>
      </c>
      <c r="E8" s="527"/>
      <c r="F8" s="527">
        <v>3.87</v>
      </c>
      <c r="G8" s="475"/>
      <c r="H8" s="475"/>
      <c r="I8" s="514"/>
    </row>
    <row r="9" spans="1:9" s="510" customFormat="1" ht="91.5" customHeight="1">
      <c r="A9" s="525" t="s">
        <v>483</v>
      </c>
      <c r="B9" s="525" t="s">
        <v>612</v>
      </c>
      <c r="C9" s="526">
        <v>43231.306250000001</v>
      </c>
      <c r="D9" s="684" t="s">
        <v>614</v>
      </c>
      <c r="E9" s="527"/>
      <c r="F9" s="527">
        <v>15</v>
      </c>
      <c r="G9" s="475"/>
      <c r="H9" s="475"/>
      <c r="I9" s="514"/>
    </row>
    <row r="10" spans="1:9" ht="80.25" customHeight="1">
      <c r="A10" s="525" t="s">
        <v>486</v>
      </c>
      <c r="B10" s="525" t="s">
        <v>615</v>
      </c>
      <c r="C10" s="526">
        <v>43231.657638888886</v>
      </c>
      <c r="D10" s="684" t="s">
        <v>616</v>
      </c>
      <c r="E10" s="527">
        <v>7.3</v>
      </c>
      <c r="F10" s="527"/>
    </row>
    <row r="11" spans="1:9">
      <c r="E11" s="520"/>
      <c r="F11" s="520"/>
    </row>
    <row r="12" spans="1:9">
      <c r="E12" s="520"/>
      <c r="F12" s="520"/>
    </row>
    <row r="13" spans="1:9">
      <c r="E13" s="520"/>
      <c r="F13" s="520"/>
    </row>
    <row r="14" spans="1:9">
      <c r="E14" s="520"/>
      <c r="F14" s="520"/>
    </row>
    <row r="15" spans="1:9">
      <c r="E15" s="520"/>
      <c r="F15" s="520"/>
    </row>
    <row r="16" spans="1:9">
      <c r="E16" s="520"/>
      <c r="F16" s="520"/>
    </row>
    <row r="17" spans="5:6">
      <c r="E17" s="520"/>
      <c r="F17" s="520"/>
    </row>
    <row r="18" spans="5:6">
      <c r="E18" s="520"/>
      <c r="F18" s="520"/>
    </row>
    <row r="19" spans="5:6">
      <c r="E19" s="520"/>
      <c r="F19" s="520"/>
    </row>
    <row r="20" spans="5:6">
      <c r="E20" s="520"/>
      <c r="F20" s="520"/>
    </row>
    <row r="21" spans="5:6">
      <c r="E21" s="520"/>
      <c r="F21" s="520"/>
    </row>
    <row r="22" spans="5:6">
      <c r="E22" s="520"/>
      <c r="F22" s="520"/>
    </row>
    <row r="23" spans="5:6">
      <c r="E23" s="520"/>
      <c r="F23" s="520"/>
    </row>
    <row r="24" spans="5:6">
      <c r="E24" s="520"/>
      <c r="F24" s="520"/>
    </row>
    <row r="25" spans="5:6">
      <c r="E25" s="520"/>
      <c r="F25" s="520"/>
    </row>
    <row r="26" spans="5:6">
      <c r="E26" s="520"/>
      <c r="F26" s="520"/>
    </row>
    <row r="27" spans="5:6">
      <c r="E27" s="520"/>
      <c r="F27" s="520"/>
    </row>
    <row r="28" spans="5:6">
      <c r="E28" s="520"/>
      <c r="F28" s="520"/>
    </row>
    <row r="29" spans="5:6">
      <c r="E29" s="520"/>
      <c r="F29" s="520"/>
    </row>
    <row r="30" spans="5:6">
      <c r="E30" s="520"/>
      <c r="F30" s="520"/>
    </row>
    <row r="31" spans="5:6">
      <c r="E31" s="520"/>
      <c r="F31" s="520"/>
    </row>
    <row r="32" spans="5:6">
      <c r="E32" s="520"/>
      <c r="F32" s="520"/>
    </row>
    <row r="33" spans="5:6">
      <c r="E33" s="520"/>
      <c r="F33" s="520"/>
    </row>
    <row r="34" spans="5:6">
      <c r="E34" s="520"/>
      <c r="F34" s="520"/>
    </row>
    <row r="35" spans="5:6">
      <c r="E35" s="520"/>
      <c r="F35" s="520"/>
    </row>
    <row r="36" spans="5:6">
      <c r="E36" s="520"/>
      <c r="F36" s="520"/>
    </row>
    <row r="37" spans="5:6">
      <c r="E37" s="520"/>
      <c r="F37" s="520"/>
    </row>
    <row r="38" spans="5:6">
      <c r="E38" s="520"/>
      <c r="F38" s="520"/>
    </row>
    <row r="39" spans="5:6">
      <c r="E39" s="520"/>
      <c r="F39" s="520"/>
    </row>
    <row r="40" spans="5:6">
      <c r="E40" s="520"/>
      <c r="F40" s="520"/>
    </row>
    <row r="41" spans="5:6">
      <c r="E41" s="520"/>
      <c r="F41" s="520"/>
    </row>
    <row r="42" spans="5:6">
      <c r="E42" s="520"/>
      <c r="F42" s="520"/>
    </row>
    <row r="43" spans="5:6">
      <c r="E43" s="520"/>
      <c r="F43" s="520"/>
    </row>
    <row r="44" spans="5:6">
      <c r="E44" s="520"/>
      <c r="F44" s="520"/>
    </row>
    <row r="45" spans="5:6">
      <c r="E45" s="520"/>
      <c r="F45" s="520"/>
    </row>
    <row r="46" spans="5:6">
      <c r="E46" s="520"/>
      <c r="F46" s="520"/>
    </row>
    <row r="47" spans="5:6">
      <c r="E47" s="520"/>
      <c r="F47" s="520"/>
    </row>
    <row r="48" spans="5:6">
      <c r="E48" s="520"/>
      <c r="F48" s="520"/>
    </row>
    <row r="49" spans="5:6">
      <c r="E49" s="520"/>
      <c r="F49" s="520"/>
    </row>
    <row r="50" spans="5:6">
      <c r="E50" s="520"/>
      <c r="F50" s="520"/>
    </row>
    <row r="51" spans="5:6">
      <c r="E51" s="520"/>
      <c r="F51" s="520"/>
    </row>
    <row r="52" spans="5:6">
      <c r="E52" s="520"/>
      <c r="F52" s="520"/>
    </row>
    <row r="53" spans="5:6">
      <c r="E53" s="520"/>
      <c r="F53" s="520"/>
    </row>
    <row r="54" spans="5:6">
      <c r="E54" s="520"/>
      <c r="F54" s="520"/>
    </row>
    <row r="55" spans="5:6">
      <c r="E55" s="520"/>
      <c r="F55" s="520"/>
    </row>
    <row r="56" spans="5:6">
      <c r="E56" s="520"/>
      <c r="F56" s="520"/>
    </row>
    <row r="57" spans="5:6">
      <c r="E57" s="520"/>
      <c r="F57" s="520"/>
    </row>
    <row r="58" spans="5:6">
      <c r="E58" s="520"/>
      <c r="F58" s="520"/>
    </row>
    <row r="59" spans="5:6">
      <c r="E59" s="520"/>
      <c r="F59" s="520"/>
    </row>
    <row r="60" spans="5:6">
      <c r="E60" s="520"/>
      <c r="F60" s="520"/>
    </row>
    <row r="61" spans="5:6">
      <c r="E61" s="520"/>
      <c r="F61" s="520"/>
    </row>
    <row r="62" spans="5:6">
      <c r="E62" s="520"/>
      <c r="F62" s="520"/>
    </row>
    <row r="63" spans="5:6">
      <c r="E63" s="520"/>
      <c r="F63" s="520"/>
    </row>
    <row r="64" spans="5:6">
      <c r="E64" s="520"/>
      <c r="F64" s="520"/>
    </row>
    <row r="65" spans="5:6">
      <c r="E65" s="520"/>
      <c r="F65" s="520"/>
    </row>
    <row r="66" spans="5:6">
      <c r="E66" s="520"/>
      <c r="F66" s="520"/>
    </row>
    <row r="67" spans="5:6">
      <c r="E67" s="520"/>
      <c r="F67" s="520"/>
    </row>
    <row r="68" spans="5:6">
      <c r="E68" s="520"/>
      <c r="F68" s="520"/>
    </row>
    <row r="69" spans="5:6">
      <c r="E69" s="520"/>
      <c r="F69" s="520"/>
    </row>
    <row r="70" spans="5:6">
      <c r="E70" s="520"/>
      <c r="F70" s="520"/>
    </row>
    <row r="71" spans="5:6">
      <c r="E71" s="520"/>
      <c r="F71" s="520"/>
    </row>
    <row r="72" spans="5:6">
      <c r="E72" s="520"/>
      <c r="F72" s="520"/>
    </row>
    <row r="73" spans="5:6">
      <c r="E73" s="520"/>
      <c r="F73" s="520"/>
    </row>
    <row r="74" spans="5:6">
      <c r="E74" s="520"/>
      <c r="F74" s="520"/>
    </row>
    <row r="75" spans="5:6">
      <c r="E75" s="520"/>
      <c r="F75" s="520"/>
    </row>
    <row r="76" spans="5:6">
      <c r="E76" s="520"/>
      <c r="F76" s="520"/>
    </row>
    <row r="77" spans="5:6">
      <c r="E77" s="520"/>
      <c r="F77" s="520"/>
    </row>
    <row r="78" spans="5:6">
      <c r="E78" s="520"/>
      <c r="F78" s="520"/>
    </row>
    <row r="79" spans="5:6">
      <c r="E79" s="520"/>
      <c r="F79" s="520"/>
    </row>
    <row r="80" spans="5:6">
      <c r="E80" s="520"/>
      <c r="F80" s="520"/>
    </row>
    <row r="81" spans="5:6">
      <c r="E81" s="520"/>
      <c r="F81" s="520"/>
    </row>
    <row r="82" spans="5:6">
      <c r="E82" s="520"/>
      <c r="F82" s="520"/>
    </row>
    <row r="83" spans="5:6">
      <c r="E83" s="520"/>
      <c r="F83" s="520"/>
    </row>
    <row r="84" spans="5:6">
      <c r="E84" s="520"/>
      <c r="F84" s="520"/>
    </row>
    <row r="85" spans="5:6">
      <c r="E85" s="520"/>
      <c r="F85" s="520"/>
    </row>
    <row r="86" spans="5:6">
      <c r="E86" s="520"/>
      <c r="F86" s="520"/>
    </row>
    <row r="87" spans="5:6">
      <c r="E87" s="520"/>
      <c r="F87" s="520"/>
    </row>
    <row r="88" spans="5:6">
      <c r="E88" s="520"/>
      <c r="F88" s="520"/>
    </row>
    <row r="89" spans="5:6">
      <c r="E89" s="520"/>
      <c r="F89" s="520"/>
    </row>
    <row r="90" spans="5:6">
      <c r="E90" s="520"/>
      <c r="F90" s="520"/>
    </row>
    <row r="91" spans="5:6">
      <c r="E91" s="520"/>
      <c r="F91" s="520"/>
    </row>
    <row r="92" spans="5:6">
      <c r="E92" s="520"/>
      <c r="F92" s="520"/>
    </row>
    <row r="93" spans="5:6">
      <c r="E93" s="520"/>
      <c r="F93" s="520"/>
    </row>
    <row r="94" spans="5:6">
      <c r="E94" s="520"/>
      <c r="F94" s="520"/>
    </row>
    <row r="95" spans="5:6">
      <c r="E95" s="520"/>
      <c r="F95" s="520"/>
    </row>
    <row r="96" spans="5:6">
      <c r="E96" s="520"/>
      <c r="F96" s="520"/>
    </row>
    <row r="97" spans="5:6">
      <c r="E97" s="520"/>
      <c r="F97" s="520"/>
    </row>
    <row r="98" spans="5:6">
      <c r="E98" s="520"/>
      <c r="F98" s="520"/>
    </row>
    <row r="99" spans="5:6">
      <c r="E99" s="520"/>
      <c r="F99" s="520"/>
    </row>
    <row r="100" spans="5:6">
      <c r="E100" s="520"/>
      <c r="F100" s="520"/>
    </row>
    <row r="101" spans="5:6">
      <c r="E101" s="520"/>
      <c r="F101" s="520"/>
    </row>
    <row r="102" spans="5:6">
      <c r="E102" s="520"/>
      <c r="F102" s="520"/>
    </row>
    <row r="103" spans="5:6">
      <c r="E103" s="520"/>
      <c r="F103" s="520"/>
    </row>
    <row r="104" spans="5:6">
      <c r="E104" s="520"/>
      <c r="F104" s="520"/>
    </row>
    <row r="105" spans="5:6">
      <c r="E105" s="520"/>
      <c r="F105" s="520"/>
    </row>
    <row r="106" spans="5:6">
      <c r="E106" s="520"/>
      <c r="F106" s="520"/>
    </row>
    <row r="107" spans="5:6">
      <c r="E107" s="520"/>
      <c r="F107" s="520"/>
    </row>
    <row r="108" spans="5:6">
      <c r="E108" s="520"/>
      <c r="F108" s="520"/>
    </row>
    <row r="109" spans="5:6">
      <c r="E109" s="520"/>
      <c r="F109" s="520"/>
    </row>
    <row r="110" spans="5:6">
      <c r="E110" s="520"/>
      <c r="F110" s="520"/>
    </row>
    <row r="111" spans="5:6">
      <c r="E111" s="520"/>
      <c r="F111" s="520"/>
    </row>
    <row r="112" spans="5:6">
      <c r="E112" s="520"/>
      <c r="F112" s="520"/>
    </row>
    <row r="113" spans="5:6">
      <c r="E113" s="520"/>
      <c r="F113" s="520"/>
    </row>
    <row r="114" spans="5:6">
      <c r="E114" s="520"/>
      <c r="F114" s="520"/>
    </row>
    <row r="115" spans="5:6">
      <c r="E115" s="520"/>
      <c r="F115" s="520"/>
    </row>
    <row r="116" spans="5:6">
      <c r="E116" s="520"/>
      <c r="F116" s="520"/>
    </row>
    <row r="117" spans="5:6">
      <c r="E117" s="520"/>
      <c r="F117" s="520"/>
    </row>
    <row r="118" spans="5:6">
      <c r="E118" s="520"/>
      <c r="F118" s="520"/>
    </row>
    <row r="119" spans="5:6">
      <c r="E119" s="520"/>
      <c r="F119" s="520"/>
    </row>
    <row r="120" spans="5:6">
      <c r="E120" s="520"/>
      <c r="F120" s="520"/>
    </row>
    <row r="121" spans="5:6">
      <c r="E121" s="520"/>
      <c r="F121" s="520"/>
    </row>
    <row r="122" spans="5:6">
      <c r="E122" s="520"/>
      <c r="F122" s="520"/>
    </row>
    <row r="123" spans="5:6">
      <c r="E123" s="520"/>
      <c r="F123" s="520"/>
    </row>
    <row r="124" spans="5:6">
      <c r="E124" s="520"/>
      <c r="F124" s="520"/>
    </row>
    <row r="125" spans="5:6">
      <c r="E125" s="520"/>
      <c r="F125" s="520"/>
    </row>
    <row r="126" spans="5:6">
      <c r="E126" s="520"/>
      <c r="F126" s="520"/>
    </row>
    <row r="127" spans="5:6">
      <c r="E127" s="520"/>
      <c r="F127" s="520"/>
    </row>
    <row r="128" spans="5:6">
      <c r="E128" s="520"/>
      <c r="F128" s="520"/>
    </row>
    <row r="129" spans="5:6">
      <c r="E129" s="520"/>
      <c r="F129" s="520"/>
    </row>
    <row r="130" spans="5:6">
      <c r="E130" s="520"/>
      <c r="F130" s="520"/>
    </row>
    <row r="131" spans="5:6">
      <c r="E131" s="520"/>
      <c r="F131" s="520"/>
    </row>
    <row r="132" spans="5:6">
      <c r="E132" s="520"/>
      <c r="F132" s="520"/>
    </row>
    <row r="133" spans="5:6">
      <c r="E133" s="520"/>
      <c r="F133" s="520"/>
    </row>
    <row r="134" spans="5:6">
      <c r="E134" s="520"/>
      <c r="F134" s="520"/>
    </row>
    <row r="135" spans="5:6">
      <c r="E135" s="520"/>
      <c r="F135" s="520"/>
    </row>
    <row r="136" spans="5:6">
      <c r="E136" s="520"/>
      <c r="F136" s="520"/>
    </row>
    <row r="137" spans="5:6">
      <c r="E137" s="520"/>
      <c r="F137" s="520"/>
    </row>
  </sheetData>
  <pageMargins left="0.7" right="0.51432291666666663" top="0.86956521739130432" bottom="0.61458333333333337" header="0.3" footer="0.3"/>
  <pageSetup orientation="portrait" r:id="rId1"/>
  <headerFooter>
    <oddHeader>&amp;R&amp;7Informe de la Operación Mensual - Mayo 2018
INFSGI-MES-05-2018
07/06/2018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9"/>
  <sheetViews>
    <sheetView showGridLines="0" view="pageBreakPreview" topLeftCell="B5" zoomScale="160" zoomScaleNormal="100" zoomScaleSheetLayoutView="160" zoomScalePageLayoutView="130" workbookViewId="0">
      <selection activeCell="Q26" sqref="Q26"/>
    </sheetView>
  </sheetViews>
  <sheetFormatPr defaultRowHeight="9"/>
  <cols>
    <col min="1" max="1" width="16.1640625" style="510" customWidth="1"/>
    <col min="2" max="2" width="19.6640625" style="510" customWidth="1"/>
    <col min="3" max="3" width="12.16406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165.75" customHeight="1">
      <c r="A2" s="525" t="s">
        <v>488</v>
      </c>
      <c r="B2" s="525" t="s">
        <v>617</v>
      </c>
      <c r="C2" s="526">
        <v>43231.746527777781</v>
      </c>
      <c r="D2" s="684" t="s">
        <v>618</v>
      </c>
      <c r="E2" s="527">
        <v>2.39</v>
      </c>
      <c r="F2" s="527">
        <v>5.61</v>
      </c>
      <c r="G2" s="475"/>
      <c r="H2" s="475"/>
      <c r="I2" s="514"/>
    </row>
    <row r="3" spans="1:9" s="510" customFormat="1" ht="150.75" customHeight="1">
      <c r="A3" s="525" t="s">
        <v>488</v>
      </c>
      <c r="B3" s="525" t="s">
        <v>491</v>
      </c>
      <c r="C3" s="526">
        <v>43231.870833333334</v>
      </c>
      <c r="D3" s="684" t="s">
        <v>619</v>
      </c>
      <c r="E3" s="527">
        <v>9.07</v>
      </c>
      <c r="F3" s="527"/>
      <c r="G3" s="475"/>
      <c r="H3" s="475"/>
      <c r="I3" s="514"/>
    </row>
    <row r="4" spans="1:9" s="510" customFormat="1" ht="75.75" customHeight="1">
      <c r="A4" s="525" t="s">
        <v>620</v>
      </c>
      <c r="B4" s="525" t="s">
        <v>621</v>
      </c>
      <c r="C4" s="526">
        <v>43234.302777777775</v>
      </c>
      <c r="D4" s="684" t="s">
        <v>622</v>
      </c>
      <c r="E4" s="527">
        <v>9.27</v>
      </c>
      <c r="F4" s="527"/>
      <c r="G4" s="475"/>
      <c r="H4" s="475"/>
      <c r="I4" s="514"/>
    </row>
    <row r="5" spans="1:9" s="510" customFormat="1" ht="82.5" customHeight="1">
      <c r="A5" s="525" t="s">
        <v>623</v>
      </c>
      <c r="B5" s="525" t="s">
        <v>624</v>
      </c>
      <c r="C5" s="526">
        <v>43236.068055555559</v>
      </c>
      <c r="D5" s="684" t="s">
        <v>625</v>
      </c>
      <c r="E5" s="527">
        <v>7.65</v>
      </c>
      <c r="F5" s="527"/>
      <c r="G5" s="475"/>
      <c r="H5" s="475"/>
      <c r="I5" s="514"/>
    </row>
    <row r="6" spans="1:9" s="510" customFormat="1" ht="83.25" customHeight="1">
      <c r="A6" s="525" t="s">
        <v>482</v>
      </c>
      <c r="B6" s="525" t="s">
        <v>626</v>
      </c>
      <c r="C6" s="526">
        <v>43239.094444444447</v>
      </c>
      <c r="D6" s="684" t="s">
        <v>627</v>
      </c>
      <c r="E6" s="527">
        <v>7.53</v>
      </c>
      <c r="F6" s="527"/>
      <c r="G6" s="475"/>
      <c r="H6" s="475"/>
      <c r="I6" s="516"/>
    </row>
    <row r="7" spans="1:9" s="510" customFormat="1" ht="87.75" customHeight="1">
      <c r="A7" s="525" t="s">
        <v>482</v>
      </c>
      <c r="B7" s="525" t="s">
        <v>628</v>
      </c>
      <c r="C7" s="526">
        <v>43239.129166666666</v>
      </c>
      <c r="D7" s="684" t="s">
        <v>629</v>
      </c>
      <c r="E7" s="527">
        <v>8.1300000000000008</v>
      </c>
      <c r="F7" s="527"/>
      <c r="G7" s="475"/>
      <c r="H7" s="475"/>
      <c r="I7" s="514"/>
    </row>
    <row r="8" spans="1:9" ht="69.75" customHeight="1">
      <c r="A8" s="525" t="s">
        <v>484</v>
      </c>
      <c r="B8" s="525" t="s">
        <v>485</v>
      </c>
      <c r="C8" s="526">
        <v>43239.443055555559</v>
      </c>
      <c r="D8" s="684" t="s">
        <v>630</v>
      </c>
      <c r="E8" s="527">
        <v>4.9000000000000004</v>
      </c>
      <c r="F8" s="527"/>
    </row>
    <row r="9" spans="1:9">
      <c r="E9" s="520"/>
      <c r="F9" s="520"/>
    </row>
    <row r="10" spans="1:9">
      <c r="E10" s="520"/>
      <c r="F10" s="520"/>
    </row>
    <row r="11" spans="1:9">
      <c r="E11" s="520"/>
      <c r="F11" s="520"/>
    </row>
    <row r="12" spans="1:9">
      <c r="E12" s="520"/>
      <c r="F12" s="520"/>
    </row>
    <row r="13" spans="1:9">
      <c r="E13" s="520"/>
      <c r="F13" s="520"/>
    </row>
    <row r="14" spans="1:9">
      <c r="E14" s="520"/>
      <c r="F14" s="520"/>
    </row>
    <row r="15" spans="1:9">
      <c r="E15" s="520"/>
      <c r="F15" s="520"/>
    </row>
    <row r="16" spans="1:9">
      <c r="E16" s="520"/>
      <c r="F16" s="520"/>
    </row>
    <row r="17" spans="5:6">
      <c r="E17" s="520"/>
      <c r="F17" s="520"/>
    </row>
    <row r="18" spans="5:6">
      <c r="E18" s="520"/>
      <c r="F18" s="520"/>
    </row>
    <row r="19" spans="5:6">
      <c r="E19" s="520"/>
      <c r="F19" s="520"/>
    </row>
    <row r="20" spans="5:6">
      <c r="E20" s="520"/>
      <c r="F20" s="520"/>
    </row>
    <row r="21" spans="5:6">
      <c r="E21" s="520"/>
      <c r="F21" s="520"/>
    </row>
    <row r="22" spans="5:6">
      <c r="E22" s="520"/>
      <c r="F22" s="520"/>
    </row>
    <row r="23" spans="5:6">
      <c r="E23" s="520"/>
      <c r="F23" s="520"/>
    </row>
    <row r="24" spans="5:6">
      <c r="E24" s="520"/>
      <c r="F24" s="520"/>
    </row>
    <row r="25" spans="5:6">
      <c r="E25" s="520"/>
      <c r="F25" s="520"/>
    </row>
    <row r="26" spans="5:6">
      <c r="E26" s="520"/>
      <c r="F26" s="520"/>
    </row>
    <row r="27" spans="5:6">
      <c r="E27" s="520"/>
      <c r="F27" s="520"/>
    </row>
    <row r="28" spans="5:6">
      <c r="E28" s="520"/>
      <c r="F28" s="520"/>
    </row>
    <row r="29" spans="5:6">
      <c r="E29" s="520"/>
      <c r="F29" s="520"/>
    </row>
    <row r="30" spans="5:6">
      <c r="E30" s="520"/>
      <c r="F30" s="520"/>
    </row>
    <row r="31" spans="5:6">
      <c r="E31" s="520"/>
      <c r="F31" s="520"/>
    </row>
    <row r="32" spans="5:6">
      <c r="E32" s="520"/>
      <c r="F32" s="520"/>
    </row>
    <row r="33" spans="5:6">
      <c r="E33" s="520"/>
      <c r="F33" s="520"/>
    </row>
    <row r="34" spans="5:6">
      <c r="E34" s="520"/>
      <c r="F34" s="520"/>
    </row>
    <row r="35" spans="5:6">
      <c r="E35" s="520"/>
      <c r="F35" s="520"/>
    </row>
    <row r="36" spans="5:6">
      <c r="E36" s="520"/>
      <c r="F36" s="520"/>
    </row>
    <row r="37" spans="5:6">
      <c r="E37" s="520"/>
      <c r="F37" s="520"/>
    </row>
    <row r="38" spans="5:6">
      <c r="E38" s="520"/>
      <c r="F38" s="520"/>
    </row>
    <row r="39" spans="5:6">
      <c r="E39" s="520"/>
      <c r="F39" s="520"/>
    </row>
    <row r="40" spans="5:6">
      <c r="E40" s="520"/>
      <c r="F40" s="520"/>
    </row>
    <row r="41" spans="5:6">
      <c r="E41" s="520"/>
      <c r="F41" s="520"/>
    </row>
    <row r="42" spans="5:6">
      <c r="E42" s="520"/>
      <c r="F42" s="520"/>
    </row>
    <row r="43" spans="5:6">
      <c r="E43" s="520"/>
      <c r="F43" s="520"/>
    </row>
    <row r="44" spans="5:6">
      <c r="E44" s="520"/>
      <c r="F44" s="520"/>
    </row>
    <row r="45" spans="5:6">
      <c r="E45" s="520"/>
      <c r="F45" s="520"/>
    </row>
    <row r="46" spans="5:6">
      <c r="E46" s="520"/>
      <c r="F46" s="520"/>
    </row>
    <row r="47" spans="5:6">
      <c r="E47" s="520"/>
      <c r="F47" s="520"/>
    </row>
    <row r="48" spans="5:6">
      <c r="E48" s="520"/>
      <c r="F48" s="520"/>
    </row>
    <row r="49" spans="5:6">
      <c r="E49" s="520"/>
      <c r="F49" s="520"/>
    </row>
    <row r="50" spans="5:6">
      <c r="E50" s="520"/>
      <c r="F50" s="520"/>
    </row>
    <row r="51" spans="5:6">
      <c r="E51" s="520"/>
      <c r="F51" s="520"/>
    </row>
    <row r="52" spans="5:6">
      <c r="E52" s="520"/>
      <c r="F52" s="520"/>
    </row>
    <row r="53" spans="5:6">
      <c r="E53" s="520"/>
      <c r="F53" s="520"/>
    </row>
    <row r="54" spans="5:6">
      <c r="E54" s="520"/>
      <c r="F54" s="520"/>
    </row>
    <row r="55" spans="5:6">
      <c r="E55" s="520"/>
      <c r="F55" s="520"/>
    </row>
    <row r="56" spans="5:6">
      <c r="E56" s="520"/>
      <c r="F56" s="520"/>
    </row>
    <row r="57" spans="5:6">
      <c r="E57" s="520"/>
      <c r="F57" s="520"/>
    </row>
    <row r="58" spans="5:6">
      <c r="E58" s="520"/>
      <c r="F58" s="520"/>
    </row>
    <row r="59" spans="5:6">
      <c r="E59" s="520"/>
      <c r="F59" s="520"/>
    </row>
    <row r="60" spans="5:6">
      <c r="E60" s="520"/>
      <c r="F60" s="520"/>
    </row>
    <row r="61" spans="5:6">
      <c r="E61" s="520"/>
      <c r="F61" s="520"/>
    </row>
    <row r="62" spans="5:6">
      <c r="E62" s="520"/>
      <c r="F62" s="520"/>
    </row>
    <row r="63" spans="5:6">
      <c r="E63" s="520"/>
      <c r="F63" s="520"/>
    </row>
    <row r="64" spans="5:6">
      <c r="E64" s="520"/>
      <c r="F64" s="520"/>
    </row>
    <row r="65" spans="5:6">
      <c r="E65" s="520"/>
      <c r="F65" s="520"/>
    </row>
    <row r="66" spans="5:6">
      <c r="E66" s="520"/>
      <c r="F66" s="520"/>
    </row>
    <row r="67" spans="5:6">
      <c r="E67" s="520"/>
      <c r="F67" s="520"/>
    </row>
    <row r="68" spans="5:6">
      <c r="E68" s="520"/>
      <c r="F68" s="520"/>
    </row>
    <row r="69" spans="5:6">
      <c r="E69" s="520"/>
      <c r="F69" s="520"/>
    </row>
    <row r="70" spans="5:6">
      <c r="E70" s="520"/>
      <c r="F70" s="520"/>
    </row>
    <row r="71" spans="5:6">
      <c r="E71" s="520"/>
      <c r="F71" s="520"/>
    </row>
    <row r="72" spans="5:6">
      <c r="E72" s="520"/>
      <c r="F72" s="520"/>
    </row>
    <row r="73" spans="5:6">
      <c r="E73" s="520"/>
      <c r="F73" s="520"/>
    </row>
    <row r="74" spans="5:6">
      <c r="E74" s="520"/>
      <c r="F74" s="520"/>
    </row>
    <row r="75" spans="5:6">
      <c r="E75" s="520"/>
      <c r="F75" s="520"/>
    </row>
    <row r="76" spans="5:6">
      <c r="E76" s="520"/>
      <c r="F76" s="520"/>
    </row>
    <row r="77" spans="5:6">
      <c r="E77" s="520"/>
      <c r="F77" s="520"/>
    </row>
    <row r="78" spans="5:6">
      <c r="E78" s="520"/>
      <c r="F78" s="520"/>
    </row>
    <row r="79" spans="5:6">
      <c r="E79" s="520"/>
      <c r="F79" s="520"/>
    </row>
    <row r="80" spans="5:6">
      <c r="E80" s="520"/>
      <c r="F80" s="520"/>
    </row>
    <row r="81" spans="5:6">
      <c r="E81" s="520"/>
      <c r="F81" s="520"/>
    </row>
    <row r="82" spans="5:6">
      <c r="E82" s="520"/>
      <c r="F82" s="520"/>
    </row>
    <row r="83" spans="5:6">
      <c r="E83" s="520"/>
      <c r="F83" s="520"/>
    </row>
    <row r="84" spans="5:6">
      <c r="E84" s="520"/>
      <c r="F84" s="520"/>
    </row>
    <row r="85" spans="5:6">
      <c r="E85" s="520"/>
      <c r="F85" s="520"/>
    </row>
    <row r="86" spans="5:6">
      <c r="E86" s="520"/>
      <c r="F86" s="520"/>
    </row>
    <row r="87" spans="5:6">
      <c r="E87" s="520"/>
      <c r="F87" s="520"/>
    </row>
    <row r="88" spans="5:6">
      <c r="E88" s="520"/>
      <c r="F88" s="520"/>
    </row>
    <row r="89" spans="5:6">
      <c r="E89" s="520"/>
      <c r="F89" s="520"/>
    </row>
    <row r="90" spans="5:6">
      <c r="E90" s="520"/>
      <c r="F90" s="520"/>
    </row>
    <row r="91" spans="5:6">
      <c r="E91" s="520"/>
      <c r="F91" s="520"/>
    </row>
    <row r="92" spans="5:6">
      <c r="E92" s="520"/>
      <c r="F92" s="520"/>
    </row>
    <row r="93" spans="5:6">
      <c r="E93" s="520"/>
      <c r="F93" s="520"/>
    </row>
    <row r="94" spans="5:6">
      <c r="E94" s="520"/>
      <c r="F94" s="520"/>
    </row>
    <row r="95" spans="5:6">
      <c r="E95" s="520"/>
      <c r="F95" s="520"/>
    </row>
    <row r="96" spans="5:6">
      <c r="E96" s="520"/>
      <c r="F96" s="520"/>
    </row>
    <row r="97" spans="5:6">
      <c r="E97" s="520"/>
      <c r="F97" s="520"/>
    </row>
    <row r="98" spans="5:6">
      <c r="E98" s="520"/>
      <c r="F98" s="520"/>
    </row>
    <row r="99" spans="5:6">
      <c r="E99" s="520"/>
      <c r="F99" s="520"/>
    </row>
    <row r="100" spans="5:6">
      <c r="E100" s="520"/>
      <c r="F100" s="520"/>
    </row>
    <row r="101" spans="5:6">
      <c r="E101" s="520"/>
      <c r="F101" s="520"/>
    </row>
    <row r="102" spans="5:6">
      <c r="E102" s="520"/>
      <c r="F102" s="520"/>
    </row>
    <row r="103" spans="5:6">
      <c r="E103" s="520"/>
      <c r="F103" s="520"/>
    </row>
    <row r="104" spans="5:6">
      <c r="E104" s="520"/>
      <c r="F104" s="520"/>
    </row>
    <row r="105" spans="5:6">
      <c r="E105" s="520"/>
      <c r="F105" s="520"/>
    </row>
    <row r="106" spans="5:6">
      <c r="E106" s="520"/>
      <c r="F106" s="520"/>
    </row>
    <row r="107" spans="5:6">
      <c r="E107" s="520"/>
      <c r="F107" s="520"/>
    </row>
    <row r="108" spans="5:6">
      <c r="E108" s="520"/>
      <c r="F108" s="520"/>
    </row>
    <row r="109" spans="5:6">
      <c r="E109" s="520"/>
      <c r="F109" s="520"/>
    </row>
    <row r="110" spans="5:6">
      <c r="E110" s="520"/>
      <c r="F110" s="520"/>
    </row>
    <row r="111" spans="5:6">
      <c r="E111" s="520"/>
      <c r="F111" s="520"/>
    </row>
    <row r="112" spans="5:6">
      <c r="E112" s="520"/>
      <c r="F112" s="520"/>
    </row>
    <row r="113" spans="5:6">
      <c r="E113" s="520"/>
      <c r="F113" s="520"/>
    </row>
    <row r="114" spans="5:6">
      <c r="E114" s="520"/>
      <c r="F114" s="520"/>
    </row>
    <row r="115" spans="5:6">
      <c r="E115" s="520"/>
      <c r="F115" s="520"/>
    </row>
    <row r="116" spans="5:6">
      <c r="E116" s="520"/>
      <c r="F116" s="520"/>
    </row>
    <row r="117" spans="5:6">
      <c r="E117" s="520"/>
      <c r="F117" s="520"/>
    </row>
    <row r="118" spans="5:6">
      <c r="E118" s="520"/>
      <c r="F118" s="520"/>
    </row>
    <row r="119" spans="5:6">
      <c r="E119" s="520"/>
      <c r="F119" s="520"/>
    </row>
  </sheetData>
  <pageMargins left="0.7" right="0.51432291666666663" top="0.86956521739130432" bottom="0.61458333333333337" header="0.3" footer="0.3"/>
  <pageSetup orientation="portrait" r:id="rId1"/>
  <headerFooter>
    <oddHeader>&amp;R&amp;7Informe de la Operación Mensual - Mayo 2018
INFSGI-MES-05-2018
07/06/2018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45" workbookViewId="0">
      <selection activeCell="Q26" sqref="Q26"/>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532"/>
    <col min="15" max="16" width="10.1640625" style="578" bestFit="1" customWidth="1"/>
    <col min="17" max="17" width="11.5" style="578" customWidth="1"/>
    <col min="18" max="23" width="9.33203125" style="578"/>
    <col min="24" max="16384" width="9.33203125" style="61"/>
  </cols>
  <sheetData>
    <row r="1" spans="1:20" ht="27.75" customHeight="1">
      <c r="A1" s="864" t="s">
        <v>22</v>
      </c>
      <c r="B1" s="864"/>
      <c r="C1" s="864"/>
      <c r="D1" s="864"/>
      <c r="E1" s="864"/>
      <c r="F1" s="864"/>
      <c r="G1" s="864"/>
      <c r="H1" s="864"/>
      <c r="I1" s="864"/>
      <c r="J1" s="864"/>
      <c r="K1" s="864"/>
      <c r="L1" s="864"/>
      <c r="M1" s="864"/>
      <c r="N1" s="531"/>
      <c r="O1" s="577"/>
      <c r="P1" s="577"/>
      <c r="Q1" s="577"/>
    </row>
    <row r="2" spans="1:20" ht="11.25" customHeight="1">
      <c r="A2" s="52"/>
      <c r="B2" s="53"/>
      <c r="C2" s="82"/>
      <c r="D2" s="82"/>
      <c r="E2" s="82"/>
      <c r="F2" s="82"/>
      <c r="G2" s="82"/>
      <c r="H2" s="82"/>
      <c r="I2" s="82"/>
      <c r="J2" s="82"/>
      <c r="K2" s="53"/>
      <c r="L2" s="53"/>
      <c r="M2" s="53"/>
      <c r="N2" s="533"/>
      <c r="O2" s="579"/>
      <c r="P2" s="579"/>
      <c r="Q2" s="579"/>
    </row>
    <row r="3" spans="1:20" ht="21.75" customHeight="1">
      <c r="A3" s="53"/>
      <c r="B3" s="54"/>
      <c r="C3" s="871" t="str">
        <f>+UPPER(Q4)&amp;" "&amp;Q5</f>
        <v>MAYO 2018</v>
      </c>
      <c r="D3" s="864"/>
      <c r="E3" s="864"/>
      <c r="F3" s="864"/>
      <c r="G3" s="864"/>
      <c r="H3" s="864"/>
      <c r="I3" s="864"/>
      <c r="J3" s="864"/>
      <c r="K3" s="53"/>
      <c r="L3" s="53"/>
      <c r="M3" s="53"/>
      <c r="N3" s="533"/>
      <c r="O3" s="579"/>
      <c r="P3" s="579"/>
      <c r="Q3" s="579"/>
      <c r="R3" s="580"/>
      <c r="S3" s="580"/>
      <c r="T3" s="580"/>
    </row>
    <row r="4" spans="1:20" ht="11.25" customHeight="1">
      <c r="A4" s="51"/>
      <c r="B4" s="54"/>
      <c r="C4" s="51"/>
      <c r="D4" s="51"/>
      <c r="E4" s="51"/>
      <c r="F4" s="51"/>
      <c r="G4" s="51"/>
      <c r="H4" s="51"/>
      <c r="I4" s="51"/>
      <c r="J4" s="51"/>
      <c r="K4" s="51"/>
      <c r="L4" s="51"/>
      <c r="M4" s="51"/>
      <c r="N4" s="534"/>
      <c r="O4" s="581"/>
      <c r="P4" s="577" t="s">
        <v>230</v>
      </c>
      <c r="Q4" s="582" t="s">
        <v>589</v>
      </c>
      <c r="R4" s="580"/>
      <c r="S4" s="580"/>
      <c r="T4" s="580"/>
    </row>
    <row r="5" spans="1:20" ht="11.25" customHeight="1">
      <c r="A5" s="62"/>
      <c r="B5" s="63"/>
      <c r="C5" s="64"/>
      <c r="D5" s="64"/>
      <c r="E5" s="64"/>
      <c r="F5" s="64"/>
      <c r="G5" s="64"/>
      <c r="H5" s="64"/>
      <c r="I5" s="64"/>
      <c r="J5" s="64"/>
      <c r="K5" s="64"/>
      <c r="L5" s="64"/>
      <c r="M5" s="51"/>
      <c r="N5" s="534"/>
      <c r="O5" s="581"/>
      <c r="P5" s="577" t="s">
        <v>231</v>
      </c>
      <c r="Q5" s="581">
        <v>2018</v>
      </c>
      <c r="R5" s="580"/>
      <c r="S5" s="580"/>
      <c r="T5" s="580"/>
    </row>
    <row r="6" spans="1:20" ht="17.25" customHeight="1">
      <c r="A6" s="77" t="s">
        <v>529</v>
      </c>
      <c r="B6" s="51"/>
      <c r="C6" s="51"/>
      <c r="D6" s="51"/>
      <c r="E6" s="51"/>
      <c r="F6" s="51"/>
      <c r="G6" s="51"/>
      <c r="H6" s="51"/>
      <c r="I6" s="51"/>
      <c r="J6" s="51"/>
      <c r="K6" s="51"/>
      <c r="L6" s="51"/>
      <c r="M6" s="51"/>
      <c r="N6" s="531"/>
      <c r="O6" s="577"/>
      <c r="P6" s="577"/>
      <c r="Q6" s="591">
        <v>43221</v>
      </c>
      <c r="R6" s="580"/>
      <c r="S6" s="580"/>
      <c r="T6" s="580"/>
    </row>
    <row r="7" spans="1:20" ht="11.25" customHeight="1">
      <c r="A7" s="51"/>
      <c r="B7" s="51"/>
      <c r="C7" s="51"/>
      <c r="D7" s="51"/>
      <c r="E7" s="51"/>
      <c r="F7" s="51"/>
      <c r="G7" s="51"/>
      <c r="H7" s="51"/>
      <c r="I7" s="51"/>
      <c r="J7" s="51"/>
      <c r="K7" s="51"/>
      <c r="L7" s="51"/>
      <c r="M7" s="51"/>
      <c r="N7" s="531"/>
      <c r="O7" s="577"/>
      <c r="P7" s="577"/>
      <c r="Q7" s="577">
        <v>31</v>
      </c>
      <c r="R7" s="580"/>
      <c r="S7" s="580"/>
      <c r="T7" s="580"/>
    </row>
    <row r="8" spans="1:20" ht="11.25" customHeight="1">
      <c r="A8" s="55"/>
      <c r="B8" s="55"/>
      <c r="C8" s="55"/>
      <c r="D8" s="55"/>
      <c r="E8" s="55"/>
      <c r="F8" s="55"/>
      <c r="G8" s="55"/>
      <c r="H8" s="55"/>
      <c r="I8" s="55"/>
      <c r="J8" s="55"/>
      <c r="K8" s="55"/>
      <c r="L8" s="55"/>
      <c r="M8" s="55"/>
      <c r="N8" s="535"/>
      <c r="O8" s="583"/>
      <c r="P8" s="583"/>
      <c r="Q8" s="583"/>
      <c r="R8" s="580"/>
      <c r="S8" s="580"/>
      <c r="T8" s="580"/>
    </row>
    <row r="9" spans="1:20" ht="11.25" customHeight="1">
      <c r="A9" s="53" t="str">
        <f>"1.1. Producción de energía eléctrica en "&amp;LOWER(Q4)&amp;" "&amp;Q5&amp;" en comparación al mismo mes del año anterior"</f>
        <v>1.1. Producción de energía eléctrica en mayo 2018 en comparación al mismo mes del año anterior</v>
      </c>
      <c r="B9" s="53"/>
      <c r="C9" s="53"/>
      <c r="D9" s="53"/>
      <c r="E9" s="53"/>
      <c r="F9" s="53"/>
      <c r="G9" s="53"/>
      <c r="H9" s="53"/>
      <c r="I9" s="53"/>
      <c r="J9" s="53"/>
      <c r="K9" s="53"/>
      <c r="L9" s="53"/>
      <c r="M9" s="53"/>
      <c r="N9" s="533"/>
      <c r="O9" s="579"/>
      <c r="P9" s="579"/>
      <c r="Q9" s="579"/>
      <c r="R9" s="580"/>
      <c r="S9" s="580"/>
      <c r="T9" s="580"/>
    </row>
    <row r="10" spans="1:20" ht="11.25" customHeight="1">
      <c r="A10" s="62"/>
      <c r="B10" s="56"/>
      <c r="C10" s="56"/>
      <c r="D10" s="56"/>
      <c r="E10" s="56"/>
      <c r="F10" s="56"/>
      <c r="G10" s="56"/>
      <c r="H10" s="56"/>
      <c r="I10" s="56"/>
      <c r="J10" s="56"/>
      <c r="K10" s="56"/>
      <c r="L10" s="56"/>
      <c r="M10" s="56"/>
      <c r="N10" s="534"/>
      <c r="O10" s="581"/>
      <c r="P10" s="581"/>
      <c r="Q10" s="581"/>
      <c r="R10" s="580"/>
      <c r="S10" s="580"/>
      <c r="T10" s="580"/>
    </row>
    <row r="11" spans="1:20" ht="11.25" customHeight="1">
      <c r="A11" s="65"/>
      <c r="B11" s="65"/>
      <c r="C11" s="65"/>
      <c r="D11" s="65"/>
      <c r="E11" s="65"/>
      <c r="F11" s="65"/>
      <c r="G11" s="65"/>
      <c r="H11" s="65"/>
      <c r="I11" s="65"/>
      <c r="J11" s="65"/>
      <c r="K11" s="65"/>
      <c r="L11" s="65"/>
      <c r="M11" s="65"/>
      <c r="N11" s="536"/>
      <c r="O11" s="584"/>
      <c r="P11" s="584"/>
      <c r="Q11" s="584"/>
    </row>
    <row r="12" spans="1:20" ht="26.25" customHeight="1">
      <c r="A12" s="79" t="s">
        <v>23</v>
      </c>
      <c r="B12" s="870" t="s">
        <v>701</v>
      </c>
      <c r="C12" s="870"/>
      <c r="D12" s="870"/>
      <c r="E12" s="870"/>
      <c r="F12" s="870"/>
      <c r="G12" s="870"/>
      <c r="H12" s="870"/>
      <c r="I12" s="870"/>
      <c r="J12" s="870"/>
      <c r="K12" s="870"/>
      <c r="L12" s="870"/>
      <c r="M12" s="870"/>
      <c r="N12" s="534"/>
      <c r="O12" s="581"/>
      <c r="P12" s="581"/>
      <c r="Q12" s="581"/>
    </row>
    <row r="13" spans="1:20" ht="12.75" customHeight="1">
      <c r="A13" s="51"/>
      <c r="B13" s="81"/>
      <c r="C13" s="81"/>
      <c r="D13" s="81"/>
      <c r="E13" s="81"/>
      <c r="F13" s="81"/>
      <c r="G13" s="81"/>
      <c r="H13" s="81"/>
      <c r="I13" s="81"/>
      <c r="J13" s="81"/>
      <c r="K13" s="81"/>
      <c r="L13" s="81"/>
      <c r="M13" s="56"/>
      <c r="N13" s="534"/>
      <c r="O13" s="581"/>
      <c r="P13" s="581"/>
      <c r="Q13" s="581"/>
    </row>
    <row r="14" spans="1:20" ht="28.5" customHeight="1">
      <c r="A14" s="79" t="s">
        <v>23</v>
      </c>
      <c r="B14" s="870" t="s">
        <v>702</v>
      </c>
      <c r="C14" s="870"/>
      <c r="D14" s="870"/>
      <c r="E14" s="870"/>
      <c r="F14" s="870"/>
      <c r="G14" s="870"/>
      <c r="H14" s="870"/>
      <c r="I14" s="870"/>
      <c r="J14" s="870"/>
      <c r="K14" s="870"/>
      <c r="L14" s="870"/>
      <c r="M14" s="870"/>
      <c r="N14" s="534"/>
      <c r="O14" s="581"/>
      <c r="P14" s="581"/>
      <c r="Q14" s="581"/>
    </row>
    <row r="15" spans="1:20" ht="15" customHeight="1">
      <c r="A15" s="80"/>
      <c r="B15" s="81"/>
      <c r="C15" s="81"/>
      <c r="D15" s="81"/>
      <c r="E15" s="81"/>
      <c r="F15" s="81"/>
      <c r="G15" s="81"/>
      <c r="H15" s="81"/>
      <c r="I15" s="81"/>
      <c r="J15" s="81"/>
      <c r="K15" s="81"/>
      <c r="L15" s="81"/>
      <c r="M15" s="56"/>
      <c r="N15" s="534"/>
      <c r="O15" s="581"/>
      <c r="P15" s="581"/>
      <c r="Q15" s="581"/>
    </row>
    <row r="16" spans="1:20" ht="57" customHeight="1">
      <c r="A16" s="79" t="s">
        <v>23</v>
      </c>
      <c r="B16" s="870" t="s">
        <v>703</v>
      </c>
      <c r="C16" s="870"/>
      <c r="D16" s="870"/>
      <c r="E16" s="870"/>
      <c r="F16" s="870"/>
      <c r="G16" s="870"/>
      <c r="H16" s="870"/>
      <c r="I16" s="870"/>
      <c r="J16" s="870"/>
      <c r="K16" s="870"/>
      <c r="L16" s="870"/>
      <c r="M16" s="870"/>
      <c r="N16" s="534"/>
      <c r="O16" s="581"/>
      <c r="P16" s="581"/>
      <c r="Q16" s="581"/>
    </row>
    <row r="17" spans="1:18" ht="17.25" customHeight="1">
      <c r="A17" s="56"/>
      <c r="B17" s="56"/>
      <c r="C17" s="56"/>
      <c r="D17" s="56"/>
      <c r="E17" s="56"/>
      <c r="F17" s="56"/>
      <c r="G17" s="56"/>
      <c r="H17" s="56"/>
      <c r="I17" s="56"/>
      <c r="J17" s="56"/>
      <c r="K17" s="56"/>
      <c r="L17" s="56"/>
      <c r="M17" s="56"/>
      <c r="N17" s="534"/>
      <c r="O17" s="581"/>
      <c r="P17" s="581"/>
      <c r="Q17" s="581"/>
    </row>
    <row r="18" spans="1:18" ht="25.5" customHeight="1">
      <c r="A18" s="78" t="s">
        <v>23</v>
      </c>
      <c r="B18" s="869" t="s">
        <v>704</v>
      </c>
      <c r="C18" s="869"/>
      <c r="D18" s="869"/>
      <c r="E18" s="869"/>
      <c r="F18" s="869"/>
      <c r="G18" s="869"/>
      <c r="H18" s="869"/>
      <c r="I18" s="869"/>
      <c r="J18" s="869"/>
      <c r="K18" s="869"/>
      <c r="L18" s="869"/>
      <c r="M18" s="869"/>
      <c r="N18" s="534"/>
      <c r="O18" s="581"/>
      <c r="P18" s="581"/>
      <c r="Q18" s="581"/>
    </row>
    <row r="19" spans="1:18" ht="11.25" customHeight="1">
      <c r="A19" s="56"/>
      <c r="B19" s="56"/>
      <c r="C19" s="56"/>
      <c r="D19" s="56"/>
      <c r="E19" s="56"/>
      <c r="F19" s="56"/>
      <c r="G19" s="56"/>
      <c r="H19" s="56"/>
      <c r="I19" s="56"/>
      <c r="J19" s="56"/>
      <c r="K19" s="56"/>
      <c r="L19" s="56"/>
      <c r="M19" s="56"/>
      <c r="N19" s="534"/>
      <c r="O19" s="581"/>
      <c r="P19" s="581"/>
      <c r="Q19" s="581"/>
    </row>
    <row r="20" spans="1:18" ht="15.75" customHeight="1">
      <c r="A20" s="56"/>
      <c r="B20" s="56"/>
      <c r="C20" s="866" t="str">
        <f>+UPPER(Q4)&amp;" "&amp;Q5</f>
        <v>MAYO 2018</v>
      </c>
      <c r="D20" s="867"/>
      <c r="E20" s="51"/>
      <c r="F20" s="51"/>
      <c r="G20" s="51"/>
      <c r="H20" s="51"/>
      <c r="I20" s="866" t="str">
        <f>+UPPER(Q4)&amp;" "&amp;Q5-1</f>
        <v>MAYO 2017</v>
      </c>
      <c r="J20" s="866"/>
      <c r="K20" s="866"/>
      <c r="L20" s="56"/>
      <c r="M20" s="56"/>
      <c r="Q20" s="581"/>
    </row>
    <row r="21" spans="1:18" ht="11.25" customHeight="1">
      <c r="A21" s="56"/>
      <c r="B21" s="56"/>
      <c r="C21" s="56"/>
      <c r="D21" s="56"/>
      <c r="E21" s="56"/>
      <c r="F21" s="56"/>
      <c r="G21" s="56"/>
      <c r="H21" s="56"/>
      <c r="I21" s="56"/>
      <c r="J21" s="56"/>
      <c r="K21" s="56"/>
      <c r="L21" s="56"/>
      <c r="M21" s="56"/>
      <c r="Q21" s="581"/>
    </row>
    <row r="22" spans="1:18" ht="11.25" customHeight="1">
      <c r="A22" s="66"/>
      <c r="B22" s="67"/>
      <c r="C22" s="67"/>
      <c r="D22" s="67"/>
      <c r="E22" s="67"/>
      <c r="F22" s="67"/>
      <c r="G22" s="67"/>
      <c r="H22" s="67"/>
      <c r="I22" s="67"/>
      <c r="J22" s="67"/>
      <c r="K22" s="67"/>
      <c r="L22" s="67"/>
      <c r="M22" s="67"/>
      <c r="N22" s="627" t="s">
        <v>31</v>
      </c>
      <c r="O22" s="585" t="s">
        <v>573</v>
      </c>
      <c r="P22" s="585" t="s">
        <v>574</v>
      </c>
    </row>
    <row r="23" spans="1:18" ht="11.25" customHeight="1">
      <c r="A23" s="66"/>
      <c r="B23" s="67"/>
      <c r="C23" s="67"/>
      <c r="D23" s="67"/>
      <c r="E23" s="67"/>
      <c r="F23" s="67"/>
      <c r="G23" s="67"/>
      <c r="H23" s="67"/>
      <c r="I23" s="67"/>
      <c r="J23" s="67"/>
      <c r="K23" s="67"/>
      <c r="L23" s="67"/>
      <c r="M23" s="67"/>
      <c r="N23" s="627" t="s">
        <v>24</v>
      </c>
      <c r="O23" s="586">
        <v>2632.7882674499997</v>
      </c>
      <c r="P23" s="586">
        <v>2689.024451012097</v>
      </c>
      <c r="Q23" s="587"/>
    </row>
    <row r="24" spans="1:18" ht="11.25" customHeight="1">
      <c r="A24" s="56"/>
      <c r="B24" s="56"/>
      <c r="C24" s="56"/>
      <c r="D24" s="56"/>
      <c r="E24" s="60"/>
      <c r="F24" s="68"/>
      <c r="G24" s="68"/>
      <c r="H24" s="68"/>
      <c r="I24" s="68"/>
      <c r="J24" s="68"/>
      <c r="K24" s="68"/>
      <c r="L24" s="68"/>
      <c r="M24" s="60"/>
      <c r="N24" s="628" t="s">
        <v>25</v>
      </c>
      <c r="O24" s="588">
        <v>1442.7810685250004</v>
      </c>
      <c r="P24" s="588">
        <v>1256.0516074302761</v>
      </c>
      <c r="Q24" s="586"/>
      <c r="R24" s="586"/>
    </row>
    <row r="25" spans="1:18" ht="11.25" customHeight="1">
      <c r="A25" s="56"/>
      <c r="B25" s="56"/>
      <c r="C25" s="56"/>
      <c r="D25" s="56"/>
      <c r="E25" s="56"/>
      <c r="F25" s="56"/>
      <c r="G25" s="56"/>
      <c r="H25" s="56"/>
      <c r="I25" s="56"/>
      <c r="J25" s="69"/>
      <c r="K25" s="69"/>
      <c r="L25" s="56"/>
      <c r="M25" s="56"/>
      <c r="N25" s="628" t="s">
        <v>26</v>
      </c>
      <c r="O25" s="588">
        <v>0</v>
      </c>
      <c r="P25" s="588">
        <v>2.3335977370045247</v>
      </c>
      <c r="Q25" s="589"/>
    </row>
    <row r="26" spans="1:18" ht="11.25" customHeight="1">
      <c r="A26" s="56"/>
      <c r="B26" s="56"/>
      <c r="C26" s="56"/>
      <c r="D26" s="56"/>
      <c r="E26" s="56"/>
      <c r="F26" s="56"/>
      <c r="G26" s="56"/>
      <c r="H26" s="56"/>
      <c r="I26" s="56"/>
      <c r="J26" s="69"/>
      <c r="K26" s="69"/>
      <c r="L26" s="56"/>
      <c r="M26" s="56"/>
      <c r="N26" s="629" t="s">
        <v>27</v>
      </c>
      <c r="O26" s="586">
        <v>0.46945403999999991</v>
      </c>
      <c r="P26" s="586">
        <v>94.580078281229433</v>
      </c>
      <c r="Q26" s="589"/>
    </row>
    <row r="27" spans="1:18" ht="11.25" customHeight="1">
      <c r="A27" s="56"/>
      <c r="B27" s="56"/>
      <c r="C27" s="56"/>
      <c r="D27" s="56"/>
      <c r="E27" s="56"/>
      <c r="F27" s="56"/>
      <c r="G27" s="56"/>
      <c r="H27" s="56"/>
      <c r="I27" s="56"/>
      <c r="J27" s="69"/>
      <c r="K27" s="56"/>
      <c r="L27" s="56"/>
      <c r="M27" s="56"/>
      <c r="N27" s="627" t="s">
        <v>28</v>
      </c>
      <c r="O27" s="586">
        <v>10.730150887500001</v>
      </c>
      <c r="P27" s="586">
        <v>13.088300618287199</v>
      </c>
      <c r="Q27" s="589"/>
    </row>
    <row r="28" spans="1:18" ht="11.25" customHeight="1">
      <c r="A28" s="56"/>
      <c r="B28" s="56"/>
      <c r="C28" s="69"/>
      <c r="D28" s="69"/>
      <c r="E28" s="69"/>
      <c r="F28" s="69"/>
      <c r="G28" s="69"/>
      <c r="H28" s="69"/>
      <c r="I28" s="69"/>
      <c r="J28" s="69"/>
      <c r="K28" s="69"/>
      <c r="L28" s="56"/>
      <c r="M28" s="56"/>
      <c r="N28" s="627" t="s">
        <v>29</v>
      </c>
      <c r="O28" s="586">
        <v>143.30216725</v>
      </c>
      <c r="P28" s="586">
        <v>93.012631515207701</v>
      </c>
      <c r="Q28" s="589"/>
    </row>
    <row r="29" spans="1:18" ht="11.25" customHeight="1">
      <c r="A29" s="56"/>
      <c r="B29" s="56"/>
      <c r="C29" s="69"/>
      <c r="D29" s="69"/>
      <c r="E29" s="69"/>
      <c r="F29" s="69"/>
      <c r="G29" s="69"/>
      <c r="H29" s="69"/>
      <c r="I29" s="69"/>
      <c r="J29" s="69"/>
      <c r="K29" s="69"/>
      <c r="L29" s="56"/>
      <c r="M29" s="56"/>
      <c r="N29" s="627" t="s">
        <v>30</v>
      </c>
      <c r="O29" s="586">
        <v>57.9052203225</v>
      </c>
      <c r="P29" s="586">
        <v>15.97481835214</v>
      </c>
      <c r="Q29" s="589"/>
    </row>
    <row r="30" spans="1:18" ht="11.25" customHeight="1">
      <c r="A30" s="56"/>
      <c r="B30" s="56"/>
      <c r="C30" s="69"/>
      <c r="D30" s="69"/>
      <c r="E30" s="69"/>
      <c r="F30" s="69"/>
      <c r="G30" s="69"/>
      <c r="H30" s="69"/>
      <c r="I30" s="69"/>
      <c r="J30" s="69"/>
      <c r="K30" s="69"/>
      <c r="L30" s="56"/>
      <c r="M30" s="56"/>
      <c r="N30" s="630"/>
      <c r="O30" s="590"/>
      <c r="P30" s="590"/>
      <c r="Q30" s="589"/>
    </row>
    <row r="31" spans="1:18" ht="11.25" customHeight="1">
      <c r="A31" s="56"/>
      <c r="B31" s="56"/>
      <c r="C31" s="69"/>
      <c r="D31" s="69"/>
      <c r="E31" s="69"/>
      <c r="F31" s="69"/>
      <c r="G31" s="69"/>
      <c r="H31" s="69"/>
      <c r="I31" s="69"/>
      <c r="J31" s="69"/>
      <c r="K31" s="69"/>
      <c r="L31" s="56"/>
      <c r="M31" s="56"/>
      <c r="O31" s="676"/>
      <c r="P31" s="676"/>
      <c r="Q31" s="677"/>
    </row>
    <row r="32" spans="1:18" ht="11.25" customHeight="1">
      <c r="A32" s="56"/>
      <c r="B32" s="56"/>
      <c r="C32" s="69"/>
      <c r="D32" s="69"/>
      <c r="E32" s="69"/>
      <c r="F32" s="69"/>
      <c r="G32" s="69"/>
      <c r="H32" s="69"/>
      <c r="I32" s="69"/>
      <c r="J32" s="69"/>
      <c r="K32" s="69"/>
      <c r="L32" s="56"/>
      <c r="M32" s="56"/>
      <c r="Q32" s="581"/>
    </row>
    <row r="33" spans="1:17" ht="11.25" customHeight="1">
      <c r="A33" s="56"/>
      <c r="B33" s="56"/>
      <c r="C33" s="69"/>
      <c r="D33" s="69"/>
      <c r="E33" s="69"/>
      <c r="F33" s="69"/>
      <c r="G33" s="69"/>
      <c r="H33" s="69"/>
      <c r="I33" s="69"/>
      <c r="J33" s="69"/>
      <c r="K33" s="69"/>
      <c r="L33" s="56"/>
      <c r="M33" s="56"/>
      <c r="Q33" s="581"/>
    </row>
    <row r="34" spans="1:17" ht="11.25" customHeight="1">
      <c r="A34" s="56"/>
      <c r="B34" s="56"/>
      <c r="C34" s="69"/>
      <c r="D34" s="69"/>
      <c r="E34" s="69"/>
      <c r="F34" s="69"/>
      <c r="G34" s="69"/>
      <c r="H34" s="69"/>
      <c r="I34" s="69"/>
      <c r="J34" s="69"/>
      <c r="K34" s="69"/>
      <c r="L34" s="56"/>
      <c r="M34" s="56"/>
      <c r="Q34" s="581"/>
    </row>
    <row r="35" spans="1:17" ht="11.25" customHeight="1">
      <c r="A35" s="70"/>
      <c r="B35" s="70"/>
      <c r="C35" s="71"/>
      <c r="D35" s="71"/>
      <c r="E35" s="71"/>
      <c r="F35" s="71"/>
      <c r="G35" s="71"/>
      <c r="H35" s="71"/>
      <c r="I35" s="71"/>
      <c r="J35" s="70"/>
      <c r="K35" s="70"/>
      <c r="L35" s="70"/>
      <c r="M35" s="70"/>
      <c r="Q35" s="581"/>
    </row>
    <row r="36" spans="1:17" ht="11.25" customHeight="1">
      <c r="A36" s="70"/>
      <c r="B36" s="70"/>
      <c r="C36" s="71"/>
      <c r="D36" s="71"/>
      <c r="E36" s="71"/>
      <c r="F36" s="71"/>
      <c r="G36" s="71"/>
      <c r="H36" s="71"/>
      <c r="I36" s="71"/>
      <c r="J36" s="70"/>
      <c r="K36" s="70"/>
      <c r="L36" s="70"/>
      <c r="M36" s="70"/>
      <c r="Q36" s="581"/>
    </row>
    <row r="37" spans="1:17" ht="11.25" customHeight="1">
      <c r="A37" s="70"/>
      <c r="B37" s="70"/>
      <c r="C37" s="71"/>
      <c r="D37" s="71"/>
      <c r="E37" s="71"/>
      <c r="F37" s="71"/>
      <c r="G37" s="71"/>
      <c r="H37" s="71"/>
      <c r="I37" s="71"/>
      <c r="J37" s="70"/>
      <c r="K37" s="70"/>
      <c r="L37" s="70"/>
      <c r="M37" s="70"/>
      <c r="N37" s="534"/>
      <c r="O37" s="581"/>
      <c r="P37" s="581"/>
      <c r="Q37" s="581"/>
    </row>
    <row r="38" spans="1:17" ht="11.25" customHeight="1">
      <c r="A38" s="70"/>
      <c r="B38" s="70"/>
      <c r="C38" s="71"/>
      <c r="D38" s="71"/>
      <c r="E38" s="71"/>
      <c r="F38" s="71"/>
      <c r="G38" s="71"/>
      <c r="H38" s="71"/>
      <c r="I38" s="71"/>
      <c r="J38" s="70"/>
      <c r="K38" s="70"/>
      <c r="L38" s="70"/>
      <c r="M38" s="70"/>
      <c r="N38" s="534"/>
      <c r="O38" s="581"/>
      <c r="P38" s="581"/>
      <c r="Q38" s="581"/>
    </row>
    <row r="39" spans="1:17" ht="11.25" customHeight="1">
      <c r="A39" s="70"/>
      <c r="B39" s="70"/>
      <c r="C39" s="71"/>
      <c r="D39" s="71"/>
      <c r="E39" s="71"/>
      <c r="F39" s="71"/>
      <c r="G39" s="71"/>
      <c r="H39" s="71"/>
      <c r="I39" s="71"/>
      <c r="J39" s="70"/>
      <c r="K39" s="70"/>
      <c r="L39" s="70"/>
      <c r="M39" s="70"/>
      <c r="N39" s="534"/>
      <c r="O39" s="581"/>
      <c r="P39" s="581"/>
      <c r="Q39" s="581"/>
    </row>
    <row r="40" spans="1:17" ht="11.25" customHeight="1">
      <c r="A40" s="70"/>
      <c r="B40" s="70"/>
      <c r="C40" s="71"/>
      <c r="D40" s="71"/>
      <c r="E40" s="71"/>
      <c r="F40" s="71"/>
      <c r="G40" s="71"/>
      <c r="H40" s="71"/>
      <c r="I40" s="71"/>
      <c r="J40" s="70"/>
      <c r="K40" s="70"/>
      <c r="L40" s="70"/>
      <c r="M40" s="70"/>
      <c r="N40" s="534"/>
      <c r="O40" s="581"/>
      <c r="P40" s="581"/>
      <c r="Q40" s="581"/>
    </row>
    <row r="41" spans="1:17" ht="11.25" customHeight="1">
      <c r="A41" s="70"/>
      <c r="B41" s="70"/>
      <c r="C41" s="70"/>
      <c r="D41" s="71"/>
      <c r="E41" s="71"/>
      <c r="F41" s="71"/>
      <c r="G41" s="71"/>
      <c r="H41" s="70"/>
      <c r="I41" s="70"/>
      <c r="J41" s="70"/>
      <c r="K41" s="70"/>
      <c r="L41" s="70"/>
      <c r="M41" s="70"/>
      <c r="N41" s="534"/>
      <c r="O41" s="581"/>
      <c r="P41" s="581"/>
      <c r="Q41" s="581"/>
    </row>
    <row r="42" spans="1:17" ht="11.25" customHeight="1">
      <c r="A42" s="70"/>
      <c r="B42" s="70"/>
      <c r="C42" s="71"/>
      <c r="D42" s="71"/>
      <c r="E42" s="71"/>
      <c r="F42" s="71"/>
      <c r="G42" s="71"/>
      <c r="H42" s="71"/>
      <c r="I42" s="71"/>
      <c r="J42" s="70"/>
      <c r="K42" s="70"/>
      <c r="L42" s="70"/>
      <c r="M42" s="70"/>
      <c r="N42" s="534"/>
      <c r="O42" s="581"/>
      <c r="P42" s="581"/>
      <c r="Q42" s="581"/>
    </row>
    <row r="43" spans="1:17" ht="11.25" customHeight="1">
      <c r="A43" s="70"/>
      <c r="B43" s="70"/>
      <c r="C43" s="71"/>
      <c r="D43" s="71"/>
      <c r="E43" s="71"/>
      <c r="F43" s="71"/>
      <c r="G43" s="71"/>
      <c r="H43" s="71"/>
      <c r="I43" s="71"/>
      <c r="J43" s="70"/>
      <c r="K43" s="70"/>
      <c r="L43" s="70"/>
      <c r="M43" s="70"/>
      <c r="N43" s="534"/>
      <c r="O43" s="581"/>
      <c r="P43" s="581"/>
      <c r="Q43" s="581"/>
    </row>
    <row r="44" spans="1:17" ht="11.25" customHeight="1">
      <c r="A44" s="70"/>
      <c r="B44" s="70"/>
      <c r="C44" s="71"/>
      <c r="D44" s="71"/>
      <c r="E44" s="71"/>
      <c r="F44" s="71"/>
      <c r="G44" s="71"/>
      <c r="H44" s="71"/>
      <c r="I44" s="71"/>
      <c r="J44" s="70"/>
      <c r="K44" s="70"/>
      <c r="L44" s="70"/>
      <c r="M44" s="70"/>
      <c r="N44" s="534"/>
      <c r="O44" s="581"/>
      <c r="P44" s="581"/>
      <c r="Q44" s="581"/>
    </row>
    <row r="45" spans="1:17" ht="11.25" customHeight="1">
      <c r="A45" s="70"/>
      <c r="B45" s="70"/>
      <c r="C45" s="71"/>
      <c r="D45" s="71"/>
      <c r="E45" s="71"/>
      <c r="F45" s="71"/>
      <c r="G45" s="71"/>
      <c r="H45" s="71"/>
      <c r="I45" s="71"/>
      <c r="J45" s="70"/>
      <c r="K45" s="70"/>
      <c r="L45" s="70"/>
      <c r="M45" s="70"/>
      <c r="N45" s="534"/>
      <c r="O45" s="581"/>
      <c r="P45" s="581"/>
      <c r="Q45" s="581"/>
    </row>
    <row r="46" spans="1:17" ht="11.25" customHeight="1">
      <c r="A46" s="70"/>
      <c r="B46" s="70"/>
      <c r="C46" s="70"/>
      <c r="D46" s="70"/>
      <c r="E46" s="70"/>
      <c r="F46" s="70"/>
      <c r="G46" s="70"/>
      <c r="H46" s="70"/>
      <c r="I46" s="70"/>
      <c r="J46" s="70"/>
      <c r="K46" s="70"/>
      <c r="L46" s="70"/>
      <c r="M46" s="70"/>
      <c r="N46" s="534"/>
      <c r="O46" s="581"/>
      <c r="P46" s="581"/>
      <c r="Q46" s="581"/>
    </row>
    <row r="47" spans="1:17" ht="16.5" customHeight="1">
      <c r="A47" s="70"/>
      <c r="B47" s="868" t="str">
        <f>"Total = "&amp;TEXT(ROUND(SUM(O23:O29),2),"0 000,00")&amp;" GWh"</f>
        <v>Total = 4 287,98 GWh</v>
      </c>
      <c r="C47" s="868"/>
      <c r="D47" s="868"/>
      <c r="E47" s="868"/>
      <c r="F47" s="70"/>
      <c r="G47" s="70"/>
      <c r="H47" s="868" t="str">
        <f>"Total = "&amp;TEXT(ROUND(SUM(P23:P29),2),"0 000,00")&amp;" GWh"</f>
        <v>Total = 4 164,07 GWh</v>
      </c>
      <c r="I47" s="868"/>
      <c r="J47" s="868"/>
      <c r="K47" s="868"/>
      <c r="L47" s="70"/>
      <c r="M47" s="70"/>
      <c r="N47" s="534"/>
      <c r="O47" s="581"/>
      <c r="P47" s="581"/>
      <c r="Q47" s="581"/>
    </row>
    <row r="48" spans="1:17" ht="11.25" customHeight="1">
      <c r="H48" s="70"/>
      <c r="I48" s="70"/>
      <c r="J48" s="70"/>
      <c r="K48" s="70"/>
      <c r="L48" s="70"/>
      <c r="M48" s="70"/>
      <c r="N48" s="534"/>
      <c r="O48" s="581"/>
      <c r="P48" s="581"/>
      <c r="Q48" s="581"/>
    </row>
    <row r="49" spans="1:17" ht="11.25" customHeight="1">
      <c r="B49" s="865" t="str">
        <f>"Gráfico 1: Comparación de producción mensual de electricidad en "&amp;Q4&amp;" por tipo de recurso energético"</f>
        <v>Gráfico 1: Comparación de producción mensual de electricidad en mayo por tipo de recurso energético</v>
      </c>
      <c r="C49" s="865"/>
      <c r="D49" s="865"/>
      <c r="E49" s="865"/>
      <c r="F49" s="865"/>
      <c r="G49" s="865"/>
      <c r="H49" s="865"/>
      <c r="I49" s="865"/>
      <c r="J49" s="865"/>
      <c r="K49" s="865"/>
      <c r="L49" s="865"/>
      <c r="M49" s="342"/>
      <c r="N49" s="537"/>
      <c r="O49" s="581"/>
      <c r="P49" s="581"/>
      <c r="Q49" s="581"/>
    </row>
    <row r="50" spans="1:17" ht="11.25" customHeight="1">
      <c r="A50" s="70"/>
      <c r="B50" s="70"/>
      <c r="C50" s="57"/>
      <c r="D50" s="57"/>
      <c r="E50" s="70"/>
      <c r="F50" s="70"/>
      <c r="G50" s="70"/>
      <c r="H50" s="70"/>
      <c r="I50" s="70"/>
      <c r="J50" s="70"/>
      <c r="K50" s="70"/>
      <c r="L50" s="70"/>
      <c r="M50" s="70"/>
      <c r="N50" s="534"/>
      <c r="O50" s="581"/>
      <c r="P50" s="581"/>
      <c r="Q50" s="581"/>
    </row>
    <row r="51" spans="1:17" ht="11.25" customHeight="1">
      <c r="A51" s="70"/>
      <c r="B51" s="70"/>
      <c r="C51" s="70"/>
      <c r="D51" s="70"/>
      <c r="E51" s="70"/>
      <c r="F51" s="70"/>
      <c r="G51" s="70"/>
      <c r="H51" s="70"/>
      <c r="I51" s="70"/>
      <c r="J51" s="70"/>
      <c r="K51" s="70"/>
      <c r="L51" s="70"/>
      <c r="M51" s="70"/>
      <c r="N51" s="534"/>
      <c r="O51" s="581"/>
      <c r="P51" s="581"/>
      <c r="Q51" s="581"/>
    </row>
    <row r="52" spans="1:17" ht="11.25" customHeight="1">
      <c r="A52" s="70"/>
      <c r="B52" s="70"/>
      <c r="C52" s="70"/>
      <c r="D52" s="70"/>
      <c r="E52" s="70"/>
      <c r="F52" s="70"/>
      <c r="G52" s="70"/>
      <c r="H52" s="70"/>
      <c r="I52" s="70"/>
      <c r="J52" s="70"/>
      <c r="K52" s="70"/>
      <c r="L52" s="70"/>
      <c r="M52" s="70"/>
      <c r="N52" s="534"/>
      <c r="O52" s="581"/>
      <c r="P52" s="581"/>
      <c r="Q52" s="581"/>
    </row>
    <row r="53" spans="1:17" ht="11.25" customHeight="1">
      <c r="A53" s="70"/>
      <c r="B53" s="70"/>
      <c r="C53" s="70"/>
      <c r="D53" s="70"/>
      <c r="E53" s="70"/>
      <c r="F53" s="70"/>
      <c r="G53" s="70"/>
      <c r="H53" s="70"/>
      <c r="I53" s="70"/>
      <c r="J53" s="70"/>
      <c r="K53" s="70"/>
      <c r="L53" s="70"/>
      <c r="M53" s="70"/>
      <c r="N53" s="534"/>
      <c r="O53" s="581"/>
      <c r="P53" s="581"/>
      <c r="Q53" s="581"/>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Mayo 2018
INFSGI-MES-05-2018
07/06/2018
Versión: 01</oddHeader>
    <oddFooter>&amp;LCOES SINAC,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49"/>
  <sheetViews>
    <sheetView showGridLines="0" view="pageBreakPreview" zoomScale="160" zoomScaleNormal="100" zoomScaleSheetLayoutView="160" zoomScalePageLayoutView="145" workbookViewId="0">
      <selection activeCell="Q26" sqref="Q26"/>
    </sheetView>
  </sheetViews>
  <sheetFormatPr defaultRowHeight="9"/>
  <cols>
    <col min="1" max="1" width="16.1640625" style="510" customWidth="1"/>
    <col min="2" max="2" width="19.6640625" style="510" customWidth="1"/>
    <col min="3" max="3" width="12.16406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53.25" customHeight="1">
      <c r="A2" s="525" t="s">
        <v>107</v>
      </c>
      <c r="B2" s="525" t="s">
        <v>631</v>
      </c>
      <c r="C2" s="526">
        <v>43240.368750000001</v>
      </c>
      <c r="D2" s="684" t="s">
        <v>632</v>
      </c>
      <c r="E2" s="527">
        <v>0.57999999999999996</v>
      </c>
      <c r="F2" s="527"/>
      <c r="G2" s="475"/>
      <c r="H2" s="475"/>
      <c r="I2" s="516"/>
    </row>
    <row r="3" spans="1:9" s="510" customFormat="1" ht="87" customHeight="1">
      <c r="A3" s="525" t="s">
        <v>620</v>
      </c>
      <c r="B3" s="525" t="s">
        <v>621</v>
      </c>
      <c r="C3" s="526">
        <v>43240.652777777781</v>
      </c>
      <c r="D3" s="684" t="s">
        <v>633</v>
      </c>
      <c r="E3" s="527">
        <v>9.61</v>
      </c>
      <c r="F3" s="527"/>
      <c r="G3" s="475"/>
      <c r="H3" s="475"/>
      <c r="I3" s="514"/>
    </row>
    <row r="4" spans="1:9" s="510" customFormat="1" ht="90" customHeight="1">
      <c r="A4" s="525" t="s">
        <v>634</v>
      </c>
      <c r="B4" s="525" t="s">
        <v>635</v>
      </c>
      <c r="C4" s="526">
        <v>43242.430555555555</v>
      </c>
      <c r="D4" s="684" t="s">
        <v>636</v>
      </c>
      <c r="E4" s="527">
        <v>7.7</v>
      </c>
      <c r="F4" s="527"/>
      <c r="G4" s="475"/>
      <c r="H4" s="475"/>
      <c r="I4" s="514"/>
    </row>
    <row r="5" spans="1:9" s="510" customFormat="1" ht="72" customHeight="1">
      <c r="A5" s="525" t="s">
        <v>96</v>
      </c>
      <c r="B5" s="525" t="s">
        <v>637</v>
      </c>
      <c r="C5" s="526">
        <v>43242.707638888889</v>
      </c>
      <c r="D5" s="684" t="s">
        <v>638</v>
      </c>
      <c r="E5" s="527">
        <v>3.7</v>
      </c>
      <c r="F5" s="527"/>
      <c r="G5" s="475"/>
      <c r="H5" s="475"/>
      <c r="I5" s="514"/>
    </row>
    <row r="6" spans="1:9" s="510" customFormat="1" ht="68.25" customHeight="1">
      <c r="A6" s="525" t="s">
        <v>639</v>
      </c>
      <c r="B6" s="525" t="s">
        <v>640</v>
      </c>
      <c r="C6" s="526">
        <v>43243.395833333336</v>
      </c>
      <c r="D6" s="684" t="s">
        <v>641</v>
      </c>
      <c r="E6" s="527">
        <v>11.6</v>
      </c>
      <c r="F6" s="527"/>
      <c r="G6" s="475"/>
      <c r="H6" s="475"/>
      <c r="I6" s="514"/>
    </row>
    <row r="7" spans="1:9" s="510" customFormat="1" ht="104.25" customHeight="1">
      <c r="A7" s="525" t="s">
        <v>487</v>
      </c>
      <c r="B7" s="525" t="s">
        <v>642</v>
      </c>
      <c r="C7" s="526">
        <v>43244.068749999999</v>
      </c>
      <c r="D7" s="684" t="s">
        <v>643</v>
      </c>
      <c r="E7" s="527">
        <v>27.52</v>
      </c>
      <c r="F7" s="527"/>
      <c r="G7" s="475"/>
      <c r="H7" s="475"/>
      <c r="I7" s="514"/>
    </row>
    <row r="8" spans="1:9" s="510" customFormat="1" ht="61.5" customHeight="1">
      <c r="A8" s="525" t="s">
        <v>486</v>
      </c>
      <c r="B8" s="525" t="s">
        <v>644</v>
      </c>
      <c r="C8" s="526">
        <v>43244.376388888886</v>
      </c>
      <c r="D8" s="684" t="s">
        <v>645</v>
      </c>
      <c r="E8" s="527">
        <v>68.400000000000006</v>
      </c>
      <c r="F8" s="527"/>
      <c r="G8" s="475"/>
      <c r="H8" s="481"/>
      <c r="I8" s="514"/>
    </row>
    <row r="9" spans="1:9" ht="92.25" customHeight="1">
      <c r="A9" s="525" t="s">
        <v>646</v>
      </c>
      <c r="B9" s="525" t="s">
        <v>647</v>
      </c>
      <c r="C9" s="526">
        <v>43244.381249999999</v>
      </c>
      <c r="D9" s="684" t="s">
        <v>648</v>
      </c>
      <c r="E9" s="527">
        <v>5.97</v>
      </c>
      <c r="F9" s="527"/>
    </row>
    <row r="10" spans="1:9" ht="93.75" customHeight="1">
      <c r="A10" s="525" t="s">
        <v>646</v>
      </c>
      <c r="B10" s="525" t="s">
        <v>647</v>
      </c>
      <c r="C10" s="526">
        <v>43244.390277777777</v>
      </c>
      <c r="D10" s="684" t="s">
        <v>649</v>
      </c>
      <c r="E10" s="527"/>
      <c r="F10" s="527">
        <v>72.75</v>
      </c>
    </row>
    <row r="11" spans="1:9">
      <c r="E11" s="520"/>
      <c r="F11" s="520"/>
    </row>
    <row r="12" spans="1:9">
      <c r="E12" s="520"/>
      <c r="F12" s="520"/>
    </row>
    <row r="13" spans="1:9">
      <c r="E13" s="520"/>
      <c r="F13" s="520"/>
    </row>
    <row r="14" spans="1:9">
      <c r="E14" s="520"/>
      <c r="F14" s="520"/>
    </row>
    <row r="15" spans="1:9">
      <c r="E15" s="520"/>
      <c r="F15" s="520"/>
    </row>
    <row r="16" spans="1:9">
      <c r="E16" s="520"/>
      <c r="F16" s="520"/>
    </row>
    <row r="17" spans="5:6">
      <c r="E17" s="520"/>
      <c r="F17" s="520"/>
    </row>
    <row r="18" spans="5:6">
      <c r="E18" s="520"/>
      <c r="F18" s="520"/>
    </row>
    <row r="19" spans="5:6">
      <c r="E19" s="520"/>
      <c r="F19" s="520"/>
    </row>
    <row r="20" spans="5:6">
      <c r="E20" s="520"/>
      <c r="F20" s="520"/>
    </row>
    <row r="21" spans="5:6">
      <c r="E21" s="520"/>
      <c r="F21" s="520"/>
    </row>
    <row r="22" spans="5:6">
      <c r="E22" s="520"/>
      <c r="F22" s="520"/>
    </row>
    <row r="23" spans="5:6">
      <c r="E23" s="520"/>
      <c r="F23" s="520"/>
    </row>
    <row r="24" spans="5:6">
      <c r="E24" s="520"/>
      <c r="F24" s="520"/>
    </row>
    <row r="25" spans="5:6">
      <c r="E25" s="520"/>
      <c r="F25" s="520"/>
    </row>
    <row r="26" spans="5:6">
      <c r="E26" s="520"/>
      <c r="F26" s="520"/>
    </row>
    <row r="27" spans="5:6">
      <c r="E27" s="520"/>
      <c r="F27" s="520"/>
    </row>
    <row r="28" spans="5:6">
      <c r="E28" s="520"/>
      <c r="F28" s="520"/>
    </row>
    <row r="29" spans="5:6">
      <c r="E29" s="520"/>
      <c r="F29" s="520"/>
    </row>
    <row r="30" spans="5:6">
      <c r="E30" s="520"/>
      <c r="F30" s="520"/>
    </row>
    <row r="31" spans="5:6">
      <c r="E31" s="520"/>
      <c r="F31" s="520"/>
    </row>
    <row r="32" spans="5:6">
      <c r="E32" s="520"/>
      <c r="F32" s="520"/>
    </row>
    <row r="33" spans="5:6">
      <c r="E33" s="520"/>
      <c r="F33" s="520"/>
    </row>
    <row r="34" spans="5:6">
      <c r="E34" s="520"/>
      <c r="F34" s="520"/>
    </row>
    <row r="35" spans="5:6">
      <c r="E35" s="520"/>
      <c r="F35" s="520"/>
    </row>
    <row r="36" spans="5:6">
      <c r="E36" s="520"/>
      <c r="F36" s="520"/>
    </row>
    <row r="37" spans="5:6">
      <c r="E37" s="520"/>
      <c r="F37" s="520"/>
    </row>
    <row r="38" spans="5:6">
      <c r="E38" s="520"/>
      <c r="F38" s="520"/>
    </row>
    <row r="39" spans="5:6">
      <c r="E39" s="520"/>
      <c r="F39" s="520"/>
    </row>
    <row r="40" spans="5:6">
      <c r="E40" s="520"/>
      <c r="F40" s="520"/>
    </row>
    <row r="41" spans="5:6">
      <c r="E41" s="520"/>
      <c r="F41" s="520"/>
    </row>
    <row r="42" spans="5:6">
      <c r="E42" s="520"/>
      <c r="F42" s="520"/>
    </row>
    <row r="43" spans="5:6">
      <c r="E43" s="520"/>
      <c r="F43" s="520"/>
    </row>
    <row r="44" spans="5:6">
      <c r="E44" s="520"/>
      <c r="F44" s="520"/>
    </row>
    <row r="45" spans="5:6">
      <c r="E45" s="520"/>
      <c r="F45" s="520"/>
    </row>
    <row r="46" spans="5:6">
      <c r="E46" s="520"/>
      <c r="F46" s="520"/>
    </row>
    <row r="47" spans="5:6">
      <c r="E47" s="520"/>
      <c r="F47" s="520"/>
    </row>
    <row r="48" spans="5:6">
      <c r="E48" s="520"/>
      <c r="F48" s="520"/>
    </row>
    <row r="49" spans="5:6">
      <c r="E49" s="520"/>
      <c r="F49" s="520"/>
    </row>
    <row r="50" spans="5:6">
      <c r="E50" s="520"/>
      <c r="F50" s="520"/>
    </row>
    <row r="51" spans="5:6">
      <c r="E51" s="520"/>
      <c r="F51" s="520"/>
    </row>
    <row r="52" spans="5:6">
      <c r="E52" s="520"/>
      <c r="F52" s="520"/>
    </row>
    <row r="53" spans="5:6">
      <c r="E53" s="520"/>
      <c r="F53" s="520"/>
    </row>
    <row r="54" spans="5:6">
      <c r="E54" s="520"/>
      <c r="F54" s="520"/>
    </row>
    <row r="55" spans="5:6">
      <c r="E55" s="520"/>
      <c r="F55" s="520"/>
    </row>
    <row r="56" spans="5:6">
      <c r="E56" s="520"/>
      <c r="F56" s="520"/>
    </row>
    <row r="57" spans="5:6">
      <c r="E57" s="520"/>
      <c r="F57" s="520"/>
    </row>
    <row r="58" spans="5:6">
      <c r="E58" s="520"/>
      <c r="F58" s="520"/>
    </row>
    <row r="59" spans="5:6">
      <c r="E59" s="520"/>
      <c r="F59" s="520"/>
    </row>
    <row r="60" spans="5:6">
      <c r="E60" s="520"/>
      <c r="F60" s="520"/>
    </row>
    <row r="61" spans="5:6">
      <c r="E61" s="520"/>
      <c r="F61" s="520"/>
    </row>
    <row r="62" spans="5:6">
      <c r="E62" s="520"/>
      <c r="F62" s="520"/>
    </row>
    <row r="63" spans="5:6">
      <c r="E63" s="520"/>
      <c r="F63" s="520"/>
    </row>
    <row r="64" spans="5:6">
      <c r="E64" s="520"/>
      <c r="F64" s="520"/>
    </row>
    <row r="65" spans="5:6">
      <c r="E65" s="520"/>
      <c r="F65" s="520"/>
    </row>
    <row r="66" spans="5:6">
      <c r="E66" s="520"/>
      <c r="F66" s="520"/>
    </row>
    <row r="67" spans="5:6">
      <c r="E67" s="520"/>
      <c r="F67" s="520"/>
    </row>
    <row r="68" spans="5:6">
      <c r="E68" s="520"/>
      <c r="F68" s="520"/>
    </row>
    <row r="69" spans="5:6">
      <c r="E69" s="520"/>
      <c r="F69" s="520"/>
    </row>
    <row r="70" spans="5:6">
      <c r="E70" s="520"/>
      <c r="F70" s="520"/>
    </row>
    <row r="71" spans="5:6">
      <c r="E71" s="520"/>
      <c r="F71" s="520"/>
    </row>
    <row r="72" spans="5:6">
      <c r="E72" s="520"/>
      <c r="F72" s="520"/>
    </row>
    <row r="73" spans="5:6">
      <c r="E73" s="520"/>
      <c r="F73" s="520"/>
    </row>
    <row r="74" spans="5:6">
      <c r="E74" s="520"/>
      <c r="F74" s="520"/>
    </row>
    <row r="75" spans="5:6">
      <c r="E75" s="520"/>
      <c r="F75" s="520"/>
    </row>
    <row r="76" spans="5:6">
      <c r="E76" s="520"/>
      <c r="F76" s="520"/>
    </row>
    <row r="77" spans="5:6">
      <c r="E77" s="520"/>
      <c r="F77" s="520"/>
    </row>
    <row r="78" spans="5:6">
      <c r="E78" s="520"/>
      <c r="F78" s="520"/>
    </row>
    <row r="79" spans="5:6">
      <c r="E79" s="520"/>
      <c r="F79" s="520"/>
    </row>
    <row r="80" spans="5:6">
      <c r="E80" s="520"/>
      <c r="F80" s="520"/>
    </row>
    <row r="81" spans="5:6">
      <c r="E81" s="520"/>
      <c r="F81" s="520"/>
    </row>
    <row r="82" spans="5:6">
      <c r="E82" s="520"/>
      <c r="F82" s="520"/>
    </row>
    <row r="83" spans="5:6">
      <c r="E83" s="520"/>
      <c r="F83" s="520"/>
    </row>
    <row r="84" spans="5:6">
      <c r="E84" s="520"/>
      <c r="F84" s="520"/>
    </row>
    <row r="85" spans="5:6">
      <c r="E85" s="520"/>
      <c r="F85" s="520"/>
    </row>
    <row r="86" spans="5:6">
      <c r="E86" s="520"/>
      <c r="F86" s="520"/>
    </row>
    <row r="87" spans="5:6">
      <c r="E87" s="520"/>
      <c r="F87" s="520"/>
    </row>
    <row r="88" spans="5:6">
      <c r="E88" s="520"/>
      <c r="F88" s="520"/>
    </row>
    <row r="89" spans="5:6">
      <c r="E89" s="520"/>
      <c r="F89" s="520"/>
    </row>
    <row r="90" spans="5:6">
      <c r="E90" s="520"/>
      <c r="F90" s="520"/>
    </row>
    <row r="91" spans="5:6">
      <c r="E91" s="520"/>
      <c r="F91" s="520"/>
    </row>
    <row r="92" spans="5:6">
      <c r="E92" s="520"/>
      <c r="F92" s="520"/>
    </row>
    <row r="93" spans="5:6">
      <c r="E93" s="520"/>
      <c r="F93" s="520"/>
    </row>
    <row r="94" spans="5:6">
      <c r="E94" s="520"/>
      <c r="F94" s="520"/>
    </row>
    <row r="95" spans="5:6">
      <c r="E95" s="520"/>
      <c r="F95" s="520"/>
    </row>
    <row r="96" spans="5:6">
      <c r="E96" s="520"/>
      <c r="F96" s="520"/>
    </row>
    <row r="97" spans="5:6">
      <c r="E97" s="520"/>
      <c r="F97" s="520"/>
    </row>
    <row r="98" spans="5:6">
      <c r="E98" s="520"/>
      <c r="F98" s="520"/>
    </row>
    <row r="99" spans="5:6">
      <c r="E99" s="520"/>
      <c r="F99" s="520"/>
    </row>
    <row r="100" spans="5:6">
      <c r="E100" s="520"/>
      <c r="F100" s="520"/>
    </row>
    <row r="101" spans="5:6">
      <c r="E101" s="520"/>
      <c r="F101" s="520"/>
    </row>
    <row r="102" spans="5:6">
      <c r="E102" s="520"/>
      <c r="F102" s="520"/>
    </row>
    <row r="103" spans="5:6">
      <c r="E103" s="520"/>
      <c r="F103" s="520"/>
    </row>
    <row r="104" spans="5:6">
      <c r="E104" s="520"/>
      <c r="F104" s="520"/>
    </row>
    <row r="105" spans="5:6">
      <c r="E105" s="520"/>
      <c r="F105" s="520"/>
    </row>
    <row r="106" spans="5:6">
      <c r="E106" s="520"/>
      <c r="F106" s="520"/>
    </row>
    <row r="107" spans="5:6">
      <c r="E107" s="520"/>
      <c r="F107" s="520"/>
    </row>
    <row r="108" spans="5:6">
      <c r="E108" s="520"/>
      <c r="F108" s="520"/>
    </row>
    <row r="109" spans="5:6">
      <c r="E109" s="520"/>
      <c r="F109" s="520"/>
    </row>
    <row r="110" spans="5:6">
      <c r="E110" s="520"/>
      <c r="F110" s="520"/>
    </row>
    <row r="111" spans="5:6">
      <c r="E111" s="520"/>
      <c r="F111" s="520"/>
    </row>
    <row r="112" spans="5:6">
      <c r="E112" s="520"/>
      <c r="F112" s="520"/>
    </row>
    <row r="113" spans="5:6">
      <c r="E113" s="520"/>
      <c r="F113" s="520"/>
    </row>
    <row r="114" spans="5:6">
      <c r="E114" s="520"/>
      <c r="F114" s="520"/>
    </row>
    <row r="115" spans="5:6">
      <c r="E115" s="520"/>
      <c r="F115" s="520"/>
    </row>
    <row r="116" spans="5:6">
      <c r="E116" s="520"/>
      <c r="F116" s="520"/>
    </row>
    <row r="117" spans="5:6">
      <c r="E117" s="520"/>
      <c r="F117" s="520"/>
    </row>
    <row r="118" spans="5:6">
      <c r="E118" s="520"/>
      <c r="F118" s="520"/>
    </row>
    <row r="119" spans="5:6">
      <c r="E119" s="520"/>
      <c r="F119" s="520"/>
    </row>
    <row r="120" spans="5:6">
      <c r="E120" s="520"/>
      <c r="F120" s="520"/>
    </row>
    <row r="121" spans="5:6">
      <c r="E121" s="520"/>
      <c r="F121" s="520"/>
    </row>
    <row r="122" spans="5:6">
      <c r="E122" s="520"/>
      <c r="F122" s="520"/>
    </row>
    <row r="123" spans="5:6">
      <c r="E123" s="520"/>
      <c r="F123" s="520"/>
    </row>
    <row r="124" spans="5:6">
      <c r="E124" s="520"/>
      <c r="F124" s="520"/>
    </row>
    <row r="125" spans="5:6">
      <c r="E125" s="520"/>
      <c r="F125" s="520"/>
    </row>
    <row r="126" spans="5:6">
      <c r="E126" s="520"/>
      <c r="F126" s="520"/>
    </row>
    <row r="127" spans="5:6">
      <c r="E127" s="520"/>
      <c r="F127" s="520"/>
    </row>
    <row r="128" spans="5:6">
      <c r="E128" s="520"/>
      <c r="F128" s="520"/>
    </row>
    <row r="129" spans="5:6">
      <c r="E129" s="520"/>
      <c r="F129" s="520"/>
    </row>
    <row r="130" spans="5:6">
      <c r="E130" s="520"/>
      <c r="F130" s="520"/>
    </row>
    <row r="131" spans="5:6">
      <c r="E131" s="520"/>
      <c r="F131" s="520"/>
    </row>
    <row r="132" spans="5:6">
      <c r="E132" s="520"/>
      <c r="F132" s="520"/>
    </row>
    <row r="133" spans="5:6">
      <c r="E133" s="520"/>
      <c r="F133" s="520"/>
    </row>
    <row r="134" spans="5:6">
      <c r="E134" s="520"/>
      <c r="F134" s="520"/>
    </row>
    <row r="135" spans="5:6">
      <c r="E135" s="520"/>
      <c r="F135" s="520"/>
    </row>
    <row r="136" spans="5:6">
      <c r="E136" s="520"/>
      <c r="F136" s="520"/>
    </row>
    <row r="137" spans="5:6">
      <c r="E137" s="520"/>
      <c r="F137" s="520"/>
    </row>
    <row r="138" spans="5:6">
      <c r="E138" s="520"/>
      <c r="F138" s="520"/>
    </row>
    <row r="139" spans="5:6">
      <c r="E139" s="520"/>
      <c r="F139" s="520"/>
    </row>
    <row r="140" spans="5:6">
      <c r="E140" s="520"/>
      <c r="F140" s="520"/>
    </row>
    <row r="141" spans="5:6">
      <c r="E141" s="520"/>
      <c r="F141" s="520"/>
    </row>
    <row r="142" spans="5:6">
      <c r="E142" s="520"/>
      <c r="F142" s="520"/>
    </row>
    <row r="143" spans="5:6">
      <c r="E143" s="520"/>
      <c r="F143" s="520"/>
    </row>
    <row r="144" spans="5:6">
      <c r="E144" s="520"/>
      <c r="F144" s="520"/>
    </row>
    <row r="145" spans="5:6">
      <c r="E145" s="520"/>
      <c r="F145" s="520"/>
    </row>
    <row r="146" spans="5:6">
      <c r="E146" s="520"/>
      <c r="F146" s="520"/>
    </row>
    <row r="147" spans="5:6">
      <c r="E147" s="520"/>
      <c r="F147" s="520"/>
    </row>
    <row r="148" spans="5:6">
      <c r="E148" s="520"/>
      <c r="F148" s="520"/>
    </row>
    <row r="149" spans="5:6">
      <c r="E149" s="520"/>
      <c r="F149" s="520"/>
    </row>
  </sheetData>
  <pageMargins left="0.7" right="0.51432291666666663" top="0.86956521739130432" bottom="0.61458333333333337" header="0.3" footer="0.3"/>
  <pageSetup orientation="portrait" r:id="rId1"/>
  <headerFooter>
    <oddHeader>&amp;R&amp;7Informe de la Operación Mensual - Mayo 2018
INFSGI-MES-05-2018
07/06/2018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zoomScale="145" zoomScaleNormal="100" zoomScaleSheetLayoutView="145" zoomScalePageLayoutView="130" workbookViewId="0">
      <selection activeCell="Q26" sqref="Q26"/>
    </sheetView>
  </sheetViews>
  <sheetFormatPr defaultRowHeight="9"/>
  <cols>
    <col min="1" max="1" width="16.1640625" style="510" customWidth="1"/>
    <col min="2" max="2" width="19.6640625" style="510" customWidth="1"/>
    <col min="3" max="3" width="12.16406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66" customHeight="1">
      <c r="A2" s="525" t="s">
        <v>486</v>
      </c>
      <c r="B2" s="525" t="s">
        <v>644</v>
      </c>
      <c r="C2" s="526">
        <v>43244.425694444442</v>
      </c>
      <c r="D2" s="684" t="s">
        <v>650</v>
      </c>
      <c r="E2" s="527">
        <v>36</v>
      </c>
      <c r="F2" s="527"/>
      <c r="G2" s="475"/>
      <c r="H2" s="481"/>
      <c r="I2" s="514"/>
    </row>
    <row r="3" spans="1:9" s="510" customFormat="1" ht="86.25" customHeight="1">
      <c r="A3" s="525" t="s">
        <v>620</v>
      </c>
      <c r="B3" s="525" t="s">
        <v>621</v>
      </c>
      <c r="C3" s="526">
        <v>43247.329861111109</v>
      </c>
      <c r="D3" s="684" t="s">
        <v>651</v>
      </c>
      <c r="E3" s="527">
        <v>8.36</v>
      </c>
      <c r="F3" s="527"/>
      <c r="G3" s="475"/>
      <c r="H3" s="481"/>
      <c r="I3" s="514"/>
    </row>
    <row r="4" spans="1:9" s="510" customFormat="1" ht="79.5" customHeight="1">
      <c r="A4" s="525" t="s">
        <v>620</v>
      </c>
      <c r="B4" s="525" t="s">
        <v>621</v>
      </c>
      <c r="C4" s="526">
        <v>43247.51458333333</v>
      </c>
      <c r="D4" s="684" t="s">
        <v>652</v>
      </c>
      <c r="E4" s="527">
        <v>9.92</v>
      </c>
      <c r="F4" s="527"/>
      <c r="G4" s="475"/>
      <c r="H4" s="481"/>
      <c r="I4" s="514"/>
    </row>
    <row r="5" spans="1:9" s="510" customFormat="1" ht="81.75" customHeight="1">
      <c r="A5" s="525" t="s">
        <v>620</v>
      </c>
      <c r="B5" s="525" t="s">
        <v>621</v>
      </c>
      <c r="C5" s="526">
        <v>43247.537499999999</v>
      </c>
      <c r="D5" s="684" t="s">
        <v>653</v>
      </c>
      <c r="E5" s="527">
        <v>8.41</v>
      </c>
      <c r="F5" s="527"/>
      <c r="G5" s="475"/>
      <c r="H5" s="481"/>
      <c r="I5" s="514"/>
    </row>
    <row r="6" spans="1:9" s="510" customFormat="1" ht="70.5" customHeight="1">
      <c r="A6" s="525" t="s">
        <v>480</v>
      </c>
      <c r="B6" s="525" t="s">
        <v>481</v>
      </c>
      <c r="C6" s="526">
        <v>43247.697916666664</v>
      </c>
      <c r="D6" s="684" t="s">
        <v>654</v>
      </c>
      <c r="E6" s="527">
        <v>5.05</v>
      </c>
      <c r="F6" s="527"/>
      <c r="G6" s="475"/>
      <c r="H6" s="481"/>
      <c r="I6" s="517"/>
    </row>
    <row r="7" spans="1:9" s="510" customFormat="1" ht="106.5" customHeight="1">
      <c r="A7" s="525" t="s">
        <v>486</v>
      </c>
      <c r="B7" s="525" t="s">
        <v>531</v>
      </c>
      <c r="C7" s="526">
        <v>43249.825694444444</v>
      </c>
      <c r="D7" s="684" t="s">
        <v>655</v>
      </c>
      <c r="E7" s="527">
        <v>8.1</v>
      </c>
      <c r="F7" s="527">
        <v>9.8000000000000007</v>
      </c>
      <c r="G7" s="475"/>
      <c r="H7" s="481"/>
      <c r="I7" s="514"/>
    </row>
    <row r="8" spans="1:9" ht="107.25" customHeight="1">
      <c r="A8" s="525" t="s">
        <v>107</v>
      </c>
      <c r="B8" s="525" t="s">
        <v>656</v>
      </c>
      <c r="C8" s="526">
        <v>43250.480555555558</v>
      </c>
      <c r="D8" s="684" t="s">
        <v>657</v>
      </c>
      <c r="E8" s="527">
        <v>1.2</v>
      </c>
      <c r="F8" s="527"/>
    </row>
    <row r="9" spans="1:9" ht="83.25" customHeight="1">
      <c r="A9" s="525" t="s">
        <v>620</v>
      </c>
      <c r="B9" s="525" t="s">
        <v>621</v>
      </c>
      <c r="C9" s="526">
        <v>43251.579861111109</v>
      </c>
      <c r="D9" s="684" t="s">
        <v>658</v>
      </c>
      <c r="E9" s="527">
        <v>16.36</v>
      </c>
      <c r="F9" s="527"/>
    </row>
    <row r="10" spans="1:9">
      <c r="A10" s="518"/>
      <c r="B10" s="518"/>
      <c r="C10" s="518"/>
      <c r="D10" s="518"/>
      <c r="E10" s="517"/>
      <c r="F10" s="517"/>
    </row>
    <row r="11" spans="1:9">
      <c r="A11" s="518"/>
      <c r="B11" s="518"/>
      <c r="C11" s="518"/>
      <c r="D11" s="518"/>
      <c r="E11" s="517"/>
      <c r="F11" s="517"/>
    </row>
    <row r="12" spans="1:9">
      <c r="A12" s="518"/>
      <c r="B12" s="518"/>
      <c r="C12" s="518"/>
      <c r="D12" s="518"/>
      <c r="E12" s="517"/>
      <c r="F12" s="517"/>
    </row>
    <row r="13" spans="1:9">
      <c r="A13" s="518"/>
      <c r="B13" s="518"/>
      <c r="C13" s="518"/>
      <c r="D13" s="518"/>
      <c r="E13" s="517"/>
      <c r="F13" s="517"/>
    </row>
    <row r="14" spans="1:9">
      <c r="A14" s="518"/>
      <c r="B14" s="518"/>
      <c r="C14" s="518"/>
      <c r="D14" s="518"/>
      <c r="E14" s="517"/>
      <c r="F14" s="517"/>
    </row>
    <row r="15" spans="1:9">
      <c r="A15" s="518"/>
      <c r="B15" s="518"/>
      <c r="C15" s="518"/>
      <c r="D15" s="518"/>
      <c r="E15" s="517"/>
      <c r="F15" s="517"/>
    </row>
    <row r="16" spans="1:9">
      <c r="A16" s="518"/>
      <c r="B16" s="518"/>
      <c r="C16" s="518"/>
      <c r="D16" s="518"/>
      <c r="E16" s="517"/>
      <c r="F16" s="517"/>
    </row>
    <row r="17" spans="1:6">
      <c r="A17" s="518"/>
      <c r="B17" s="518"/>
      <c r="C17" s="518"/>
      <c r="D17" s="518"/>
      <c r="E17" s="517"/>
      <c r="F17" s="517"/>
    </row>
    <row r="18" spans="1:6">
      <c r="A18" s="518"/>
      <c r="B18" s="518"/>
      <c r="C18" s="518"/>
      <c r="D18" s="518"/>
      <c r="E18" s="517"/>
      <c r="F18" s="517"/>
    </row>
    <row r="19" spans="1:6">
      <c r="A19" s="518"/>
      <c r="B19" s="518"/>
      <c r="C19" s="518"/>
      <c r="D19" s="518"/>
      <c r="E19" s="517"/>
      <c r="F19" s="517"/>
    </row>
    <row r="20" spans="1:6">
      <c r="E20" s="520"/>
      <c r="F20" s="520"/>
    </row>
    <row r="21" spans="1:6">
      <c r="E21" s="520"/>
      <c r="F21" s="520"/>
    </row>
    <row r="22" spans="1:6">
      <c r="E22" s="520"/>
      <c r="F22" s="520"/>
    </row>
    <row r="23" spans="1:6">
      <c r="E23" s="520"/>
      <c r="F23" s="520"/>
    </row>
    <row r="24" spans="1:6">
      <c r="E24" s="520"/>
      <c r="F24" s="520"/>
    </row>
    <row r="25" spans="1:6">
      <c r="E25" s="520"/>
      <c r="F25" s="520"/>
    </row>
    <row r="26" spans="1:6">
      <c r="E26" s="520"/>
      <c r="F26" s="520"/>
    </row>
    <row r="27" spans="1:6">
      <c r="E27" s="520"/>
      <c r="F27" s="520"/>
    </row>
    <row r="28" spans="1:6">
      <c r="E28" s="520"/>
      <c r="F28" s="520"/>
    </row>
    <row r="29" spans="1:6">
      <c r="E29" s="520"/>
      <c r="F29" s="520"/>
    </row>
    <row r="30" spans="1:6">
      <c r="E30" s="520"/>
      <c r="F30" s="520"/>
    </row>
    <row r="31" spans="1:6">
      <c r="E31" s="520"/>
      <c r="F31" s="520"/>
    </row>
    <row r="32" spans="1:6">
      <c r="E32" s="520"/>
      <c r="F32" s="520"/>
    </row>
    <row r="33" spans="5:6">
      <c r="E33" s="520"/>
      <c r="F33" s="520"/>
    </row>
    <row r="34" spans="5:6">
      <c r="E34" s="520"/>
      <c r="F34" s="520"/>
    </row>
    <row r="35" spans="5:6">
      <c r="E35" s="520"/>
      <c r="F35" s="520"/>
    </row>
    <row r="36" spans="5:6">
      <c r="E36" s="520"/>
      <c r="F36" s="520"/>
    </row>
    <row r="37" spans="5:6">
      <c r="E37" s="520"/>
      <c r="F37" s="520"/>
    </row>
    <row r="38" spans="5:6">
      <c r="E38" s="520"/>
      <c r="F38" s="520"/>
    </row>
    <row r="39" spans="5:6">
      <c r="E39" s="520"/>
      <c r="F39" s="520"/>
    </row>
    <row r="40" spans="5:6">
      <c r="E40" s="520"/>
      <c r="F40" s="520"/>
    </row>
    <row r="41" spans="5:6">
      <c r="E41" s="520"/>
      <c r="F41" s="520"/>
    </row>
    <row r="42" spans="5:6">
      <c r="E42" s="520"/>
      <c r="F42" s="520"/>
    </row>
    <row r="43" spans="5:6">
      <c r="E43" s="520"/>
      <c r="F43" s="520"/>
    </row>
    <row r="44" spans="5:6">
      <c r="E44" s="520"/>
      <c r="F44" s="520"/>
    </row>
    <row r="45" spans="5:6">
      <c r="E45" s="520"/>
      <c r="F45" s="520"/>
    </row>
    <row r="46" spans="5:6">
      <c r="E46" s="520"/>
      <c r="F46" s="520"/>
    </row>
    <row r="47" spans="5:6">
      <c r="E47" s="520"/>
      <c r="F47" s="520"/>
    </row>
    <row r="48" spans="5:6">
      <c r="E48" s="520"/>
      <c r="F48" s="520"/>
    </row>
    <row r="49" spans="5:6">
      <c r="E49" s="520"/>
      <c r="F49" s="520"/>
    </row>
    <row r="50" spans="5:6">
      <c r="E50" s="520"/>
      <c r="F50" s="520"/>
    </row>
    <row r="51" spans="5:6">
      <c r="E51" s="520"/>
      <c r="F51" s="520"/>
    </row>
    <row r="52" spans="5:6">
      <c r="E52" s="520"/>
      <c r="F52" s="520"/>
    </row>
    <row r="53" spans="5:6">
      <c r="E53" s="520"/>
      <c r="F53" s="520"/>
    </row>
    <row r="54" spans="5:6">
      <c r="E54" s="520"/>
      <c r="F54" s="520"/>
    </row>
    <row r="55" spans="5:6">
      <c r="E55" s="520"/>
      <c r="F55" s="520"/>
    </row>
    <row r="56" spans="5:6">
      <c r="E56" s="520"/>
      <c r="F56" s="520"/>
    </row>
    <row r="57" spans="5:6">
      <c r="E57" s="520"/>
      <c r="F57" s="520"/>
    </row>
    <row r="58" spans="5:6">
      <c r="E58" s="520"/>
      <c r="F58" s="520"/>
    </row>
    <row r="59" spans="5:6">
      <c r="E59" s="520"/>
      <c r="F59" s="520"/>
    </row>
    <row r="60" spans="5:6">
      <c r="E60" s="520"/>
      <c r="F60" s="520"/>
    </row>
    <row r="61" spans="5:6">
      <c r="E61" s="520"/>
      <c r="F61" s="520"/>
    </row>
    <row r="62" spans="5:6">
      <c r="E62" s="520"/>
      <c r="F62" s="520"/>
    </row>
    <row r="63" spans="5:6">
      <c r="E63" s="520"/>
      <c r="F63" s="520"/>
    </row>
    <row r="64" spans="5:6">
      <c r="E64" s="520"/>
      <c r="F64" s="520"/>
    </row>
    <row r="65" spans="5:6">
      <c r="E65" s="520"/>
      <c r="F65" s="520"/>
    </row>
    <row r="66" spans="5:6">
      <c r="E66" s="520"/>
      <c r="F66" s="520"/>
    </row>
    <row r="67" spans="5:6">
      <c r="E67" s="520"/>
      <c r="F67" s="520"/>
    </row>
    <row r="68" spans="5:6">
      <c r="E68" s="520"/>
      <c r="F68" s="520"/>
    </row>
    <row r="69" spans="5:6">
      <c r="E69" s="520"/>
      <c r="F69" s="520"/>
    </row>
    <row r="70" spans="5:6">
      <c r="E70" s="520"/>
      <c r="F70" s="520"/>
    </row>
    <row r="71" spans="5:6">
      <c r="E71" s="520"/>
      <c r="F71" s="520"/>
    </row>
    <row r="72" spans="5:6">
      <c r="E72" s="520"/>
      <c r="F72" s="520"/>
    </row>
    <row r="73" spans="5:6">
      <c r="E73" s="520"/>
      <c r="F73" s="520"/>
    </row>
    <row r="74" spans="5:6">
      <c r="E74" s="520"/>
      <c r="F74" s="520"/>
    </row>
    <row r="75" spans="5:6">
      <c r="E75" s="520"/>
      <c r="F75" s="520"/>
    </row>
    <row r="76" spans="5:6">
      <c r="E76" s="520"/>
      <c r="F76" s="520"/>
    </row>
    <row r="77" spans="5:6">
      <c r="E77" s="520"/>
      <c r="F77" s="520"/>
    </row>
    <row r="78" spans="5:6">
      <c r="E78" s="520"/>
      <c r="F78" s="520"/>
    </row>
    <row r="79" spans="5:6">
      <c r="E79" s="520"/>
      <c r="F79" s="520"/>
    </row>
    <row r="80" spans="5:6">
      <c r="E80" s="520"/>
      <c r="F80" s="520"/>
    </row>
    <row r="81" spans="5:6">
      <c r="E81" s="520"/>
      <c r="F81" s="520"/>
    </row>
    <row r="82" spans="5:6">
      <c r="E82" s="520"/>
      <c r="F82" s="520"/>
    </row>
    <row r="83" spans="5:6">
      <c r="E83" s="520"/>
      <c r="F83" s="520"/>
    </row>
    <row r="84" spans="5:6">
      <c r="E84" s="520"/>
      <c r="F84" s="520"/>
    </row>
    <row r="85" spans="5:6">
      <c r="E85" s="520"/>
      <c r="F85" s="520"/>
    </row>
    <row r="86" spans="5:6">
      <c r="E86" s="520"/>
      <c r="F86" s="520"/>
    </row>
    <row r="87" spans="5:6">
      <c r="E87" s="520"/>
      <c r="F87" s="520"/>
    </row>
    <row r="88" spans="5:6">
      <c r="E88" s="520"/>
      <c r="F88" s="520"/>
    </row>
    <row r="89" spans="5:6">
      <c r="E89" s="520"/>
      <c r="F89" s="520"/>
    </row>
    <row r="90" spans="5:6">
      <c r="E90" s="520"/>
      <c r="F90" s="520"/>
    </row>
    <row r="91" spans="5:6">
      <c r="E91" s="520"/>
      <c r="F91" s="520"/>
    </row>
    <row r="92" spans="5:6">
      <c r="E92" s="520"/>
      <c r="F92" s="520"/>
    </row>
    <row r="93" spans="5:6">
      <c r="E93" s="520"/>
      <c r="F93" s="520"/>
    </row>
    <row r="94" spans="5:6">
      <c r="E94" s="520"/>
      <c r="F94" s="520"/>
    </row>
    <row r="95" spans="5:6">
      <c r="E95" s="520"/>
      <c r="F95" s="520"/>
    </row>
    <row r="96" spans="5:6">
      <c r="E96" s="520"/>
      <c r="F96" s="520"/>
    </row>
    <row r="97" spans="5:6">
      <c r="E97" s="520"/>
      <c r="F97" s="520"/>
    </row>
    <row r="98" spans="5:6">
      <c r="E98" s="520"/>
      <c r="F98" s="520"/>
    </row>
    <row r="99" spans="5:6">
      <c r="E99" s="520"/>
      <c r="F99" s="520"/>
    </row>
    <row r="100" spans="5:6">
      <c r="E100" s="520"/>
      <c r="F100" s="520"/>
    </row>
    <row r="101" spans="5:6">
      <c r="E101" s="520"/>
      <c r="F101" s="520"/>
    </row>
    <row r="102" spans="5:6">
      <c r="E102" s="520"/>
      <c r="F102" s="520"/>
    </row>
    <row r="103" spans="5:6">
      <c r="E103" s="520"/>
      <c r="F103" s="520"/>
    </row>
    <row r="104" spans="5:6">
      <c r="E104" s="520"/>
      <c r="F104" s="520"/>
    </row>
    <row r="105" spans="5:6">
      <c r="E105" s="520"/>
      <c r="F105" s="520"/>
    </row>
    <row r="106" spans="5:6">
      <c r="E106" s="520"/>
      <c r="F106" s="520"/>
    </row>
    <row r="107" spans="5:6">
      <c r="E107" s="520"/>
      <c r="F107" s="520"/>
    </row>
    <row r="108" spans="5:6">
      <c r="E108" s="520"/>
      <c r="F108" s="520"/>
    </row>
    <row r="109" spans="5:6">
      <c r="E109" s="520"/>
      <c r="F109" s="520"/>
    </row>
    <row r="110" spans="5:6">
      <c r="E110" s="520"/>
      <c r="F110" s="520"/>
    </row>
    <row r="111" spans="5:6">
      <c r="E111" s="520"/>
      <c r="F111" s="520"/>
    </row>
    <row r="112" spans="5:6">
      <c r="E112" s="520"/>
      <c r="F112" s="520"/>
    </row>
    <row r="113" spans="5:6">
      <c r="E113" s="520"/>
      <c r="F113" s="520"/>
    </row>
    <row r="114" spans="5:6">
      <c r="E114" s="520"/>
      <c r="F114" s="520"/>
    </row>
    <row r="115" spans="5:6">
      <c r="E115" s="520"/>
      <c r="F115" s="520"/>
    </row>
    <row r="116" spans="5:6">
      <c r="E116" s="520"/>
      <c r="F116" s="520"/>
    </row>
    <row r="117" spans="5:6">
      <c r="E117" s="520"/>
      <c r="F117" s="520"/>
    </row>
    <row r="118" spans="5:6">
      <c r="E118" s="520"/>
      <c r="F118" s="520"/>
    </row>
    <row r="119" spans="5:6">
      <c r="E119" s="520"/>
      <c r="F119" s="520"/>
    </row>
    <row r="120" spans="5:6">
      <c r="E120" s="520"/>
      <c r="F120" s="520"/>
    </row>
    <row r="121" spans="5:6">
      <c r="E121" s="520"/>
      <c r="F121" s="520"/>
    </row>
    <row r="122" spans="5:6">
      <c r="E122" s="520"/>
      <c r="F122" s="520"/>
    </row>
    <row r="123" spans="5:6">
      <c r="E123" s="520"/>
      <c r="F123" s="520"/>
    </row>
    <row r="124" spans="5:6">
      <c r="E124" s="520"/>
      <c r="F124" s="520"/>
    </row>
    <row r="125" spans="5:6">
      <c r="E125" s="520"/>
      <c r="F125" s="520"/>
    </row>
    <row r="126" spans="5:6">
      <c r="E126" s="520"/>
      <c r="F126" s="520"/>
    </row>
    <row r="127" spans="5:6">
      <c r="E127" s="520"/>
      <c r="F127" s="520"/>
    </row>
    <row r="128" spans="5:6">
      <c r="E128" s="520"/>
      <c r="F128" s="520"/>
    </row>
    <row r="129" spans="5:6">
      <c r="E129" s="520"/>
      <c r="F129" s="520"/>
    </row>
    <row r="130" spans="5:6">
      <c r="E130" s="520"/>
      <c r="F130" s="520"/>
    </row>
    <row r="131" spans="5:6">
      <c r="E131" s="520"/>
      <c r="F131" s="520"/>
    </row>
    <row r="132" spans="5:6">
      <c r="E132" s="520"/>
      <c r="F132" s="520"/>
    </row>
    <row r="133" spans="5:6">
      <c r="E133" s="520"/>
      <c r="F133" s="520"/>
    </row>
    <row r="134" spans="5:6">
      <c r="E134" s="520"/>
      <c r="F134" s="520"/>
    </row>
    <row r="135" spans="5:6">
      <c r="E135" s="520"/>
      <c r="F135" s="520"/>
    </row>
    <row r="136" spans="5:6">
      <c r="E136" s="520"/>
      <c r="F136" s="520"/>
    </row>
    <row r="137" spans="5:6">
      <c r="E137" s="520"/>
      <c r="F137" s="520"/>
    </row>
    <row r="138" spans="5:6">
      <c r="E138" s="520"/>
      <c r="F138" s="520"/>
    </row>
    <row r="139" spans="5:6">
      <c r="E139" s="520"/>
      <c r="F139" s="520"/>
    </row>
    <row r="140" spans="5:6">
      <c r="E140" s="520"/>
      <c r="F140" s="520"/>
    </row>
    <row r="141" spans="5:6">
      <c r="E141" s="520"/>
      <c r="F141" s="520"/>
    </row>
    <row r="142" spans="5:6">
      <c r="E142" s="520"/>
      <c r="F142" s="520"/>
    </row>
    <row r="143" spans="5:6">
      <c r="E143" s="520"/>
      <c r="F143" s="520"/>
    </row>
    <row r="144" spans="5:6">
      <c r="E144" s="520"/>
      <c r="F144" s="520"/>
    </row>
    <row r="145" spans="5:6">
      <c r="E145" s="520"/>
      <c r="F145" s="520"/>
    </row>
    <row r="146" spans="5:6">
      <c r="E146" s="520"/>
      <c r="F146" s="520"/>
    </row>
    <row r="147" spans="5:6">
      <c r="E147" s="520"/>
      <c r="F147" s="520"/>
    </row>
    <row r="148" spans="5:6">
      <c r="E148" s="520"/>
      <c r="F148" s="520"/>
    </row>
    <row r="149" spans="5:6">
      <c r="E149" s="520"/>
      <c r="F149" s="520"/>
    </row>
  </sheetData>
  <pageMargins left="0.7" right="0.51432291666666663" top="0.86956521739130432" bottom="0.61458333333333337" header="0.3" footer="0.3"/>
  <pageSetup orientation="portrait" r:id="rId1"/>
  <headerFooter>
    <oddHeader>&amp;R&amp;7Informe de la Operación Mensual - Mayo 2018
INFSGI-MES-05-2018
07/06/2018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dimension ref="A1:J147"/>
  <sheetViews>
    <sheetView showGridLines="0" view="pageBreakPreview" topLeftCell="B1" zoomScale="145" zoomScaleNormal="100" zoomScaleSheetLayoutView="145" zoomScalePageLayoutView="145" workbookViewId="0">
      <selection activeCell="I6" sqref="I6"/>
    </sheetView>
  </sheetViews>
  <sheetFormatPr defaultRowHeight="9"/>
  <cols>
    <col min="1" max="1" width="16.1640625" style="510" customWidth="1"/>
    <col min="2" max="2" width="19.6640625" style="510" customWidth="1"/>
    <col min="3" max="3" width="1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72.75" customHeight="1">
      <c r="A2" s="525" t="s">
        <v>480</v>
      </c>
      <c r="B2" s="525"/>
      <c r="C2" s="526"/>
      <c r="D2" s="684"/>
      <c r="E2" s="527"/>
      <c r="F2" s="527"/>
      <c r="G2" s="475"/>
      <c r="H2" s="481"/>
      <c r="I2" s="514"/>
    </row>
    <row r="3" spans="1:9" s="510" customFormat="1" ht="66" customHeight="1">
      <c r="A3" s="525" t="s">
        <v>486</v>
      </c>
      <c r="B3" s="525"/>
      <c r="C3" s="526"/>
      <c r="D3" s="684"/>
      <c r="E3" s="527"/>
      <c r="F3" s="527"/>
      <c r="G3" s="475"/>
      <c r="H3" s="481"/>
      <c r="I3" s="514"/>
    </row>
    <row r="4" spans="1:9" s="510" customFormat="1" ht="76.5" customHeight="1">
      <c r="A4" s="525" t="s">
        <v>486</v>
      </c>
      <c r="B4" s="525"/>
      <c r="C4" s="526"/>
      <c r="D4" s="684"/>
      <c r="E4" s="527"/>
      <c r="F4" s="527"/>
      <c r="G4" s="475"/>
      <c r="H4" s="481"/>
      <c r="I4" s="514"/>
    </row>
    <row r="5" spans="1:9" s="510" customFormat="1" ht="83.25" customHeight="1">
      <c r="A5" s="525" t="s">
        <v>479</v>
      </c>
      <c r="B5" s="525"/>
      <c r="C5" s="526"/>
      <c r="D5" s="684"/>
      <c r="E5" s="527"/>
      <c r="F5" s="527"/>
      <c r="G5" s="475"/>
      <c r="H5" s="481"/>
      <c r="I5" s="518"/>
    </row>
    <row r="6" spans="1:9" s="510" customFormat="1" ht="100.5" customHeight="1">
      <c r="A6" s="525" t="s">
        <v>486</v>
      </c>
      <c r="B6" s="525"/>
      <c r="C6" s="526"/>
      <c r="D6" s="684"/>
      <c r="E6" s="527"/>
      <c r="F6" s="527"/>
      <c r="G6" s="475"/>
      <c r="H6" s="481"/>
    </row>
    <row r="7" spans="1:9" s="510" customFormat="1" ht="70.5" customHeight="1">
      <c r="A7" s="525" t="s">
        <v>96</v>
      </c>
      <c r="B7" s="525"/>
      <c r="C7" s="526"/>
      <c r="D7" s="684"/>
      <c r="E7" s="527"/>
      <c r="F7" s="527"/>
      <c r="G7" s="475"/>
      <c r="H7" s="481"/>
    </row>
    <row r="8" spans="1:9" s="510" customFormat="1" ht="100.5" customHeight="1">
      <c r="A8" s="525" t="s">
        <v>576</v>
      </c>
      <c r="B8" s="525"/>
      <c r="C8" s="526"/>
      <c r="D8" s="684"/>
      <c r="E8" s="527"/>
      <c r="F8" s="527"/>
      <c r="G8" s="475"/>
      <c r="H8" s="481"/>
    </row>
    <row r="9" spans="1:9" s="510" customFormat="1" ht="83.25" customHeight="1">
      <c r="A9" s="525" t="s">
        <v>486</v>
      </c>
      <c r="B9" s="525"/>
      <c r="C9" s="526"/>
      <c r="D9" s="684"/>
      <c r="E9" s="527"/>
      <c r="F9" s="527"/>
    </row>
    <row r="10" spans="1:9" s="510" customFormat="1">
      <c r="A10" s="744"/>
      <c r="B10" s="744"/>
      <c r="C10" s="745"/>
      <c r="D10" s="746"/>
      <c r="E10" s="747"/>
      <c r="F10" s="747"/>
    </row>
    <row r="11" spans="1:9" s="510" customFormat="1">
      <c r="A11" s="744"/>
      <c r="B11" s="744"/>
      <c r="C11" s="745"/>
      <c r="D11" s="746"/>
      <c r="E11" s="747"/>
      <c r="F11" s="747"/>
    </row>
    <row r="12" spans="1:9" s="510" customFormat="1">
      <c r="A12" s="744"/>
      <c r="B12" s="744"/>
      <c r="C12" s="745"/>
      <c r="D12" s="746"/>
      <c r="E12" s="747"/>
      <c r="F12" s="747"/>
    </row>
    <row r="13" spans="1:9" s="510" customFormat="1">
      <c r="A13" s="744"/>
      <c r="B13" s="744"/>
      <c r="C13" s="745"/>
      <c r="D13" s="746"/>
      <c r="E13" s="747"/>
      <c r="F13" s="747"/>
    </row>
    <row r="14" spans="1:9" s="510" customFormat="1">
      <c r="A14" s="744"/>
      <c r="B14" s="744"/>
      <c r="C14" s="745"/>
      <c r="D14" s="746"/>
      <c r="E14" s="747"/>
      <c r="F14" s="747"/>
    </row>
    <row r="15" spans="1:9" s="510" customFormat="1">
      <c r="E15" s="520"/>
      <c r="F15" s="520"/>
    </row>
    <row r="16" spans="1:9" s="510" customFormat="1">
      <c r="E16" s="520"/>
      <c r="F16" s="520"/>
    </row>
    <row r="17" spans="5:6" s="510" customFormat="1">
      <c r="E17" s="520"/>
      <c r="F17" s="520"/>
    </row>
    <row r="18" spans="5:6" s="510" customFormat="1">
      <c r="E18" s="520"/>
      <c r="F18" s="520"/>
    </row>
    <row r="19" spans="5:6" s="510" customFormat="1">
      <c r="E19" s="520"/>
      <c r="F19" s="520"/>
    </row>
    <row r="20" spans="5:6" s="510" customFormat="1">
      <c r="E20" s="520"/>
      <c r="F20" s="520"/>
    </row>
    <row r="21" spans="5:6" s="510" customFormat="1">
      <c r="E21" s="520"/>
      <c r="F21" s="520"/>
    </row>
    <row r="22" spans="5:6" s="510" customFormat="1">
      <c r="E22" s="520"/>
      <c r="F22" s="520"/>
    </row>
    <row r="23" spans="5:6" s="510" customFormat="1">
      <c r="E23" s="520"/>
      <c r="F23" s="520"/>
    </row>
    <row r="24" spans="5:6" s="510" customFormat="1">
      <c r="E24" s="520"/>
      <c r="F24" s="520"/>
    </row>
    <row r="25" spans="5:6" s="510" customFormat="1">
      <c r="E25" s="520"/>
      <c r="F25" s="520"/>
    </row>
    <row r="26" spans="5:6" s="510" customFormat="1">
      <c r="E26" s="520"/>
      <c r="F26" s="520"/>
    </row>
    <row r="27" spans="5:6" s="510" customFormat="1">
      <c r="E27" s="520"/>
      <c r="F27" s="520"/>
    </row>
    <row r="28" spans="5:6" s="510" customFormat="1">
      <c r="E28" s="520"/>
      <c r="F28" s="520"/>
    </row>
    <row r="29" spans="5:6" s="510" customFormat="1">
      <c r="E29" s="520"/>
      <c r="F29" s="520"/>
    </row>
    <row r="30" spans="5:6" s="510" customFormat="1">
      <c r="E30" s="520"/>
      <c r="F30" s="520"/>
    </row>
    <row r="31" spans="5:6" s="510" customFormat="1">
      <c r="E31" s="520"/>
      <c r="F31" s="520"/>
    </row>
    <row r="32" spans="5:6" s="510" customFormat="1">
      <c r="E32" s="520"/>
      <c r="F32" s="520"/>
    </row>
    <row r="33" spans="5:6" s="510" customFormat="1">
      <c r="E33" s="520"/>
      <c r="F33" s="520"/>
    </row>
    <row r="34" spans="5:6" s="510" customFormat="1">
      <c r="E34" s="520"/>
      <c r="F34" s="520"/>
    </row>
    <row r="35" spans="5:6" s="510" customFormat="1">
      <c r="E35" s="520"/>
      <c r="F35" s="520"/>
    </row>
    <row r="36" spans="5:6" s="510" customFormat="1">
      <c r="E36" s="520"/>
      <c r="F36" s="520"/>
    </row>
    <row r="37" spans="5:6" s="510" customFormat="1">
      <c r="E37" s="520"/>
      <c r="F37" s="520"/>
    </row>
    <row r="38" spans="5:6" s="510" customFormat="1">
      <c r="E38" s="520"/>
      <c r="F38" s="520"/>
    </row>
    <row r="39" spans="5:6" s="510" customFormat="1">
      <c r="E39" s="520"/>
      <c r="F39" s="520"/>
    </row>
    <row r="40" spans="5:6" s="510" customFormat="1">
      <c r="E40" s="520"/>
      <c r="F40" s="520"/>
    </row>
    <row r="41" spans="5:6" s="510" customFormat="1">
      <c r="E41" s="520"/>
      <c r="F41" s="520"/>
    </row>
    <row r="42" spans="5:6" s="510" customFormat="1">
      <c r="E42" s="520"/>
      <c r="F42" s="520"/>
    </row>
    <row r="43" spans="5:6" s="510" customFormat="1">
      <c r="E43" s="520"/>
      <c r="F43" s="520"/>
    </row>
    <row r="44" spans="5:6" s="510" customFormat="1">
      <c r="E44" s="520"/>
      <c r="F44" s="520"/>
    </row>
    <row r="45" spans="5:6" s="510" customFormat="1">
      <c r="E45" s="520"/>
      <c r="F45" s="520"/>
    </row>
    <row r="46" spans="5:6" s="510" customFormat="1">
      <c r="E46" s="520"/>
      <c r="F46" s="520"/>
    </row>
    <row r="47" spans="5:6" s="510" customFormat="1">
      <c r="E47" s="520"/>
      <c r="F47" s="520"/>
    </row>
    <row r="48" spans="5:6" s="510" customFormat="1">
      <c r="E48" s="520"/>
      <c r="F48" s="520"/>
    </row>
    <row r="49" spans="5:6" s="510" customFormat="1">
      <c r="E49" s="520"/>
      <c r="F49" s="520"/>
    </row>
    <row r="50" spans="5:6" s="510" customFormat="1">
      <c r="E50" s="520"/>
      <c r="F50" s="520"/>
    </row>
    <row r="51" spans="5:6" s="510" customFormat="1">
      <c r="E51" s="520"/>
      <c r="F51" s="520"/>
    </row>
    <row r="52" spans="5:6" s="510" customFormat="1">
      <c r="E52" s="520"/>
      <c r="F52" s="520"/>
    </row>
    <row r="53" spans="5:6" s="510" customFormat="1">
      <c r="E53" s="520"/>
      <c r="F53" s="520"/>
    </row>
    <row r="54" spans="5:6" s="510" customFormat="1">
      <c r="E54" s="520"/>
      <c r="F54" s="520"/>
    </row>
    <row r="55" spans="5:6" s="510" customFormat="1">
      <c r="E55" s="520"/>
      <c r="F55" s="520"/>
    </row>
    <row r="56" spans="5:6" s="510" customFormat="1">
      <c r="E56" s="520"/>
      <c r="F56" s="520"/>
    </row>
    <row r="57" spans="5:6" s="510" customFormat="1">
      <c r="E57" s="520"/>
      <c r="F57" s="520"/>
    </row>
    <row r="58" spans="5:6" s="510" customFormat="1">
      <c r="E58" s="520"/>
      <c r="F58" s="520"/>
    </row>
    <row r="59" spans="5:6" s="510" customFormat="1">
      <c r="E59" s="520"/>
      <c r="F59" s="520"/>
    </row>
    <row r="60" spans="5:6" s="510" customFormat="1">
      <c r="E60" s="520"/>
      <c r="F60" s="520"/>
    </row>
    <row r="61" spans="5:6" s="510" customFormat="1">
      <c r="E61" s="520"/>
      <c r="F61" s="520"/>
    </row>
    <row r="62" spans="5:6" s="510" customFormat="1">
      <c r="E62" s="520"/>
      <c r="F62" s="520"/>
    </row>
    <row r="63" spans="5:6" s="510" customFormat="1">
      <c r="E63" s="520"/>
      <c r="F63" s="520"/>
    </row>
    <row r="64" spans="5:6" s="510" customFormat="1">
      <c r="E64" s="520"/>
      <c r="F64" s="520"/>
    </row>
    <row r="65" spans="5:6" s="510" customFormat="1">
      <c r="E65" s="520"/>
      <c r="F65" s="520"/>
    </row>
    <row r="66" spans="5:6" s="510" customFormat="1">
      <c r="E66" s="520"/>
      <c r="F66" s="520"/>
    </row>
    <row r="67" spans="5:6" s="510" customFormat="1">
      <c r="E67" s="520"/>
      <c r="F67" s="520"/>
    </row>
    <row r="68" spans="5:6" s="510" customFormat="1">
      <c r="E68" s="520"/>
      <c r="F68" s="520"/>
    </row>
    <row r="69" spans="5:6" s="510" customFormat="1">
      <c r="E69" s="520"/>
      <c r="F69" s="520"/>
    </row>
    <row r="70" spans="5:6" s="510" customFormat="1">
      <c r="E70" s="520"/>
      <c r="F70" s="520"/>
    </row>
    <row r="71" spans="5:6" s="510" customFormat="1">
      <c r="E71" s="520"/>
      <c r="F71" s="520"/>
    </row>
    <row r="72" spans="5:6" s="510" customFormat="1">
      <c r="E72" s="520"/>
      <c r="F72" s="520"/>
    </row>
    <row r="73" spans="5:6" s="510" customFormat="1">
      <c r="E73" s="520"/>
      <c r="F73" s="520"/>
    </row>
    <row r="74" spans="5:6" s="510" customFormat="1">
      <c r="E74" s="520"/>
      <c r="F74" s="520"/>
    </row>
    <row r="75" spans="5:6" s="510" customFormat="1">
      <c r="E75" s="520"/>
      <c r="F75" s="520"/>
    </row>
    <row r="76" spans="5:6" s="510" customFormat="1">
      <c r="E76" s="520"/>
      <c r="F76" s="520"/>
    </row>
    <row r="77" spans="5:6" s="510" customFormat="1">
      <c r="E77" s="520"/>
      <c r="F77" s="520"/>
    </row>
    <row r="78" spans="5:6" s="510" customFormat="1">
      <c r="E78" s="520"/>
      <c r="F78" s="520"/>
    </row>
    <row r="79" spans="5:6" s="510" customFormat="1">
      <c r="E79" s="520"/>
      <c r="F79" s="520"/>
    </row>
    <row r="80" spans="5:6" s="510" customFormat="1">
      <c r="E80" s="520"/>
      <c r="F80" s="520"/>
    </row>
    <row r="81" spans="5:6" s="510" customFormat="1">
      <c r="E81" s="520"/>
      <c r="F81" s="520"/>
    </row>
    <row r="82" spans="5:6" s="510" customFormat="1">
      <c r="E82" s="520"/>
      <c r="F82" s="520"/>
    </row>
    <row r="83" spans="5:6" s="510" customFormat="1">
      <c r="E83" s="520"/>
      <c r="F83" s="520"/>
    </row>
    <row r="84" spans="5:6" s="510" customFormat="1">
      <c r="E84" s="520"/>
      <c r="F84" s="520"/>
    </row>
    <row r="85" spans="5:6" s="510" customFormat="1">
      <c r="E85" s="520"/>
      <c r="F85" s="520"/>
    </row>
    <row r="86" spans="5:6" s="510" customFormat="1">
      <c r="E86" s="520"/>
      <c r="F86" s="520"/>
    </row>
    <row r="87" spans="5:6" s="510" customFormat="1">
      <c r="E87" s="520"/>
      <c r="F87" s="520"/>
    </row>
    <row r="88" spans="5:6" s="510" customFormat="1">
      <c r="E88" s="520"/>
      <c r="F88" s="520"/>
    </row>
    <row r="89" spans="5:6" s="510" customFormat="1">
      <c r="E89" s="520"/>
      <c r="F89" s="520"/>
    </row>
    <row r="90" spans="5:6" s="510" customFormat="1">
      <c r="E90" s="520"/>
      <c r="F90" s="520"/>
    </row>
    <row r="91" spans="5:6" s="510" customFormat="1">
      <c r="E91" s="520"/>
      <c r="F91" s="520"/>
    </row>
    <row r="92" spans="5:6" s="510" customFormat="1">
      <c r="E92" s="520"/>
      <c r="F92" s="520"/>
    </row>
    <row r="93" spans="5:6" s="510" customFormat="1">
      <c r="E93" s="520"/>
      <c r="F93" s="520"/>
    </row>
    <row r="94" spans="5:6" s="510" customFormat="1">
      <c r="E94" s="520"/>
      <c r="F94" s="520"/>
    </row>
    <row r="95" spans="5:6" s="510" customFormat="1">
      <c r="E95" s="520"/>
      <c r="F95" s="520"/>
    </row>
    <row r="96" spans="5:6" s="510" customFormat="1">
      <c r="E96" s="520"/>
      <c r="F96" s="520"/>
    </row>
    <row r="97" spans="5:6" s="510" customFormat="1">
      <c r="E97" s="520"/>
      <c r="F97" s="520"/>
    </row>
    <row r="98" spans="5:6" s="510" customFormat="1">
      <c r="E98" s="520"/>
      <c r="F98" s="520"/>
    </row>
    <row r="99" spans="5:6" s="510" customFormat="1">
      <c r="E99" s="520"/>
      <c r="F99" s="520"/>
    </row>
    <row r="100" spans="5:6" s="510" customFormat="1">
      <c r="E100" s="520"/>
      <c r="F100" s="520"/>
    </row>
    <row r="101" spans="5:6" s="510" customFormat="1">
      <c r="E101" s="520"/>
      <c r="F101" s="520"/>
    </row>
    <row r="102" spans="5:6" s="510" customFormat="1">
      <c r="E102" s="520"/>
      <c r="F102" s="520"/>
    </row>
    <row r="103" spans="5:6" s="510" customFormat="1">
      <c r="E103" s="520"/>
      <c r="F103" s="520"/>
    </row>
    <row r="104" spans="5:6" s="510" customFormat="1">
      <c r="E104" s="520"/>
      <c r="F104" s="520"/>
    </row>
    <row r="105" spans="5:6" s="510" customFormat="1">
      <c r="E105" s="520"/>
      <c r="F105" s="520"/>
    </row>
    <row r="106" spans="5:6" s="510" customFormat="1">
      <c r="E106" s="520"/>
      <c r="F106" s="520"/>
    </row>
    <row r="107" spans="5:6" s="510" customFormat="1">
      <c r="E107" s="520"/>
      <c r="F107" s="520"/>
    </row>
    <row r="108" spans="5:6" s="510" customFormat="1">
      <c r="E108" s="520"/>
      <c r="F108" s="520"/>
    </row>
    <row r="109" spans="5:6" s="510" customFormat="1">
      <c r="E109" s="520"/>
      <c r="F109" s="520"/>
    </row>
    <row r="110" spans="5:6" s="510" customFormat="1">
      <c r="E110" s="520"/>
      <c r="F110" s="520"/>
    </row>
    <row r="111" spans="5:6" s="510" customFormat="1">
      <c r="E111" s="520"/>
      <c r="F111" s="520"/>
    </row>
    <row r="112" spans="5:6" s="510" customFormat="1">
      <c r="E112" s="520"/>
      <c r="F112" s="520"/>
    </row>
    <row r="113" spans="5:6" s="510" customFormat="1">
      <c r="E113" s="520"/>
      <c r="F113" s="520"/>
    </row>
    <row r="114" spans="5:6" s="510" customFormat="1">
      <c r="E114" s="520"/>
      <c r="F114" s="520"/>
    </row>
    <row r="115" spans="5:6" s="510" customFormat="1">
      <c r="E115" s="520"/>
      <c r="F115" s="520"/>
    </row>
    <row r="116" spans="5:6" s="510" customFormat="1">
      <c r="E116" s="520"/>
      <c r="F116" s="520"/>
    </row>
    <row r="117" spans="5:6" s="510" customFormat="1">
      <c r="E117" s="520"/>
      <c r="F117" s="520"/>
    </row>
    <row r="118" spans="5:6" s="510" customFormat="1">
      <c r="E118" s="520"/>
      <c r="F118" s="520"/>
    </row>
    <row r="119" spans="5:6" s="510" customFormat="1">
      <c r="E119" s="520"/>
      <c r="F119" s="520"/>
    </row>
    <row r="120" spans="5:6" s="510" customFormat="1">
      <c r="E120" s="520"/>
      <c r="F120" s="520"/>
    </row>
    <row r="121" spans="5:6" s="510" customFormat="1">
      <c r="E121" s="520"/>
      <c r="F121" s="520"/>
    </row>
    <row r="122" spans="5:6" s="510" customFormat="1">
      <c r="E122" s="520"/>
      <c r="F122" s="520"/>
    </row>
    <row r="123" spans="5:6" s="510" customFormat="1">
      <c r="E123" s="520"/>
      <c r="F123" s="520"/>
    </row>
    <row r="124" spans="5:6" s="510" customFormat="1">
      <c r="E124" s="520"/>
      <c r="F124" s="520"/>
    </row>
    <row r="125" spans="5:6" s="510" customFormat="1">
      <c r="E125" s="520"/>
      <c r="F125" s="520"/>
    </row>
    <row r="126" spans="5:6" s="510" customFormat="1">
      <c r="E126" s="520"/>
      <c r="F126" s="520"/>
    </row>
    <row r="127" spans="5:6" s="510" customFormat="1">
      <c r="E127" s="520"/>
      <c r="F127" s="520"/>
    </row>
    <row r="128" spans="5:6" s="510" customFormat="1">
      <c r="E128" s="520"/>
      <c r="F128" s="520"/>
    </row>
    <row r="129" spans="5:6" s="510" customFormat="1">
      <c r="E129" s="520"/>
      <c r="F129" s="520"/>
    </row>
    <row r="130" spans="5:6" s="510" customFormat="1">
      <c r="E130" s="520"/>
      <c r="F130" s="520"/>
    </row>
    <row r="131" spans="5:6" s="510" customFormat="1">
      <c r="E131" s="520"/>
      <c r="F131" s="520"/>
    </row>
    <row r="132" spans="5:6" s="510" customFormat="1">
      <c r="E132" s="520"/>
      <c r="F132" s="520"/>
    </row>
    <row r="133" spans="5:6" s="510" customFormat="1">
      <c r="E133" s="520"/>
      <c r="F133" s="520"/>
    </row>
    <row r="134" spans="5:6" s="510" customFormat="1">
      <c r="E134" s="520"/>
      <c r="F134" s="520"/>
    </row>
    <row r="135" spans="5:6" s="510" customFormat="1">
      <c r="E135" s="520"/>
      <c r="F135" s="520"/>
    </row>
    <row r="136" spans="5:6" s="510" customFormat="1">
      <c r="E136" s="520"/>
      <c r="F136" s="520"/>
    </row>
    <row r="137" spans="5:6" s="510" customFormat="1">
      <c r="E137" s="520"/>
      <c r="F137" s="520"/>
    </row>
    <row r="138" spans="5:6" s="510" customFormat="1">
      <c r="E138" s="520"/>
      <c r="F138" s="520"/>
    </row>
    <row r="139" spans="5:6" s="510" customFormat="1">
      <c r="E139" s="520"/>
      <c r="F139" s="520"/>
    </row>
    <row r="140" spans="5:6" s="510" customFormat="1">
      <c r="E140" s="520"/>
      <c r="F140" s="520"/>
    </row>
    <row r="141" spans="5:6" s="510" customFormat="1">
      <c r="E141" s="520"/>
      <c r="F141" s="520"/>
    </row>
    <row r="142" spans="5:6" s="510" customFormat="1">
      <c r="E142" s="520"/>
      <c r="F142" s="520"/>
    </row>
    <row r="143" spans="5:6" s="510" customFormat="1">
      <c r="E143" s="520"/>
      <c r="F143" s="520"/>
    </row>
    <row r="144" spans="5:6" s="510" customFormat="1">
      <c r="E144" s="520"/>
      <c r="F144" s="520"/>
    </row>
    <row r="145" spans="5:6" s="510" customFormat="1">
      <c r="E145" s="520"/>
      <c r="F145" s="520"/>
    </row>
    <row r="146" spans="5:6" s="510" customFormat="1">
      <c r="E146" s="520"/>
      <c r="F146" s="520"/>
    </row>
    <row r="147" spans="5:6" s="510" customFormat="1">
      <c r="E147" s="520"/>
      <c r="F147" s="520"/>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dimension ref="A1:J162"/>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510" customWidth="1"/>
    <col min="2" max="2" width="19.6640625" style="510" customWidth="1"/>
    <col min="3" max="3" width="1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90" customHeight="1">
      <c r="A2" s="525"/>
      <c r="B2" s="525"/>
      <c r="C2" s="526"/>
      <c r="D2" s="684"/>
      <c r="E2" s="527"/>
      <c r="F2" s="527"/>
      <c r="G2" s="475"/>
      <c r="H2" s="481"/>
    </row>
    <row r="3" spans="1:9" s="510" customFormat="1" ht="73.5" customHeight="1">
      <c r="A3" s="525"/>
      <c r="B3" s="525"/>
      <c r="C3" s="526"/>
      <c r="D3" s="684"/>
      <c r="E3" s="527"/>
      <c r="F3" s="527"/>
      <c r="G3" s="475"/>
      <c r="H3" s="481"/>
    </row>
    <row r="4" spans="1:9" s="510" customFormat="1" ht="93" customHeight="1">
      <c r="A4" s="525"/>
      <c r="B4" s="525"/>
      <c r="C4" s="526"/>
      <c r="D4" s="684"/>
      <c r="E4" s="527"/>
      <c r="F4" s="527"/>
      <c r="G4" s="475"/>
      <c r="H4" s="481"/>
    </row>
    <row r="5" spans="1:9" s="510" customFormat="1" ht="75" customHeight="1">
      <c r="A5" s="525"/>
      <c r="B5" s="525"/>
      <c r="C5" s="526"/>
      <c r="D5" s="684"/>
      <c r="E5" s="527"/>
      <c r="F5" s="527"/>
      <c r="G5" s="475"/>
      <c r="H5" s="481"/>
    </row>
    <row r="6" spans="1:9" s="510" customFormat="1" ht="78" customHeight="1">
      <c r="A6" s="525"/>
      <c r="B6" s="525"/>
      <c r="C6" s="526"/>
      <c r="D6" s="684"/>
      <c r="E6" s="527"/>
      <c r="F6" s="527"/>
      <c r="G6" s="475"/>
      <c r="H6" s="481"/>
    </row>
    <row r="7" spans="1:9" s="510" customFormat="1" ht="105" customHeight="1">
      <c r="A7" s="525"/>
      <c r="B7" s="525"/>
      <c r="C7" s="526"/>
      <c r="D7" s="684"/>
      <c r="E7" s="527"/>
      <c r="F7" s="527"/>
      <c r="G7" s="475"/>
      <c r="H7" s="481"/>
    </row>
    <row r="8" spans="1:9" s="510" customFormat="1" ht="77.25" customHeight="1">
      <c r="A8" s="525"/>
      <c r="B8" s="525"/>
      <c r="C8" s="526"/>
      <c r="D8" s="684"/>
      <c r="E8" s="527"/>
      <c r="F8" s="527"/>
      <c r="G8" s="475"/>
      <c r="H8" s="481"/>
    </row>
    <row r="9" spans="1:9" s="510" customFormat="1" ht="87.75" customHeight="1">
      <c r="A9" s="525"/>
      <c r="B9" s="525"/>
      <c r="C9" s="526"/>
      <c r="D9" s="684"/>
      <c r="E9" s="527"/>
      <c r="F9" s="527"/>
      <c r="G9" s="484"/>
      <c r="H9" s="481"/>
    </row>
    <row r="10" spans="1:9" s="510" customFormat="1">
      <c r="E10" s="520"/>
      <c r="F10" s="520"/>
    </row>
    <row r="11" spans="1:9" s="510" customFormat="1">
      <c r="E11" s="520"/>
      <c r="F11" s="520"/>
    </row>
    <row r="12" spans="1:9" s="510" customFormat="1">
      <c r="E12" s="520"/>
      <c r="F12" s="520"/>
    </row>
    <row r="13" spans="1:9" s="510" customFormat="1">
      <c r="E13" s="520"/>
      <c r="F13" s="520"/>
    </row>
    <row r="14" spans="1:9" s="510" customFormat="1">
      <c r="E14" s="520"/>
      <c r="F14" s="520"/>
    </row>
    <row r="15" spans="1:9" s="510" customFormat="1">
      <c r="E15" s="520"/>
      <c r="F15" s="520"/>
    </row>
    <row r="16" spans="1:9" s="510" customFormat="1">
      <c r="E16" s="520"/>
      <c r="F16" s="520"/>
    </row>
    <row r="17" spans="5:6" s="510" customFormat="1">
      <c r="E17" s="520"/>
      <c r="F17" s="520"/>
    </row>
    <row r="18" spans="5:6" s="510" customFormat="1">
      <c r="E18" s="520"/>
      <c r="F18" s="520"/>
    </row>
    <row r="19" spans="5:6" s="510" customFormat="1">
      <c r="E19" s="520"/>
      <c r="F19" s="520"/>
    </row>
    <row r="20" spans="5:6" s="510" customFormat="1">
      <c r="E20" s="520"/>
      <c r="F20" s="520"/>
    </row>
    <row r="21" spans="5:6" s="510" customFormat="1">
      <c r="E21" s="520"/>
      <c r="F21" s="520"/>
    </row>
    <row r="22" spans="5:6" s="510" customFormat="1">
      <c r="E22" s="520"/>
      <c r="F22" s="520"/>
    </row>
    <row r="23" spans="5:6" s="510" customFormat="1">
      <c r="E23" s="520"/>
      <c r="F23" s="520"/>
    </row>
    <row r="24" spans="5:6" s="510" customFormat="1">
      <c r="E24" s="520"/>
      <c r="F24" s="520"/>
    </row>
    <row r="25" spans="5:6" s="510" customFormat="1">
      <c r="E25" s="520"/>
      <c r="F25" s="520"/>
    </row>
    <row r="26" spans="5:6" s="510" customFormat="1">
      <c r="E26" s="520"/>
      <c r="F26" s="520"/>
    </row>
    <row r="27" spans="5:6" s="510" customFormat="1">
      <c r="E27" s="520"/>
      <c r="F27" s="520"/>
    </row>
    <row r="28" spans="5:6" s="510" customFormat="1">
      <c r="E28" s="520"/>
      <c r="F28" s="520"/>
    </row>
    <row r="29" spans="5:6" s="510" customFormat="1">
      <c r="E29" s="520"/>
      <c r="F29" s="520"/>
    </row>
    <row r="30" spans="5:6" s="510" customFormat="1">
      <c r="E30" s="520"/>
      <c r="F30" s="520"/>
    </row>
    <row r="31" spans="5:6" s="510" customFormat="1">
      <c r="E31" s="520"/>
      <c r="F31" s="520"/>
    </row>
    <row r="32" spans="5:6" s="510" customFormat="1">
      <c r="E32" s="520"/>
      <c r="F32" s="520"/>
    </row>
    <row r="33" spans="5:6" s="510" customFormat="1">
      <c r="E33" s="520"/>
      <c r="F33" s="520"/>
    </row>
    <row r="34" spans="5:6" s="510" customFormat="1">
      <c r="E34" s="520"/>
      <c r="F34" s="520"/>
    </row>
    <row r="35" spans="5:6" s="510" customFormat="1">
      <c r="E35" s="520"/>
      <c r="F35" s="520"/>
    </row>
    <row r="36" spans="5:6" s="510" customFormat="1">
      <c r="E36" s="520"/>
      <c r="F36" s="520"/>
    </row>
    <row r="37" spans="5:6" s="510" customFormat="1">
      <c r="E37" s="520"/>
      <c r="F37" s="520"/>
    </row>
    <row r="38" spans="5:6" s="510" customFormat="1">
      <c r="E38" s="520"/>
      <c r="F38" s="520"/>
    </row>
    <row r="39" spans="5:6" s="510" customFormat="1">
      <c r="E39" s="520"/>
      <c r="F39" s="520"/>
    </row>
    <row r="40" spans="5:6" s="510" customFormat="1">
      <c r="E40" s="520"/>
      <c r="F40" s="520"/>
    </row>
    <row r="41" spans="5:6" s="510" customFormat="1">
      <c r="E41" s="520"/>
      <c r="F41" s="520"/>
    </row>
    <row r="42" spans="5:6" s="510" customFormat="1">
      <c r="E42" s="520"/>
      <c r="F42" s="520"/>
    </row>
    <row r="43" spans="5:6" s="510" customFormat="1">
      <c r="E43" s="520"/>
      <c r="F43" s="520"/>
    </row>
    <row r="44" spans="5:6" s="510" customFormat="1">
      <c r="E44" s="520"/>
      <c r="F44" s="520"/>
    </row>
    <row r="45" spans="5:6" s="510" customFormat="1">
      <c r="E45" s="520"/>
      <c r="F45" s="520"/>
    </row>
    <row r="46" spans="5:6" s="510" customFormat="1">
      <c r="E46" s="520"/>
      <c r="F46" s="520"/>
    </row>
    <row r="47" spans="5:6" s="510" customFormat="1">
      <c r="E47" s="520"/>
      <c r="F47" s="520"/>
    </row>
    <row r="48" spans="5:6" s="510" customFormat="1">
      <c r="E48" s="520"/>
      <c r="F48" s="520"/>
    </row>
    <row r="49" spans="5:6" s="510" customFormat="1">
      <c r="E49" s="520"/>
      <c r="F49" s="520"/>
    </row>
    <row r="50" spans="5:6" s="510" customFormat="1">
      <c r="E50" s="520"/>
      <c r="F50" s="520"/>
    </row>
    <row r="51" spans="5:6" s="510" customFormat="1">
      <c r="E51" s="520"/>
      <c r="F51" s="520"/>
    </row>
    <row r="52" spans="5:6" s="510" customFormat="1">
      <c r="E52" s="520"/>
      <c r="F52" s="520"/>
    </row>
    <row r="53" spans="5:6" s="510" customFormat="1">
      <c r="E53" s="520"/>
      <c r="F53" s="520"/>
    </row>
    <row r="54" spans="5:6" s="510" customFormat="1">
      <c r="E54" s="520"/>
      <c r="F54" s="520"/>
    </row>
    <row r="55" spans="5:6" s="510" customFormat="1">
      <c r="E55" s="520"/>
      <c r="F55" s="520"/>
    </row>
    <row r="56" spans="5:6" s="510" customFormat="1">
      <c r="E56" s="520"/>
      <c r="F56" s="520"/>
    </row>
    <row r="57" spans="5:6" s="510" customFormat="1">
      <c r="E57" s="520"/>
      <c r="F57" s="520"/>
    </row>
    <row r="58" spans="5:6" s="510" customFormat="1">
      <c r="E58" s="520"/>
      <c r="F58" s="520"/>
    </row>
    <row r="59" spans="5:6" s="510" customFormat="1">
      <c r="E59" s="520"/>
      <c r="F59" s="520"/>
    </row>
    <row r="60" spans="5:6" s="510" customFormat="1">
      <c r="E60" s="520"/>
      <c r="F60" s="520"/>
    </row>
    <row r="61" spans="5:6" s="510" customFormat="1">
      <c r="E61" s="520"/>
      <c r="F61" s="520"/>
    </row>
    <row r="62" spans="5:6" s="510" customFormat="1">
      <c r="E62" s="520"/>
      <c r="F62" s="520"/>
    </row>
    <row r="63" spans="5:6" s="510" customFormat="1">
      <c r="E63" s="520"/>
      <c r="F63" s="520"/>
    </row>
    <row r="64" spans="5:6" s="510" customFormat="1">
      <c r="E64" s="520"/>
      <c r="F64" s="520"/>
    </row>
    <row r="65" spans="5:6" s="510" customFormat="1">
      <c r="E65" s="520"/>
      <c r="F65" s="520"/>
    </row>
    <row r="66" spans="5:6" s="510" customFormat="1">
      <c r="E66" s="520"/>
      <c r="F66" s="520"/>
    </row>
    <row r="67" spans="5:6" s="510" customFormat="1">
      <c r="E67" s="520"/>
      <c r="F67" s="520"/>
    </row>
    <row r="68" spans="5:6" s="510" customFormat="1">
      <c r="E68" s="520"/>
      <c r="F68" s="520"/>
    </row>
    <row r="69" spans="5:6" s="510" customFormat="1">
      <c r="E69" s="520"/>
      <c r="F69" s="520"/>
    </row>
    <row r="70" spans="5:6" s="510" customFormat="1">
      <c r="E70" s="520"/>
      <c r="F70" s="520"/>
    </row>
    <row r="71" spans="5:6" s="510" customFormat="1">
      <c r="E71" s="520"/>
      <c r="F71" s="520"/>
    </row>
    <row r="72" spans="5:6" s="510" customFormat="1">
      <c r="E72" s="520"/>
      <c r="F72" s="520"/>
    </row>
    <row r="73" spans="5:6" s="510" customFormat="1">
      <c r="E73" s="520"/>
      <c r="F73" s="520"/>
    </row>
    <row r="74" spans="5:6" s="510" customFormat="1">
      <c r="E74" s="520"/>
      <c r="F74" s="520"/>
    </row>
    <row r="75" spans="5:6" s="510" customFormat="1">
      <c r="E75" s="520"/>
      <c r="F75" s="520"/>
    </row>
    <row r="76" spans="5:6" s="510" customFormat="1">
      <c r="E76" s="520"/>
      <c r="F76" s="520"/>
    </row>
    <row r="77" spans="5:6" s="510" customFormat="1">
      <c r="E77" s="520"/>
      <c r="F77" s="520"/>
    </row>
    <row r="78" spans="5:6" s="510" customFormat="1">
      <c r="E78" s="520"/>
      <c r="F78" s="520"/>
    </row>
    <row r="79" spans="5:6" s="510" customFormat="1">
      <c r="E79" s="520"/>
      <c r="F79" s="520"/>
    </row>
    <row r="80" spans="5:6" s="510" customFormat="1">
      <c r="E80" s="520"/>
      <c r="F80" s="520"/>
    </row>
    <row r="81" spans="5:6" s="510" customFormat="1">
      <c r="E81" s="520"/>
      <c r="F81" s="520"/>
    </row>
    <row r="82" spans="5:6" s="510" customFormat="1">
      <c r="E82" s="520"/>
      <c r="F82" s="520"/>
    </row>
    <row r="83" spans="5:6" s="510" customFormat="1">
      <c r="E83" s="520"/>
      <c r="F83" s="520"/>
    </row>
    <row r="84" spans="5:6" s="510" customFormat="1">
      <c r="E84" s="520"/>
      <c r="F84" s="520"/>
    </row>
    <row r="85" spans="5:6" s="510" customFormat="1">
      <c r="E85" s="520"/>
      <c r="F85" s="520"/>
    </row>
    <row r="86" spans="5:6" s="510" customFormat="1">
      <c r="E86" s="520"/>
      <c r="F86" s="520"/>
    </row>
    <row r="87" spans="5:6" s="510" customFormat="1">
      <c r="E87" s="520"/>
      <c r="F87" s="520"/>
    </row>
    <row r="88" spans="5:6" s="510" customFormat="1">
      <c r="E88" s="520"/>
      <c r="F88" s="520"/>
    </row>
    <row r="89" spans="5:6" s="510" customFormat="1">
      <c r="E89" s="520"/>
      <c r="F89" s="520"/>
    </row>
    <row r="90" spans="5:6" s="510" customFormat="1">
      <c r="E90" s="520"/>
      <c r="F90" s="520"/>
    </row>
    <row r="91" spans="5:6" s="510" customFormat="1">
      <c r="E91" s="520"/>
      <c r="F91" s="520"/>
    </row>
    <row r="92" spans="5:6" s="510" customFormat="1">
      <c r="E92" s="520"/>
      <c r="F92" s="520"/>
    </row>
    <row r="93" spans="5:6" s="510" customFormat="1">
      <c r="E93" s="520"/>
      <c r="F93" s="520"/>
    </row>
    <row r="94" spans="5:6" s="510" customFormat="1">
      <c r="E94" s="520"/>
      <c r="F94" s="520"/>
    </row>
    <row r="95" spans="5:6" s="510" customFormat="1">
      <c r="E95" s="520"/>
      <c r="F95" s="520"/>
    </row>
    <row r="96" spans="5:6" s="510" customFormat="1">
      <c r="E96" s="520"/>
      <c r="F96" s="520"/>
    </row>
    <row r="97" spans="5:6" s="510" customFormat="1">
      <c r="E97" s="520"/>
      <c r="F97" s="520"/>
    </row>
    <row r="98" spans="5:6" s="510" customFormat="1">
      <c r="E98" s="520"/>
      <c r="F98" s="520"/>
    </row>
    <row r="99" spans="5:6" s="510" customFormat="1">
      <c r="E99" s="520"/>
      <c r="F99" s="520"/>
    </row>
    <row r="100" spans="5:6" s="510" customFormat="1">
      <c r="E100" s="520"/>
      <c r="F100" s="520"/>
    </row>
    <row r="101" spans="5:6" s="510" customFormat="1">
      <c r="E101" s="520"/>
      <c r="F101" s="520"/>
    </row>
    <row r="102" spans="5:6" s="510" customFormat="1">
      <c r="E102" s="520"/>
      <c r="F102" s="520"/>
    </row>
    <row r="103" spans="5:6" s="510" customFormat="1">
      <c r="E103" s="520"/>
      <c r="F103" s="520"/>
    </row>
    <row r="104" spans="5:6" s="510" customFormat="1">
      <c r="E104" s="520"/>
      <c r="F104" s="520"/>
    </row>
    <row r="105" spans="5:6" s="510" customFormat="1">
      <c r="E105" s="520"/>
      <c r="F105" s="520"/>
    </row>
    <row r="106" spans="5:6" s="510" customFormat="1">
      <c r="E106" s="520"/>
      <c r="F106" s="520"/>
    </row>
    <row r="107" spans="5:6" s="510" customFormat="1">
      <c r="E107" s="520"/>
      <c r="F107" s="520"/>
    </row>
    <row r="108" spans="5:6" s="510" customFormat="1">
      <c r="E108" s="520"/>
      <c r="F108" s="520"/>
    </row>
    <row r="109" spans="5:6" s="510" customFormat="1">
      <c r="E109" s="520"/>
      <c r="F109" s="520"/>
    </row>
    <row r="110" spans="5:6" s="510" customFormat="1">
      <c r="E110" s="520"/>
      <c r="F110" s="520"/>
    </row>
    <row r="111" spans="5:6" s="510" customFormat="1">
      <c r="E111" s="520"/>
      <c r="F111" s="520"/>
    </row>
    <row r="112" spans="5:6" s="510" customFormat="1">
      <c r="E112" s="520"/>
      <c r="F112" s="520"/>
    </row>
    <row r="113" spans="5:6" s="510" customFormat="1">
      <c r="E113" s="520"/>
      <c r="F113" s="520"/>
    </row>
    <row r="114" spans="5:6" s="510" customFormat="1">
      <c r="E114" s="520"/>
      <c r="F114" s="520"/>
    </row>
    <row r="115" spans="5:6" s="510" customFormat="1">
      <c r="E115" s="520"/>
      <c r="F115" s="520"/>
    </row>
    <row r="116" spans="5:6" s="510" customFormat="1">
      <c r="E116" s="520"/>
      <c r="F116" s="520"/>
    </row>
    <row r="117" spans="5:6" s="510" customFormat="1">
      <c r="E117" s="520"/>
      <c r="F117" s="520"/>
    </row>
    <row r="118" spans="5:6" s="510" customFormat="1">
      <c r="E118" s="520"/>
      <c r="F118" s="520"/>
    </row>
    <row r="119" spans="5:6" s="510" customFormat="1">
      <c r="E119" s="520"/>
      <c r="F119" s="520"/>
    </row>
    <row r="120" spans="5:6" s="510" customFormat="1">
      <c r="E120" s="520"/>
      <c r="F120" s="520"/>
    </row>
    <row r="121" spans="5:6" s="510" customFormat="1">
      <c r="E121" s="520"/>
      <c r="F121" s="520"/>
    </row>
    <row r="122" spans="5:6" s="510" customFormat="1">
      <c r="E122" s="520"/>
      <c r="F122" s="520"/>
    </row>
    <row r="123" spans="5:6" s="510" customFormat="1">
      <c r="E123" s="520"/>
      <c r="F123" s="520"/>
    </row>
    <row r="124" spans="5:6" s="510" customFormat="1">
      <c r="E124" s="520"/>
      <c r="F124" s="520"/>
    </row>
    <row r="125" spans="5:6" s="510" customFormat="1">
      <c r="E125" s="520"/>
      <c r="F125" s="520"/>
    </row>
    <row r="126" spans="5:6" s="510" customFormat="1">
      <c r="E126" s="520"/>
      <c r="F126" s="520"/>
    </row>
    <row r="127" spans="5:6" s="510" customFormat="1">
      <c r="E127" s="520"/>
      <c r="F127" s="520"/>
    </row>
    <row r="128" spans="5:6" s="510" customFormat="1">
      <c r="E128" s="520"/>
      <c r="F128" s="520"/>
    </row>
    <row r="129" spans="5:6" s="510" customFormat="1">
      <c r="E129" s="520"/>
      <c r="F129" s="520"/>
    </row>
    <row r="130" spans="5:6" s="510" customFormat="1">
      <c r="E130" s="520"/>
      <c r="F130" s="520"/>
    </row>
    <row r="131" spans="5:6" s="510" customFormat="1">
      <c r="E131" s="520"/>
      <c r="F131" s="520"/>
    </row>
    <row r="132" spans="5:6" s="510" customFormat="1">
      <c r="E132" s="520"/>
      <c r="F132" s="520"/>
    </row>
    <row r="133" spans="5:6" s="510" customFormat="1">
      <c r="E133" s="520"/>
      <c r="F133" s="520"/>
    </row>
    <row r="134" spans="5:6" s="510" customFormat="1">
      <c r="E134" s="520"/>
      <c r="F134" s="520"/>
    </row>
    <row r="135" spans="5:6" s="510" customFormat="1">
      <c r="E135" s="520"/>
      <c r="F135" s="520"/>
    </row>
    <row r="136" spans="5:6" s="510" customFormat="1">
      <c r="E136" s="520"/>
      <c r="F136" s="520"/>
    </row>
    <row r="137" spans="5:6" s="510" customFormat="1">
      <c r="E137" s="520"/>
      <c r="F137" s="520"/>
    </row>
    <row r="138" spans="5:6" s="510" customFormat="1">
      <c r="E138" s="520"/>
      <c r="F138" s="520"/>
    </row>
    <row r="139" spans="5:6" s="510" customFormat="1">
      <c r="E139" s="520"/>
      <c r="F139" s="520"/>
    </row>
    <row r="140" spans="5:6" s="510" customFormat="1">
      <c r="E140" s="520"/>
      <c r="F140" s="520"/>
    </row>
    <row r="141" spans="5:6" s="510" customFormat="1">
      <c r="E141" s="520"/>
      <c r="F141" s="520"/>
    </row>
    <row r="142" spans="5:6" s="510" customFormat="1">
      <c r="E142" s="520"/>
      <c r="F142" s="520"/>
    </row>
    <row r="143" spans="5:6" s="510" customFormat="1">
      <c r="E143" s="520"/>
      <c r="F143" s="520"/>
    </row>
    <row r="144" spans="5:6" s="510" customFormat="1">
      <c r="E144" s="520"/>
      <c r="F144" s="520"/>
    </row>
    <row r="145" spans="5:6" s="510" customFormat="1">
      <c r="E145" s="520"/>
      <c r="F145" s="520"/>
    </row>
    <row r="146" spans="5:6" s="510" customFormat="1">
      <c r="E146" s="520"/>
      <c r="F146" s="520"/>
    </row>
    <row r="147" spans="5:6" s="510" customFormat="1">
      <c r="E147" s="520"/>
      <c r="F147" s="520"/>
    </row>
    <row r="148" spans="5:6" s="510" customFormat="1">
      <c r="E148" s="520"/>
      <c r="F148" s="520"/>
    </row>
    <row r="149" spans="5:6" s="510" customFormat="1">
      <c r="E149" s="520"/>
      <c r="F149" s="520"/>
    </row>
    <row r="150" spans="5:6" s="510" customFormat="1">
      <c r="E150" s="520"/>
      <c r="F150" s="520"/>
    </row>
    <row r="151" spans="5:6" s="510" customFormat="1">
      <c r="E151" s="520"/>
      <c r="F151" s="520"/>
    </row>
    <row r="152" spans="5:6" s="510" customFormat="1">
      <c r="E152" s="520"/>
      <c r="F152" s="520"/>
    </row>
    <row r="153" spans="5:6" s="510" customFormat="1">
      <c r="E153" s="520"/>
      <c r="F153" s="520"/>
    </row>
    <row r="154" spans="5:6" s="510" customFormat="1">
      <c r="E154" s="520"/>
      <c r="F154" s="520"/>
    </row>
    <row r="155" spans="5:6" s="510" customFormat="1">
      <c r="E155" s="520"/>
      <c r="F155" s="520"/>
    </row>
    <row r="156" spans="5:6" s="510" customFormat="1">
      <c r="E156" s="520"/>
      <c r="F156" s="520"/>
    </row>
    <row r="157" spans="5:6" s="510" customFormat="1">
      <c r="E157" s="520"/>
      <c r="F157" s="520"/>
    </row>
    <row r="158" spans="5:6" s="510" customFormat="1">
      <c r="E158" s="520"/>
      <c r="F158" s="520"/>
    </row>
    <row r="159" spans="5:6" s="510" customFormat="1">
      <c r="E159" s="520"/>
      <c r="F159" s="520"/>
    </row>
    <row r="160" spans="5:6" s="510" customFormat="1">
      <c r="E160" s="520"/>
      <c r="F160" s="520"/>
    </row>
    <row r="161" spans="5:6" s="510" customFormat="1">
      <c r="E161" s="520"/>
      <c r="F161" s="520"/>
    </row>
    <row r="162" spans="5:6" s="510" customFormat="1">
      <c r="E162" s="520"/>
      <c r="F162" s="520"/>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7041-E818-4A26-B430-F35DCB72AC06}">
  <dimension ref="A1:J161"/>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510" customWidth="1"/>
    <col min="2" max="2" width="19.6640625" style="510" customWidth="1"/>
    <col min="3" max="3" width="12.5" style="510" bestFit="1" customWidth="1"/>
    <col min="4" max="4" width="47.1640625" style="510" customWidth="1"/>
    <col min="5" max="5" width="11.5" style="510" customWidth="1"/>
    <col min="6" max="6" width="10.5" style="510" customWidth="1"/>
    <col min="7" max="8" width="9.33203125" style="510" customWidth="1"/>
    <col min="9" max="10" width="9.33203125" style="510"/>
    <col min="11" max="16384" width="9.33203125" style="519"/>
  </cols>
  <sheetData>
    <row r="1" spans="1:9" s="510" customFormat="1" ht="30" customHeight="1">
      <c r="A1" s="521" t="s">
        <v>291</v>
      </c>
      <c r="B1" s="522" t="s">
        <v>475</v>
      </c>
      <c r="C1" s="521" t="s">
        <v>464</v>
      </c>
      <c r="D1" s="523" t="s">
        <v>476</v>
      </c>
      <c r="E1" s="524" t="s">
        <v>477</v>
      </c>
      <c r="F1" s="524" t="s">
        <v>478</v>
      </c>
      <c r="G1" s="476"/>
      <c r="H1" s="511"/>
      <c r="I1" s="474"/>
    </row>
    <row r="2" spans="1:9" s="510" customFormat="1" ht="84.75" customHeight="1">
      <c r="A2" s="525"/>
      <c r="B2" s="525"/>
      <c r="C2" s="526"/>
      <c r="D2" s="684"/>
      <c r="E2" s="527"/>
      <c r="F2" s="527"/>
      <c r="G2" s="475"/>
      <c r="H2" s="481"/>
    </row>
    <row r="3" spans="1:9" s="510" customFormat="1" ht="180" customHeight="1">
      <c r="A3" s="525"/>
      <c r="B3" s="525"/>
      <c r="C3" s="526"/>
      <c r="D3" s="684"/>
      <c r="E3" s="527"/>
      <c r="F3" s="527"/>
      <c r="G3" s="475"/>
      <c r="H3" s="481"/>
    </row>
    <row r="4" spans="1:9" s="510" customFormat="1" ht="91.5" customHeight="1">
      <c r="A4" s="525"/>
      <c r="B4" s="525"/>
      <c r="C4" s="526"/>
      <c r="D4" s="684"/>
      <c r="E4" s="527"/>
      <c r="F4" s="527"/>
      <c r="G4" s="475"/>
      <c r="H4" s="481"/>
    </row>
    <row r="5" spans="1:9" s="510" customFormat="1" ht="67.5" customHeight="1">
      <c r="A5" s="525"/>
      <c r="B5" s="525"/>
      <c r="C5" s="526"/>
      <c r="D5" s="684"/>
      <c r="E5" s="527"/>
      <c r="F5" s="527"/>
      <c r="G5" s="475"/>
      <c r="H5" s="481"/>
    </row>
    <row r="6" spans="1:9" s="510" customFormat="1" ht="73.5" customHeight="1">
      <c r="A6" s="525"/>
      <c r="B6" s="525"/>
      <c r="C6" s="526"/>
      <c r="D6" s="684"/>
      <c r="E6" s="527"/>
      <c r="F6" s="527"/>
      <c r="G6" s="475"/>
      <c r="H6" s="481"/>
    </row>
    <row r="7" spans="1:9" s="510" customFormat="1" ht="84" customHeight="1">
      <c r="A7" s="525"/>
      <c r="B7" s="525"/>
      <c r="C7" s="526"/>
      <c r="D7" s="684"/>
      <c r="E7" s="527"/>
      <c r="F7" s="527"/>
      <c r="G7" s="475"/>
      <c r="H7" s="481"/>
    </row>
    <row r="8" spans="1:9" s="510" customFormat="1" ht="77.25" customHeight="1">
      <c r="A8" s="525"/>
      <c r="B8" s="525"/>
      <c r="C8" s="526"/>
      <c r="D8" s="684"/>
      <c r="E8" s="527"/>
      <c r="F8" s="527"/>
      <c r="G8" s="475"/>
      <c r="H8" s="481"/>
    </row>
    <row r="9" spans="1:9" s="510" customFormat="1">
      <c r="E9" s="520"/>
      <c r="F9" s="520"/>
    </row>
    <row r="10" spans="1:9" s="510" customFormat="1">
      <c r="E10" s="520"/>
      <c r="F10" s="520"/>
    </row>
    <row r="11" spans="1:9" s="510" customFormat="1">
      <c r="E11" s="520"/>
      <c r="F11" s="520"/>
    </row>
    <row r="12" spans="1:9" s="510" customFormat="1">
      <c r="E12" s="520"/>
      <c r="F12" s="520"/>
    </row>
    <row r="13" spans="1:9" s="510" customFormat="1">
      <c r="E13" s="520"/>
      <c r="F13" s="520"/>
    </row>
    <row r="14" spans="1:9" s="510" customFormat="1">
      <c r="E14" s="520"/>
      <c r="F14" s="520"/>
    </row>
    <row r="15" spans="1:9" s="510" customFormat="1">
      <c r="E15" s="520"/>
      <c r="F15" s="520"/>
    </row>
    <row r="16" spans="1:9" s="510" customFormat="1">
      <c r="E16" s="520"/>
      <c r="F16" s="520"/>
    </row>
    <row r="17" spans="5:6" s="510" customFormat="1">
      <c r="E17" s="520"/>
      <c r="F17" s="520"/>
    </row>
    <row r="18" spans="5:6" s="510" customFormat="1">
      <c r="E18" s="520"/>
      <c r="F18" s="520"/>
    </row>
    <row r="19" spans="5:6" s="510" customFormat="1">
      <c r="E19" s="520"/>
      <c r="F19" s="520"/>
    </row>
    <row r="20" spans="5:6" s="510" customFormat="1">
      <c r="E20" s="520"/>
      <c r="F20" s="520"/>
    </row>
    <row r="21" spans="5:6" s="510" customFormat="1">
      <c r="E21" s="520"/>
      <c r="F21" s="520"/>
    </row>
    <row r="22" spans="5:6" s="510" customFormat="1">
      <c r="E22" s="520"/>
      <c r="F22" s="520"/>
    </row>
    <row r="23" spans="5:6" s="510" customFormat="1">
      <c r="E23" s="520"/>
      <c r="F23" s="520"/>
    </row>
    <row r="24" spans="5:6" s="510" customFormat="1">
      <c r="E24" s="520"/>
      <c r="F24" s="520"/>
    </row>
    <row r="25" spans="5:6" s="510" customFormat="1">
      <c r="E25" s="520"/>
      <c r="F25" s="520"/>
    </row>
    <row r="26" spans="5:6" s="510" customFormat="1">
      <c r="E26" s="520"/>
      <c r="F26" s="520"/>
    </row>
    <row r="27" spans="5:6" s="510" customFormat="1">
      <c r="E27" s="520"/>
      <c r="F27" s="520"/>
    </row>
    <row r="28" spans="5:6" s="510" customFormat="1">
      <c r="E28" s="520"/>
      <c r="F28" s="520"/>
    </row>
    <row r="29" spans="5:6" s="510" customFormat="1">
      <c r="E29" s="520"/>
      <c r="F29" s="520"/>
    </row>
    <row r="30" spans="5:6" s="510" customFormat="1">
      <c r="E30" s="520"/>
      <c r="F30" s="520"/>
    </row>
    <row r="31" spans="5:6" s="510" customFormat="1">
      <c r="E31" s="520"/>
      <c r="F31" s="520"/>
    </row>
    <row r="32" spans="5:6" s="510" customFormat="1">
      <c r="E32" s="520"/>
      <c r="F32" s="520"/>
    </row>
    <row r="33" spans="5:6" s="510" customFormat="1">
      <c r="E33" s="520"/>
      <c r="F33" s="520"/>
    </row>
    <row r="34" spans="5:6" s="510" customFormat="1">
      <c r="E34" s="520"/>
      <c r="F34" s="520"/>
    </row>
    <row r="35" spans="5:6" s="510" customFormat="1">
      <c r="E35" s="520"/>
      <c r="F35" s="520"/>
    </row>
    <row r="36" spans="5:6" s="510" customFormat="1">
      <c r="E36" s="520"/>
      <c r="F36" s="520"/>
    </row>
    <row r="37" spans="5:6" s="510" customFormat="1">
      <c r="E37" s="520"/>
      <c r="F37" s="520"/>
    </row>
    <row r="38" spans="5:6" s="510" customFormat="1">
      <c r="E38" s="520"/>
      <c r="F38" s="520"/>
    </row>
    <row r="39" spans="5:6" s="510" customFormat="1">
      <c r="E39" s="520"/>
      <c r="F39" s="520"/>
    </row>
    <row r="40" spans="5:6" s="510" customFormat="1">
      <c r="E40" s="520"/>
      <c r="F40" s="520"/>
    </row>
    <row r="41" spans="5:6" s="510" customFormat="1">
      <c r="E41" s="520"/>
      <c r="F41" s="520"/>
    </row>
    <row r="42" spans="5:6" s="510" customFormat="1">
      <c r="E42" s="520"/>
      <c r="F42" s="520"/>
    </row>
    <row r="43" spans="5:6" s="510" customFormat="1">
      <c r="E43" s="520"/>
      <c r="F43" s="520"/>
    </row>
    <row r="44" spans="5:6" s="510" customFormat="1">
      <c r="E44" s="520"/>
      <c r="F44" s="520"/>
    </row>
    <row r="45" spans="5:6" s="510" customFormat="1">
      <c r="E45" s="520"/>
      <c r="F45" s="520"/>
    </row>
    <row r="46" spans="5:6" s="510" customFormat="1">
      <c r="E46" s="520"/>
      <c r="F46" s="520"/>
    </row>
    <row r="47" spans="5:6" s="510" customFormat="1">
      <c r="E47" s="520"/>
      <c r="F47" s="520"/>
    </row>
    <row r="48" spans="5:6" s="510" customFormat="1">
      <c r="E48" s="520"/>
      <c r="F48" s="520"/>
    </row>
    <row r="49" spans="5:6" s="510" customFormat="1">
      <c r="E49" s="520"/>
      <c r="F49" s="520"/>
    </row>
    <row r="50" spans="5:6" s="510" customFormat="1">
      <c r="E50" s="520"/>
      <c r="F50" s="520"/>
    </row>
    <row r="51" spans="5:6" s="510" customFormat="1">
      <c r="E51" s="520"/>
      <c r="F51" s="520"/>
    </row>
    <row r="52" spans="5:6" s="510" customFormat="1">
      <c r="E52" s="520"/>
      <c r="F52" s="520"/>
    </row>
    <row r="53" spans="5:6" s="510" customFormat="1">
      <c r="E53" s="520"/>
      <c r="F53" s="520"/>
    </row>
    <row r="54" spans="5:6" s="510" customFormat="1">
      <c r="E54" s="520"/>
      <c r="F54" s="520"/>
    </row>
    <row r="55" spans="5:6" s="510" customFormat="1">
      <c r="E55" s="520"/>
      <c r="F55" s="520"/>
    </row>
    <row r="56" spans="5:6" s="510" customFormat="1">
      <c r="E56" s="520"/>
      <c r="F56" s="520"/>
    </row>
    <row r="57" spans="5:6" s="510" customFormat="1">
      <c r="E57" s="520"/>
      <c r="F57" s="520"/>
    </row>
    <row r="58" spans="5:6" s="510" customFormat="1">
      <c r="E58" s="520"/>
      <c r="F58" s="520"/>
    </row>
    <row r="59" spans="5:6" s="510" customFormat="1">
      <c r="E59" s="520"/>
      <c r="F59" s="520"/>
    </row>
    <row r="60" spans="5:6" s="510" customFormat="1">
      <c r="E60" s="520"/>
      <c r="F60" s="520"/>
    </row>
    <row r="61" spans="5:6" s="510" customFormat="1">
      <c r="E61" s="520"/>
      <c r="F61" s="520"/>
    </row>
    <row r="62" spans="5:6" s="510" customFormat="1">
      <c r="E62" s="520"/>
      <c r="F62" s="520"/>
    </row>
    <row r="63" spans="5:6" s="510" customFormat="1">
      <c r="E63" s="520"/>
      <c r="F63" s="520"/>
    </row>
    <row r="64" spans="5:6" s="510" customFormat="1">
      <c r="E64" s="520"/>
      <c r="F64" s="520"/>
    </row>
    <row r="65" spans="5:6" s="510" customFormat="1">
      <c r="E65" s="520"/>
      <c r="F65" s="520"/>
    </row>
    <row r="66" spans="5:6" s="510" customFormat="1">
      <c r="E66" s="520"/>
      <c r="F66" s="520"/>
    </row>
    <row r="67" spans="5:6" s="510" customFormat="1">
      <c r="E67" s="520"/>
      <c r="F67" s="520"/>
    </row>
    <row r="68" spans="5:6" s="510" customFormat="1">
      <c r="E68" s="520"/>
      <c r="F68" s="520"/>
    </row>
    <row r="69" spans="5:6" s="510" customFormat="1">
      <c r="E69" s="520"/>
      <c r="F69" s="520"/>
    </row>
    <row r="70" spans="5:6" s="510" customFormat="1">
      <c r="E70" s="520"/>
      <c r="F70" s="520"/>
    </row>
    <row r="71" spans="5:6" s="510" customFormat="1">
      <c r="E71" s="520"/>
      <c r="F71" s="520"/>
    </row>
    <row r="72" spans="5:6" s="510" customFormat="1">
      <c r="E72" s="520"/>
      <c r="F72" s="520"/>
    </row>
    <row r="73" spans="5:6" s="510" customFormat="1">
      <c r="E73" s="520"/>
      <c r="F73" s="520"/>
    </row>
    <row r="74" spans="5:6" s="510" customFormat="1">
      <c r="E74" s="520"/>
      <c r="F74" s="520"/>
    </row>
    <row r="75" spans="5:6" s="510" customFormat="1">
      <c r="E75" s="520"/>
      <c r="F75" s="520"/>
    </row>
    <row r="76" spans="5:6" s="510" customFormat="1">
      <c r="E76" s="520"/>
      <c r="F76" s="520"/>
    </row>
    <row r="77" spans="5:6" s="510" customFormat="1">
      <c r="E77" s="520"/>
      <c r="F77" s="520"/>
    </row>
    <row r="78" spans="5:6" s="510" customFormat="1">
      <c r="E78" s="520"/>
      <c r="F78" s="520"/>
    </row>
    <row r="79" spans="5:6" s="510" customFormat="1">
      <c r="E79" s="520"/>
      <c r="F79" s="520"/>
    </row>
    <row r="80" spans="5:6" s="510" customFormat="1">
      <c r="E80" s="520"/>
      <c r="F80" s="520"/>
    </row>
    <row r="81" spans="5:6" s="510" customFormat="1">
      <c r="E81" s="520"/>
      <c r="F81" s="520"/>
    </row>
    <row r="82" spans="5:6" s="510" customFormat="1">
      <c r="E82" s="520"/>
      <c r="F82" s="520"/>
    </row>
    <row r="83" spans="5:6" s="510" customFormat="1">
      <c r="E83" s="520"/>
      <c r="F83" s="520"/>
    </row>
    <row r="84" spans="5:6" s="510" customFormat="1">
      <c r="E84" s="520"/>
      <c r="F84" s="520"/>
    </row>
    <row r="85" spans="5:6" s="510" customFormat="1">
      <c r="E85" s="520"/>
      <c r="F85" s="520"/>
    </row>
    <row r="86" spans="5:6" s="510" customFormat="1">
      <c r="E86" s="520"/>
      <c r="F86" s="520"/>
    </row>
    <row r="87" spans="5:6" s="510" customFormat="1">
      <c r="E87" s="520"/>
      <c r="F87" s="520"/>
    </row>
    <row r="88" spans="5:6" s="510" customFormat="1">
      <c r="E88" s="520"/>
      <c r="F88" s="520"/>
    </row>
    <row r="89" spans="5:6" s="510" customFormat="1">
      <c r="E89" s="520"/>
      <c r="F89" s="520"/>
    </row>
    <row r="90" spans="5:6" s="510" customFormat="1">
      <c r="E90" s="520"/>
      <c r="F90" s="520"/>
    </row>
    <row r="91" spans="5:6" s="510" customFormat="1">
      <c r="E91" s="520"/>
      <c r="F91" s="520"/>
    </row>
    <row r="92" spans="5:6" s="510" customFormat="1">
      <c r="E92" s="520"/>
      <c r="F92" s="520"/>
    </row>
    <row r="93" spans="5:6" s="510" customFormat="1">
      <c r="E93" s="520"/>
      <c r="F93" s="520"/>
    </row>
    <row r="94" spans="5:6" s="510" customFormat="1">
      <c r="E94" s="520"/>
      <c r="F94" s="520"/>
    </row>
    <row r="95" spans="5:6" s="510" customFormat="1">
      <c r="E95" s="520"/>
      <c r="F95" s="520"/>
    </row>
    <row r="96" spans="5:6" s="510" customFormat="1">
      <c r="E96" s="520"/>
      <c r="F96" s="520"/>
    </row>
    <row r="97" spans="5:6" s="510" customFormat="1">
      <c r="E97" s="520"/>
      <c r="F97" s="520"/>
    </row>
    <row r="98" spans="5:6" s="510" customFormat="1">
      <c r="E98" s="520"/>
      <c r="F98" s="520"/>
    </row>
    <row r="99" spans="5:6" s="510" customFormat="1">
      <c r="E99" s="520"/>
      <c r="F99" s="520"/>
    </row>
    <row r="100" spans="5:6" s="510" customFormat="1">
      <c r="E100" s="520"/>
      <c r="F100" s="520"/>
    </row>
    <row r="101" spans="5:6" s="510" customFormat="1">
      <c r="E101" s="520"/>
      <c r="F101" s="520"/>
    </row>
    <row r="102" spans="5:6" s="510" customFormat="1">
      <c r="E102" s="520"/>
      <c r="F102" s="520"/>
    </row>
    <row r="103" spans="5:6" s="510" customFormat="1">
      <c r="E103" s="520"/>
      <c r="F103" s="520"/>
    </row>
    <row r="104" spans="5:6" s="510" customFormat="1">
      <c r="E104" s="520"/>
      <c r="F104" s="520"/>
    </row>
    <row r="105" spans="5:6" s="510" customFormat="1">
      <c r="E105" s="520"/>
      <c r="F105" s="520"/>
    </row>
    <row r="106" spans="5:6" s="510" customFormat="1">
      <c r="E106" s="520"/>
      <c r="F106" s="520"/>
    </row>
    <row r="107" spans="5:6" s="510" customFormat="1">
      <c r="E107" s="520"/>
      <c r="F107" s="520"/>
    </row>
    <row r="108" spans="5:6" s="510" customFormat="1">
      <c r="E108" s="520"/>
      <c r="F108" s="520"/>
    </row>
    <row r="109" spans="5:6" s="510" customFormat="1">
      <c r="E109" s="520"/>
      <c r="F109" s="520"/>
    </row>
    <row r="110" spans="5:6" s="510" customFormat="1">
      <c r="E110" s="520"/>
      <c r="F110" s="520"/>
    </row>
    <row r="111" spans="5:6" s="510" customFormat="1">
      <c r="E111" s="520"/>
      <c r="F111" s="520"/>
    </row>
    <row r="112" spans="5:6" s="510" customFormat="1">
      <c r="E112" s="520"/>
      <c r="F112" s="520"/>
    </row>
    <row r="113" spans="5:6" s="510" customFormat="1">
      <c r="E113" s="520"/>
      <c r="F113" s="520"/>
    </row>
    <row r="114" spans="5:6" s="510" customFormat="1">
      <c r="E114" s="520"/>
      <c r="F114" s="520"/>
    </row>
    <row r="115" spans="5:6" s="510" customFormat="1">
      <c r="E115" s="520"/>
      <c r="F115" s="520"/>
    </row>
    <row r="116" spans="5:6" s="510" customFormat="1">
      <c r="E116" s="520"/>
      <c r="F116" s="520"/>
    </row>
    <row r="117" spans="5:6" s="510" customFormat="1">
      <c r="E117" s="520"/>
      <c r="F117" s="520"/>
    </row>
    <row r="118" spans="5:6" s="510" customFormat="1">
      <c r="E118" s="520"/>
      <c r="F118" s="520"/>
    </row>
    <row r="119" spans="5:6" s="510" customFormat="1">
      <c r="E119" s="520"/>
      <c r="F119" s="520"/>
    </row>
    <row r="120" spans="5:6" s="510" customFormat="1">
      <c r="E120" s="520"/>
      <c r="F120" s="520"/>
    </row>
    <row r="121" spans="5:6" s="510" customFormat="1">
      <c r="E121" s="520"/>
      <c r="F121" s="520"/>
    </row>
    <row r="122" spans="5:6" s="510" customFormat="1">
      <c r="E122" s="520"/>
      <c r="F122" s="520"/>
    </row>
    <row r="123" spans="5:6" s="510" customFormat="1">
      <c r="E123" s="520"/>
      <c r="F123" s="520"/>
    </row>
    <row r="124" spans="5:6" s="510" customFormat="1">
      <c r="E124" s="520"/>
      <c r="F124" s="520"/>
    </row>
    <row r="125" spans="5:6" s="510" customFormat="1">
      <c r="E125" s="520"/>
      <c r="F125" s="520"/>
    </row>
    <row r="126" spans="5:6" s="510" customFormat="1">
      <c r="E126" s="520"/>
      <c r="F126" s="520"/>
    </row>
    <row r="127" spans="5:6" s="510" customFormat="1">
      <c r="E127" s="520"/>
      <c r="F127" s="520"/>
    </row>
    <row r="128" spans="5:6" s="510" customFormat="1">
      <c r="E128" s="520"/>
      <c r="F128" s="520"/>
    </row>
    <row r="129" spans="5:6" s="510" customFormat="1">
      <c r="E129" s="520"/>
      <c r="F129" s="520"/>
    </row>
    <row r="130" spans="5:6" s="510" customFormat="1">
      <c r="E130" s="520"/>
      <c r="F130" s="520"/>
    </row>
    <row r="131" spans="5:6" s="510" customFormat="1">
      <c r="E131" s="520"/>
      <c r="F131" s="520"/>
    </row>
    <row r="132" spans="5:6" s="510" customFormat="1">
      <c r="E132" s="520"/>
      <c r="F132" s="520"/>
    </row>
    <row r="133" spans="5:6" s="510" customFormat="1">
      <c r="E133" s="520"/>
      <c r="F133" s="520"/>
    </row>
    <row r="134" spans="5:6" s="510" customFormat="1">
      <c r="E134" s="520"/>
      <c r="F134" s="520"/>
    </row>
    <row r="135" spans="5:6" s="510" customFormat="1">
      <c r="E135" s="520"/>
      <c r="F135" s="520"/>
    </row>
    <row r="136" spans="5:6" s="510" customFormat="1">
      <c r="E136" s="520"/>
      <c r="F136" s="520"/>
    </row>
    <row r="137" spans="5:6" s="510" customFormat="1">
      <c r="E137" s="520"/>
      <c r="F137" s="520"/>
    </row>
    <row r="138" spans="5:6" s="510" customFormat="1">
      <c r="E138" s="520"/>
      <c r="F138" s="520"/>
    </row>
    <row r="139" spans="5:6" s="510" customFormat="1">
      <c r="E139" s="520"/>
      <c r="F139" s="520"/>
    </row>
    <row r="140" spans="5:6" s="510" customFormat="1">
      <c r="E140" s="520"/>
      <c r="F140" s="520"/>
    </row>
    <row r="141" spans="5:6" s="510" customFormat="1">
      <c r="E141" s="520"/>
      <c r="F141" s="520"/>
    </row>
    <row r="142" spans="5:6" s="510" customFormat="1">
      <c r="E142" s="520"/>
      <c r="F142" s="520"/>
    </row>
    <row r="143" spans="5:6" s="510" customFormat="1">
      <c r="E143" s="520"/>
      <c r="F143" s="520"/>
    </row>
    <row r="144" spans="5:6" s="510" customFormat="1">
      <c r="E144" s="520"/>
      <c r="F144" s="520"/>
    </row>
    <row r="145" spans="5:6" s="510" customFormat="1">
      <c r="E145" s="520"/>
      <c r="F145" s="520"/>
    </row>
    <row r="146" spans="5:6" s="510" customFormat="1">
      <c r="E146" s="520"/>
      <c r="F146" s="520"/>
    </row>
    <row r="147" spans="5:6" s="510" customFormat="1">
      <c r="E147" s="520"/>
      <c r="F147" s="520"/>
    </row>
    <row r="148" spans="5:6" s="510" customFormat="1">
      <c r="E148" s="520"/>
      <c r="F148" s="520"/>
    </row>
    <row r="149" spans="5:6" s="510" customFormat="1">
      <c r="E149" s="520"/>
      <c r="F149" s="520"/>
    </row>
    <row r="150" spans="5:6" s="510" customFormat="1">
      <c r="E150" s="520"/>
      <c r="F150" s="520"/>
    </row>
    <row r="151" spans="5:6" s="510" customFormat="1">
      <c r="E151" s="520"/>
      <c r="F151" s="520"/>
    </row>
    <row r="152" spans="5:6" s="510" customFormat="1">
      <c r="E152" s="520"/>
      <c r="F152" s="520"/>
    </row>
    <row r="153" spans="5:6" s="510" customFormat="1">
      <c r="E153" s="520"/>
      <c r="F153" s="520"/>
    </row>
    <row r="154" spans="5:6" s="510" customFormat="1">
      <c r="E154" s="520"/>
      <c r="F154" s="520"/>
    </row>
    <row r="155" spans="5:6" s="510" customFormat="1">
      <c r="E155" s="520"/>
      <c r="F155" s="520"/>
    </row>
    <row r="156" spans="5:6" s="510" customFormat="1">
      <c r="E156" s="520"/>
      <c r="F156" s="520"/>
    </row>
    <row r="157" spans="5:6" s="510" customFormat="1">
      <c r="E157" s="520"/>
      <c r="F157" s="520"/>
    </row>
    <row r="158" spans="5:6" s="510" customFormat="1">
      <c r="E158" s="520"/>
      <c r="F158" s="520"/>
    </row>
    <row r="159" spans="5:6" s="510" customFormat="1">
      <c r="E159" s="520"/>
      <c r="F159" s="520"/>
    </row>
    <row r="160" spans="5:6" s="510" customFormat="1">
      <c r="E160" s="520"/>
      <c r="F160" s="520"/>
    </row>
    <row r="161" spans="5:6" s="510" customFormat="1">
      <c r="E161" s="520"/>
      <c r="F161" s="520"/>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15" zoomScaleNormal="100" zoomScaleSheetLayoutView="115" workbookViewId="0">
      <selection activeCell="Q26" sqref="Q26"/>
    </sheetView>
  </sheetViews>
  <sheetFormatPr defaultRowHeight="11.25"/>
  <sheetData>
    <row r="4" spans="2:15">
      <c r="B4" s="528"/>
      <c r="C4" s="528"/>
      <c r="D4" s="528"/>
      <c r="E4" s="528"/>
      <c r="F4" s="528"/>
      <c r="G4" s="528"/>
      <c r="H4" s="528"/>
      <c r="I4" s="528"/>
      <c r="J4" s="528"/>
      <c r="K4" s="528"/>
      <c r="L4" s="528"/>
      <c r="M4" s="528"/>
      <c r="N4" s="528"/>
      <c r="O4" s="528"/>
    </row>
    <row r="5" spans="2:15">
      <c r="B5" s="528"/>
      <c r="C5" s="528"/>
      <c r="D5" s="528"/>
      <c r="E5" s="528"/>
      <c r="F5" s="528"/>
      <c r="G5" s="528"/>
      <c r="H5" s="528"/>
      <c r="I5" s="528"/>
      <c r="J5" s="528"/>
      <c r="K5" s="528"/>
      <c r="L5" s="528"/>
      <c r="M5" s="528"/>
      <c r="N5" s="528"/>
      <c r="O5" s="528"/>
    </row>
    <row r="6" spans="2:15">
      <c r="B6" s="528"/>
      <c r="C6" s="528"/>
      <c r="D6" s="528"/>
      <c r="E6" s="528"/>
      <c r="F6" s="528"/>
      <c r="G6" s="528"/>
      <c r="H6" s="528"/>
      <c r="I6" s="528"/>
      <c r="J6" s="528"/>
      <c r="K6" s="528"/>
      <c r="L6" s="528"/>
      <c r="M6" s="528"/>
      <c r="N6" s="528"/>
      <c r="O6" s="528"/>
    </row>
    <row r="7" spans="2:15">
      <c r="B7" s="529"/>
      <c r="C7" s="528"/>
      <c r="D7" s="528"/>
      <c r="E7" s="528"/>
      <c r="F7" s="528"/>
      <c r="G7" s="528"/>
      <c r="H7" s="528"/>
      <c r="I7" s="528"/>
      <c r="J7" s="528"/>
      <c r="K7" s="528"/>
      <c r="L7" s="528"/>
      <c r="M7" s="528"/>
      <c r="N7" s="528"/>
      <c r="O7" s="528"/>
    </row>
    <row r="8" spans="2:15">
      <c r="B8" s="529"/>
      <c r="C8" s="528"/>
      <c r="D8" s="528"/>
      <c r="E8" s="528"/>
      <c r="F8" s="528"/>
      <c r="G8" s="528"/>
      <c r="H8" s="528"/>
      <c r="I8" s="528"/>
      <c r="J8" s="528"/>
      <c r="K8" s="528"/>
      <c r="L8" s="528"/>
      <c r="M8" s="528"/>
      <c r="N8" s="528"/>
      <c r="O8" s="528"/>
    </row>
    <row r="9" spans="2:15">
      <c r="B9" s="529"/>
      <c r="C9" s="528"/>
      <c r="D9" s="528"/>
      <c r="E9" s="528"/>
      <c r="F9" s="528"/>
      <c r="G9" s="528"/>
      <c r="H9" s="528"/>
      <c r="I9" s="528"/>
      <c r="J9" s="528"/>
      <c r="K9" s="528"/>
      <c r="L9" s="528"/>
      <c r="M9" s="528"/>
      <c r="N9" s="528"/>
      <c r="O9" s="528"/>
    </row>
    <row r="10" spans="2:15">
      <c r="B10" s="528"/>
      <c r="C10" s="528"/>
      <c r="D10" s="528"/>
      <c r="E10" s="528"/>
      <c r="F10" s="528"/>
      <c r="G10" s="528"/>
      <c r="H10" s="528"/>
      <c r="I10" s="528"/>
      <c r="J10" s="528"/>
      <c r="K10" s="528"/>
      <c r="L10" s="528"/>
      <c r="M10" s="528"/>
      <c r="N10" s="528"/>
      <c r="O10" s="528"/>
    </row>
    <row r="11" spans="2:15">
      <c r="B11" s="528"/>
      <c r="C11" s="528"/>
      <c r="D11" s="528"/>
      <c r="E11" s="528"/>
      <c r="F11" s="528"/>
      <c r="G11" s="528"/>
      <c r="H11" s="528"/>
      <c r="I11" s="528"/>
      <c r="J11" s="528"/>
      <c r="K11" s="528"/>
      <c r="L11" s="528"/>
      <c r="M11" s="528"/>
      <c r="N11" s="528"/>
      <c r="O11" s="528"/>
    </row>
    <row r="12" spans="2:15">
      <c r="B12" s="528"/>
      <c r="C12" s="528"/>
      <c r="D12" s="528"/>
      <c r="E12" s="528"/>
      <c r="F12" s="528"/>
      <c r="G12" s="528"/>
      <c r="H12" s="528"/>
      <c r="I12" s="528"/>
      <c r="J12" s="528"/>
      <c r="K12" s="528"/>
      <c r="L12" s="528"/>
      <c r="M12" s="528"/>
      <c r="N12" s="528"/>
      <c r="O12" s="528"/>
    </row>
    <row r="13" spans="2:15" ht="12.75">
      <c r="B13" s="530"/>
      <c r="C13" s="528"/>
      <c r="D13" s="528"/>
      <c r="E13" s="528"/>
      <c r="F13" s="528"/>
      <c r="G13" s="528"/>
      <c r="H13" s="528"/>
      <c r="I13" s="528"/>
      <c r="J13" s="528"/>
      <c r="K13" s="528"/>
      <c r="L13" s="528"/>
      <c r="M13" s="528"/>
      <c r="N13" s="528"/>
      <c r="O13" s="528"/>
    </row>
    <row r="14" spans="2:15">
      <c r="B14" s="528"/>
      <c r="C14" s="528"/>
      <c r="D14" s="528"/>
      <c r="E14" s="528"/>
      <c r="F14" s="528"/>
      <c r="G14" s="528"/>
      <c r="H14" s="528"/>
      <c r="I14" s="528"/>
      <c r="J14" s="528"/>
      <c r="K14" s="528"/>
      <c r="L14" s="528"/>
      <c r="M14" s="528"/>
      <c r="N14" s="528"/>
      <c r="O14" s="528"/>
    </row>
    <row r="15" spans="2:15">
      <c r="B15" s="528"/>
      <c r="C15" s="528"/>
      <c r="D15" s="528"/>
      <c r="E15" s="528"/>
      <c r="F15" s="528"/>
      <c r="G15" s="528"/>
      <c r="H15" s="528"/>
      <c r="I15" s="528"/>
      <c r="J15" s="528"/>
      <c r="K15" s="528"/>
      <c r="L15" s="528"/>
      <c r="M15" s="528"/>
      <c r="N15" s="528"/>
      <c r="O15" s="528"/>
    </row>
    <row r="16" spans="2:15">
      <c r="B16" s="528"/>
      <c r="C16" s="528"/>
      <c r="D16" s="528"/>
      <c r="E16" s="528"/>
      <c r="F16" s="528"/>
      <c r="G16" s="528"/>
      <c r="H16" s="528"/>
      <c r="I16" s="528"/>
      <c r="J16" s="528"/>
      <c r="K16" s="528"/>
      <c r="L16" s="528"/>
      <c r="M16" s="528"/>
      <c r="N16" s="528"/>
      <c r="O16" s="528"/>
    </row>
    <row r="17" spans="2:15">
      <c r="B17" s="528"/>
      <c r="C17" s="528"/>
      <c r="D17" s="528"/>
      <c r="E17" s="528"/>
      <c r="F17" s="528"/>
      <c r="G17" s="528"/>
      <c r="H17" s="528"/>
      <c r="I17" s="528"/>
      <c r="J17" s="528"/>
      <c r="K17" s="528"/>
      <c r="L17" s="528"/>
      <c r="M17" s="528"/>
      <c r="N17" s="528"/>
      <c r="O17" s="528"/>
    </row>
    <row r="18" spans="2:15">
      <c r="B18" s="528"/>
      <c r="C18" s="528"/>
      <c r="D18" s="528"/>
      <c r="E18" s="528"/>
      <c r="F18" s="528"/>
      <c r="G18" s="528"/>
      <c r="H18" s="528"/>
      <c r="I18" s="528"/>
      <c r="J18" s="528"/>
      <c r="K18" s="528"/>
      <c r="L18" s="528"/>
      <c r="M18" s="528"/>
      <c r="N18" s="528"/>
      <c r="O18" s="528"/>
    </row>
    <row r="19" spans="2:15">
      <c r="B19" s="528"/>
      <c r="C19" s="528"/>
      <c r="D19" s="528"/>
      <c r="E19" s="528"/>
      <c r="F19" s="528"/>
      <c r="G19" s="528"/>
      <c r="H19" s="528"/>
      <c r="I19" s="528"/>
      <c r="J19" s="528" t="s">
        <v>8</v>
      </c>
      <c r="K19" s="528"/>
      <c r="L19" s="528"/>
      <c r="M19" s="528"/>
      <c r="N19" s="528"/>
      <c r="O19" s="528"/>
    </row>
    <row r="20" spans="2:15">
      <c r="B20" s="528"/>
      <c r="C20" s="528"/>
      <c r="D20" s="528"/>
      <c r="E20" s="528"/>
      <c r="F20" s="528"/>
      <c r="G20" s="528"/>
      <c r="H20" s="528"/>
      <c r="I20" s="528"/>
      <c r="J20" s="528"/>
      <c r="K20" s="528"/>
      <c r="L20" s="528"/>
      <c r="M20" s="528"/>
      <c r="N20" s="528"/>
      <c r="O20" s="528"/>
    </row>
    <row r="21" spans="2:15">
      <c r="B21" s="528"/>
      <c r="C21" s="528"/>
      <c r="D21" s="528"/>
      <c r="E21" s="528"/>
      <c r="F21" s="528"/>
      <c r="G21" s="528"/>
      <c r="H21" s="528"/>
      <c r="I21" s="528"/>
      <c r="J21" s="528"/>
      <c r="K21" s="528"/>
      <c r="L21" s="528"/>
      <c r="M21" s="528"/>
      <c r="N21" s="528"/>
      <c r="O21" s="528"/>
    </row>
    <row r="22" spans="2:15">
      <c r="B22" s="528"/>
      <c r="C22" s="528"/>
      <c r="D22" s="528"/>
      <c r="E22" s="528"/>
      <c r="F22" s="528"/>
      <c r="G22" s="528"/>
      <c r="H22" s="528"/>
      <c r="I22" s="528"/>
      <c r="J22" s="528"/>
      <c r="K22" s="528"/>
      <c r="L22" s="528"/>
      <c r="M22" s="528"/>
      <c r="N22" s="528"/>
      <c r="O22" s="528"/>
    </row>
    <row r="23" spans="2:15">
      <c r="B23" s="528"/>
      <c r="C23" s="528"/>
      <c r="D23" s="528"/>
      <c r="E23" s="528"/>
      <c r="F23" s="528"/>
      <c r="G23" s="528"/>
      <c r="H23" s="528"/>
      <c r="I23" s="528"/>
      <c r="J23" s="528"/>
      <c r="K23" s="528"/>
      <c r="L23" s="528"/>
      <c r="M23" s="528"/>
      <c r="N23" s="528"/>
      <c r="O23" s="528"/>
    </row>
    <row r="24" spans="2:15">
      <c r="B24" s="528"/>
      <c r="C24" s="528"/>
      <c r="D24" s="528"/>
      <c r="E24" s="528"/>
      <c r="F24" s="528"/>
      <c r="G24" s="528"/>
      <c r="H24" s="528"/>
      <c r="I24" s="528"/>
      <c r="J24" s="528"/>
      <c r="K24" s="528"/>
      <c r="L24" s="528"/>
      <c r="M24" s="528"/>
      <c r="N24" s="528"/>
      <c r="O24" s="528"/>
    </row>
    <row r="25" spans="2:15">
      <c r="B25" s="528"/>
      <c r="C25" s="528"/>
      <c r="D25" s="528"/>
      <c r="E25" s="528"/>
      <c r="F25" s="528"/>
      <c r="G25" s="528"/>
      <c r="H25" s="528"/>
      <c r="I25" s="528"/>
      <c r="J25" s="528"/>
      <c r="K25" s="528"/>
      <c r="L25" s="528"/>
      <c r="M25" s="528"/>
      <c r="N25" s="528"/>
      <c r="O25" s="528"/>
    </row>
    <row r="26" spans="2:15">
      <c r="B26" s="528"/>
      <c r="C26" s="528"/>
      <c r="D26" s="528"/>
      <c r="E26" s="528"/>
      <c r="F26" s="528"/>
      <c r="G26" s="528"/>
      <c r="H26" s="528"/>
      <c r="I26" s="528"/>
      <c r="J26" s="528"/>
      <c r="K26" s="528"/>
      <c r="L26" s="528"/>
      <c r="M26" s="528"/>
      <c r="N26" s="528"/>
      <c r="O26" s="528"/>
    </row>
    <row r="27" spans="2:15">
      <c r="B27" s="528"/>
      <c r="C27" s="528"/>
      <c r="D27" s="528"/>
      <c r="E27" s="528"/>
      <c r="F27" s="528"/>
      <c r="G27" s="528"/>
      <c r="H27" s="528"/>
      <c r="I27" s="528"/>
      <c r="J27" s="528"/>
      <c r="K27" s="528"/>
      <c r="L27" s="528"/>
      <c r="M27" s="528"/>
      <c r="N27" s="528"/>
      <c r="O27" s="528"/>
    </row>
    <row r="28" spans="2:15">
      <c r="B28" s="528"/>
      <c r="C28" s="528"/>
      <c r="D28" s="528"/>
      <c r="E28" s="528"/>
      <c r="F28" s="528"/>
      <c r="G28" s="528"/>
      <c r="H28" s="528"/>
      <c r="I28" s="528"/>
      <c r="J28" s="528"/>
      <c r="K28" s="528"/>
      <c r="L28" s="528"/>
      <c r="M28" s="528"/>
      <c r="N28" s="528"/>
      <c r="O28" s="528"/>
    </row>
    <row r="29" spans="2:15">
      <c r="B29" s="528"/>
      <c r="C29" s="528"/>
      <c r="D29" s="528"/>
      <c r="E29" s="528"/>
      <c r="F29" s="528"/>
      <c r="G29" s="528"/>
      <c r="H29" s="528"/>
      <c r="I29" s="528"/>
      <c r="J29" s="528"/>
      <c r="K29" s="528"/>
      <c r="L29" s="528"/>
      <c r="M29" s="528"/>
      <c r="N29" s="528"/>
      <c r="O29" s="528"/>
    </row>
    <row r="30" spans="2:15">
      <c r="B30" s="528"/>
      <c r="C30" s="528"/>
      <c r="D30" s="528"/>
      <c r="E30" s="528"/>
      <c r="F30" s="528"/>
      <c r="G30" s="528"/>
      <c r="H30" s="528"/>
      <c r="I30" s="528"/>
      <c r="J30" s="528"/>
      <c r="K30" s="528"/>
      <c r="L30" s="528"/>
      <c r="M30" s="528"/>
      <c r="N30" s="528"/>
      <c r="O30" s="528"/>
    </row>
    <row r="31" spans="2:15">
      <c r="B31" s="528"/>
      <c r="C31" s="528"/>
      <c r="D31" s="528"/>
      <c r="E31" s="528"/>
      <c r="F31" s="528"/>
      <c r="G31" s="528"/>
      <c r="H31" s="528"/>
      <c r="I31" s="528"/>
      <c r="J31" s="528"/>
      <c r="K31" s="528"/>
      <c r="L31" s="528"/>
      <c r="M31" s="528"/>
      <c r="N31" s="528"/>
      <c r="O31" s="528"/>
    </row>
    <row r="32" spans="2:15">
      <c r="B32" s="528"/>
      <c r="C32" s="528"/>
      <c r="D32" s="528"/>
      <c r="E32" s="528"/>
      <c r="F32" s="528"/>
      <c r="G32" s="528"/>
      <c r="H32" s="528"/>
      <c r="I32" s="528"/>
      <c r="J32" s="528"/>
      <c r="K32" s="528"/>
      <c r="L32" s="528"/>
      <c r="M32" s="528"/>
      <c r="N32" s="528"/>
      <c r="O32" s="528"/>
    </row>
    <row r="33" spans="2:15">
      <c r="B33" s="528"/>
      <c r="C33" s="528"/>
      <c r="D33" s="528"/>
      <c r="E33" s="528"/>
      <c r="F33" s="528"/>
      <c r="G33" s="528"/>
      <c r="H33" s="528"/>
      <c r="I33" s="528"/>
      <c r="J33" s="528"/>
      <c r="K33" s="528"/>
      <c r="L33" s="528"/>
      <c r="M33" s="528"/>
      <c r="N33" s="528"/>
      <c r="O33" s="528"/>
    </row>
    <row r="34" spans="2:15">
      <c r="B34" s="528"/>
      <c r="C34" s="528"/>
      <c r="D34" s="528"/>
      <c r="E34" s="528"/>
      <c r="F34" s="528"/>
      <c r="G34" s="528"/>
      <c r="H34" s="528"/>
      <c r="I34" s="528"/>
      <c r="J34" s="528"/>
      <c r="K34" s="528"/>
      <c r="L34" s="528"/>
      <c r="M34" s="528"/>
      <c r="N34" s="528"/>
      <c r="O34" s="528"/>
    </row>
    <row r="35" spans="2:15">
      <c r="B35" s="528"/>
      <c r="C35" s="528"/>
      <c r="D35" s="528"/>
      <c r="E35" s="528"/>
      <c r="F35" s="528"/>
      <c r="G35" s="528"/>
      <c r="H35" s="528"/>
      <c r="I35" s="528"/>
      <c r="J35" s="528"/>
      <c r="K35" s="528"/>
      <c r="L35" s="528"/>
      <c r="M35" s="528"/>
      <c r="N35" s="528"/>
      <c r="O35" s="528"/>
    </row>
    <row r="36" spans="2:15">
      <c r="B36" s="528"/>
      <c r="C36" s="528"/>
      <c r="D36" s="528"/>
      <c r="E36" s="528"/>
      <c r="F36" s="528"/>
      <c r="G36" s="528"/>
      <c r="H36" s="528"/>
      <c r="I36" s="528"/>
      <c r="J36" s="528"/>
      <c r="K36" s="528"/>
      <c r="L36" s="528"/>
      <c r="M36" s="528"/>
      <c r="N36" s="528"/>
      <c r="O36" s="528"/>
    </row>
    <row r="37" spans="2:15">
      <c r="B37" s="528"/>
      <c r="C37" s="528"/>
      <c r="D37" s="528"/>
      <c r="E37" s="528"/>
      <c r="F37" s="528"/>
      <c r="G37" s="528"/>
      <c r="H37" s="528"/>
      <c r="I37" s="528"/>
      <c r="J37" s="528"/>
      <c r="K37" s="528"/>
      <c r="L37" s="528"/>
      <c r="M37" s="528"/>
      <c r="N37" s="528"/>
      <c r="O37" s="528"/>
    </row>
    <row r="38" spans="2:15">
      <c r="B38" s="528"/>
      <c r="C38" s="528"/>
      <c r="D38" s="528"/>
      <c r="E38" s="528"/>
      <c r="F38" s="528"/>
      <c r="G38" s="528"/>
      <c r="H38" s="528"/>
      <c r="I38" s="528"/>
      <c r="J38" s="528"/>
      <c r="K38" s="528"/>
      <c r="L38" s="528"/>
      <c r="M38" s="528"/>
      <c r="N38" s="528"/>
      <c r="O38" s="528"/>
    </row>
    <row r="39" spans="2:15">
      <c r="B39" s="528"/>
      <c r="C39" s="528"/>
      <c r="D39" s="528"/>
      <c r="E39" s="528"/>
      <c r="F39" s="528"/>
      <c r="G39" s="528"/>
      <c r="H39" s="528"/>
      <c r="I39" s="528"/>
      <c r="J39" s="528"/>
      <c r="K39" s="528"/>
      <c r="L39" s="528"/>
      <c r="M39" s="528"/>
      <c r="N39" s="528"/>
      <c r="O39" s="528"/>
    </row>
    <row r="40" spans="2:15">
      <c r="B40" s="528"/>
      <c r="C40" s="528"/>
      <c r="D40" s="528"/>
      <c r="E40" s="528"/>
      <c r="F40" s="528"/>
      <c r="G40" s="528"/>
      <c r="H40" s="528"/>
      <c r="I40" s="528"/>
      <c r="J40" s="528"/>
      <c r="K40" s="528"/>
      <c r="L40" s="528"/>
      <c r="M40" s="528"/>
      <c r="N40" s="528"/>
      <c r="O40" s="528"/>
    </row>
    <row r="41" spans="2:15">
      <c r="B41" s="528"/>
      <c r="C41" s="528"/>
      <c r="D41" s="528"/>
      <c r="E41" s="528"/>
      <c r="F41" s="528"/>
      <c r="G41" s="528"/>
      <c r="H41" s="528"/>
      <c r="I41" s="528"/>
      <c r="J41" s="528"/>
      <c r="K41" s="528"/>
      <c r="L41" s="528"/>
      <c r="M41" s="528"/>
      <c r="N41" s="528"/>
      <c r="O41" s="528"/>
    </row>
    <row r="42" spans="2:15">
      <c r="B42" s="528"/>
      <c r="C42" s="528"/>
      <c r="D42" s="528"/>
      <c r="E42" s="528"/>
      <c r="F42" s="528"/>
      <c r="G42" s="528"/>
      <c r="H42" s="528"/>
      <c r="I42" s="528"/>
      <c r="J42" s="528"/>
      <c r="K42" s="528"/>
      <c r="L42" s="528"/>
      <c r="M42" s="528"/>
      <c r="N42" s="528"/>
      <c r="O42" s="528"/>
    </row>
    <row r="43" spans="2:15">
      <c r="B43" s="528"/>
      <c r="C43" s="528"/>
      <c r="D43" s="528"/>
      <c r="E43" s="528"/>
      <c r="F43" s="528"/>
      <c r="G43" s="528"/>
      <c r="H43" s="528"/>
      <c r="I43" s="528"/>
      <c r="J43" s="528"/>
      <c r="K43" s="528"/>
      <c r="L43" s="528"/>
      <c r="M43" s="528"/>
      <c r="N43" s="528"/>
      <c r="O43" s="528"/>
    </row>
    <row r="44" spans="2:15">
      <c r="B44" s="528"/>
      <c r="C44" s="528"/>
      <c r="D44" s="528"/>
      <c r="E44" s="528"/>
      <c r="F44" s="528"/>
      <c r="G44" s="528"/>
      <c r="H44" s="528"/>
      <c r="I44" s="528"/>
      <c r="J44" s="528"/>
      <c r="K44" s="528"/>
      <c r="L44" s="528"/>
      <c r="M44" s="528"/>
      <c r="N44" s="528"/>
      <c r="O44" s="528"/>
    </row>
    <row r="45" spans="2:15">
      <c r="B45" s="528"/>
      <c r="C45" s="528"/>
      <c r="D45" s="528"/>
      <c r="E45" s="528"/>
      <c r="F45" s="528"/>
      <c r="G45" s="528"/>
      <c r="H45" s="528"/>
      <c r="I45" s="528"/>
      <c r="J45" s="528"/>
      <c r="K45" s="528"/>
      <c r="L45" s="528"/>
      <c r="M45" s="528"/>
      <c r="N45" s="528"/>
      <c r="O45" s="528"/>
    </row>
    <row r="46" spans="2:15">
      <c r="B46" s="528"/>
      <c r="C46" s="528"/>
      <c r="D46" s="528"/>
      <c r="E46" s="528"/>
      <c r="F46" s="528"/>
      <c r="G46" s="528"/>
      <c r="H46" s="528"/>
      <c r="I46" s="528"/>
      <c r="J46" s="528"/>
      <c r="K46" s="528"/>
      <c r="L46" s="528"/>
      <c r="M46" s="528"/>
      <c r="N46" s="528"/>
      <c r="O46" s="528"/>
    </row>
    <row r="47" spans="2:15">
      <c r="B47" s="528"/>
      <c r="C47" s="528"/>
      <c r="D47" s="528"/>
      <c r="E47" s="528"/>
      <c r="F47" s="528"/>
      <c r="G47" s="528"/>
      <c r="H47" s="528"/>
      <c r="I47" s="528"/>
      <c r="J47" s="528"/>
      <c r="K47" s="528"/>
      <c r="L47" s="528"/>
      <c r="M47" s="528"/>
      <c r="N47" s="528"/>
      <c r="O47" s="528"/>
    </row>
    <row r="48" spans="2:15">
      <c r="B48" s="528"/>
      <c r="C48" s="528"/>
      <c r="D48" s="528"/>
      <c r="E48" s="528"/>
      <c r="F48" s="528"/>
      <c r="G48" s="528"/>
      <c r="H48" s="528"/>
      <c r="I48" s="528"/>
      <c r="J48" s="528"/>
      <c r="K48" s="528"/>
      <c r="L48" s="528"/>
      <c r="M48" s="528"/>
      <c r="N48" s="528"/>
      <c r="O48" s="528"/>
    </row>
    <row r="49" spans="2:15">
      <c r="B49" s="528"/>
      <c r="C49" s="528"/>
      <c r="D49" s="528"/>
      <c r="E49" s="528"/>
      <c r="F49" s="528"/>
      <c r="G49" s="528"/>
      <c r="H49" s="528"/>
      <c r="I49" s="528"/>
      <c r="J49" s="528"/>
      <c r="K49" s="528"/>
      <c r="L49" s="528"/>
      <c r="M49" s="528"/>
      <c r="N49" s="528"/>
      <c r="O49" s="528"/>
    </row>
    <row r="50" spans="2:15">
      <c r="B50" s="528"/>
      <c r="C50" s="528"/>
      <c r="D50" s="528"/>
      <c r="E50" s="528"/>
      <c r="F50" s="528"/>
      <c r="G50" s="528"/>
      <c r="H50" s="528"/>
      <c r="I50" s="528"/>
      <c r="J50" s="528"/>
      <c r="K50" s="528"/>
      <c r="L50" s="528"/>
      <c r="M50" s="528"/>
      <c r="N50" s="528"/>
      <c r="O50" s="528"/>
    </row>
    <row r="51" spans="2:15">
      <c r="B51" s="528"/>
      <c r="C51" s="528"/>
      <c r="D51" s="528"/>
      <c r="E51" s="528"/>
      <c r="F51" s="528"/>
      <c r="G51" s="528"/>
      <c r="H51" s="528"/>
      <c r="I51" s="528"/>
      <c r="J51" s="528"/>
      <c r="K51" s="528"/>
      <c r="L51" s="528"/>
      <c r="M51" s="528"/>
      <c r="N51" s="528"/>
      <c r="O51" s="528"/>
    </row>
    <row r="52" spans="2:15">
      <c r="B52" s="528"/>
      <c r="C52" s="528"/>
      <c r="D52" s="528"/>
      <c r="E52" s="528"/>
      <c r="F52" s="528"/>
      <c r="G52" s="528"/>
      <c r="H52" s="528"/>
      <c r="I52" s="528"/>
      <c r="J52" s="528"/>
      <c r="K52" s="528"/>
      <c r="L52" s="528"/>
      <c r="M52" s="528"/>
      <c r="N52" s="528"/>
      <c r="O52" s="528"/>
    </row>
    <row r="53" spans="2:15">
      <c r="B53" s="528"/>
      <c r="C53" s="528"/>
      <c r="D53" s="528"/>
      <c r="E53" s="528"/>
      <c r="F53" s="528"/>
      <c r="G53" s="528"/>
      <c r="H53" s="528"/>
      <c r="I53" s="528"/>
      <c r="J53" s="528"/>
      <c r="K53" s="528"/>
      <c r="L53" s="528"/>
      <c r="M53" s="528"/>
      <c r="N53" s="528"/>
      <c r="O53" s="528"/>
    </row>
    <row r="54" spans="2:15">
      <c r="B54" s="528"/>
      <c r="C54" s="528"/>
      <c r="D54" s="528"/>
      <c r="E54" s="528"/>
      <c r="F54" s="528"/>
      <c r="G54" s="528"/>
      <c r="H54" s="528"/>
      <c r="I54" s="528"/>
      <c r="J54" s="528"/>
      <c r="K54" s="528"/>
      <c r="L54" s="528"/>
      <c r="M54" s="528"/>
      <c r="N54" s="528"/>
      <c r="O54" s="528"/>
    </row>
    <row r="55" spans="2:15">
      <c r="B55" s="528"/>
      <c r="C55" s="528"/>
      <c r="D55" s="528"/>
      <c r="E55" s="528"/>
      <c r="F55" s="528"/>
      <c r="G55" s="528"/>
      <c r="H55" s="528"/>
      <c r="I55" s="528"/>
      <c r="J55" s="528"/>
      <c r="K55" s="528"/>
      <c r="L55" s="528"/>
      <c r="M55" s="528"/>
      <c r="N55" s="528"/>
      <c r="O55" s="528"/>
    </row>
    <row r="56" spans="2:15">
      <c r="B56" s="528"/>
      <c r="C56" s="528"/>
      <c r="D56" s="528"/>
      <c r="E56" s="528"/>
      <c r="F56" s="528"/>
      <c r="G56" s="528"/>
      <c r="H56" s="528"/>
      <c r="I56" s="528"/>
      <c r="J56" s="528"/>
      <c r="K56" s="528"/>
      <c r="L56" s="528"/>
      <c r="M56" s="528"/>
      <c r="N56" s="528"/>
      <c r="O56" s="528"/>
    </row>
    <row r="57" spans="2:15">
      <c r="B57" s="528"/>
      <c r="C57" s="528"/>
      <c r="D57" s="528"/>
      <c r="E57" s="528"/>
      <c r="F57" s="528"/>
      <c r="G57" s="528"/>
      <c r="H57" s="528"/>
      <c r="I57" s="528"/>
      <c r="J57" s="528"/>
      <c r="K57" s="528"/>
      <c r="L57" s="528"/>
      <c r="M57" s="528"/>
      <c r="N57" s="528"/>
      <c r="O57" s="528"/>
    </row>
    <row r="58" spans="2:15">
      <c r="B58" s="528"/>
      <c r="C58" s="528"/>
      <c r="D58" s="528"/>
      <c r="E58" s="528"/>
      <c r="F58" s="528"/>
      <c r="G58" s="528"/>
      <c r="H58" s="528"/>
      <c r="I58" s="528"/>
      <c r="J58" s="528"/>
      <c r="K58" s="528"/>
      <c r="L58" s="528"/>
      <c r="M58" s="528"/>
      <c r="N58" s="528"/>
      <c r="O58" s="528"/>
    </row>
    <row r="59" spans="2:15">
      <c r="B59" s="528"/>
      <c r="C59" s="528"/>
      <c r="D59" s="528"/>
      <c r="E59" s="528"/>
      <c r="F59" s="528"/>
      <c r="G59" s="528"/>
      <c r="H59" s="528"/>
      <c r="I59" s="528"/>
      <c r="J59" s="528"/>
      <c r="K59" s="528"/>
      <c r="L59" s="528"/>
      <c r="M59" s="528"/>
      <c r="N59" s="528"/>
      <c r="O59" s="528"/>
    </row>
    <row r="60" spans="2:15">
      <c r="B60" s="528"/>
      <c r="C60" s="528"/>
      <c r="D60" s="528"/>
      <c r="E60" s="528"/>
      <c r="F60" s="528"/>
      <c r="G60" s="528"/>
      <c r="H60" s="528"/>
      <c r="I60" s="528"/>
      <c r="J60" s="528"/>
      <c r="K60" s="528"/>
      <c r="L60" s="528"/>
      <c r="M60" s="528"/>
      <c r="N60" s="528"/>
      <c r="O60" s="528"/>
    </row>
    <row r="61" spans="2:15">
      <c r="B61" s="528"/>
      <c r="C61" s="528"/>
      <c r="D61" s="528"/>
      <c r="E61" s="528"/>
      <c r="F61" s="528"/>
      <c r="G61" s="528"/>
      <c r="H61" s="528"/>
      <c r="I61" s="528"/>
      <c r="J61" s="528"/>
      <c r="K61" s="528"/>
      <c r="L61" s="528"/>
      <c r="M61" s="528"/>
      <c r="N61" s="528"/>
      <c r="O61" s="528"/>
    </row>
    <row r="62" spans="2:15">
      <c r="B62" s="528"/>
      <c r="C62" s="528"/>
      <c r="D62" s="528"/>
      <c r="E62" s="528"/>
      <c r="F62" s="528"/>
      <c r="G62" s="528"/>
      <c r="H62" s="528"/>
      <c r="I62" s="528"/>
      <c r="J62" s="528"/>
      <c r="K62" s="528"/>
      <c r="L62" s="528"/>
      <c r="M62" s="528"/>
      <c r="N62" s="528"/>
      <c r="O62" s="528"/>
    </row>
    <row r="63" spans="2:15">
      <c r="B63" s="528"/>
      <c r="C63" s="528"/>
      <c r="D63" s="528"/>
      <c r="E63" s="528"/>
      <c r="F63" s="528"/>
      <c r="G63" s="528"/>
      <c r="H63" s="528"/>
      <c r="I63" s="528"/>
      <c r="J63" s="528"/>
      <c r="K63" s="528"/>
      <c r="L63" s="528"/>
      <c r="M63" s="528"/>
      <c r="N63" s="528"/>
      <c r="O63" s="528"/>
    </row>
    <row r="64" spans="2:15">
      <c r="B64" s="528"/>
      <c r="C64" s="528"/>
      <c r="D64" s="528"/>
      <c r="E64" s="528"/>
      <c r="F64" s="528"/>
      <c r="G64" s="528"/>
      <c r="H64" s="528"/>
      <c r="I64" s="528"/>
      <c r="J64" s="528"/>
      <c r="K64" s="528"/>
      <c r="L64" s="528"/>
      <c r="M64" s="528"/>
      <c r="N64" s="528"/>
      <c r="O64" s="528"/>
    </row>
    <row r="65" spans="2:15">
      <c r="B65" s="528"/>
      <c r="C65" s="528"/>
      <c r="D65" s="528"/>
      <c r="E65" s="528"/>
      <c r="F65" s="528"/>
      <c r="G65" s="528"/>
      <c r="H65" s="528"/>
      <c r="I65" s="528"/>
      <c r="J65" s="528"/>
      <c r="K65" s="528"/>
      <c r="L65" s="528"/>
      <c r="M65" s="528"/>
      <c r="N65" s="528"/>
      <c r="O65" s="52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5"/>
  <sheetViews>
    <sheetView showGridLines="0" view="pageBreakPreview" zoomScale="170" zoomScaleNormal="100" zoomScaleSheetLayoutView="170" zoomScalePageLayoutView="160" workbookViewId="0">
      <selection activeCell="Q26" sqref="Q26"/>
    </sheetView>
  </sheetViews>
  <sheetFormatPr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6384" width="9.33203125" style="95"/>
  </cols>
  <sheetData>
    <row r="2" spans="1:13" ht="16.5" customHeight="1">
      <c r="A2" s="877" t="s">
        <v>492</v>
      </c>
      <c r="B2" s="877"/>
      <c r="C2" s="877"/>
      <c r="D2" s="877"/>
      <c r="E2" s="877"/>
      <c r="F2" s="877"/>
      <c r="G2" s="877"/>
      <c r="H2" s="877"/>
      <c r="I2" s="877"/>
      <c r="J2" s="877"/>
      <c r="K2" s="329"/>
    </row>
    <row r="3" spans="1:13" ht="7.5" customHeight="1">
      <c r="A3" s="158"/>
      <c r="B3" s="295"/>
      <c r="C3" s="314"/>
      <c r="D3" s="315"/>
      <c r="E3" s="315"/>
      <c r="F3" s="316"/>
      <c r="G3" s="317"/>
      <c r="H3" s="317"/>
      <c r="I3" s="228"/>
      <c r="J3" s="316"/>
    </row>
    <row r="4" spans="1:13" ht="11.25" customHeight="1">
      <c r="A4" s="258" t="s">
        <v>238</v>
      </c>
      <c r="B4" s="295"/>
      <c r="C4" s="314"/>
      <c r="D4" s="315"/>
      <c r="E4" s="315"/>
      <c r="F4" s="316"/>
      <c r="G4" s="317"/>
      <c r="H4" s="317"/>
      <c r="I4" s="228"/>
      <c r="J4" s="316"/>
      <c r="K4" s="45"/>
    </row>
    <row r="5" spans="1:13" ht="9" customHeight="1">
      <c r="A5" s="158"/>
      <c r="B5" s="295"/>
      <c r="C5" s="314"/>
      <c r="D5" s="315"/>
      <c r="E5" s="315"/>
      <c r="F5" s="316"/>
      <c r="G5" s="317"/>
      <c r="H5" s="317"/>
      <c r="I5" s="228"/>
      <c r="J5" s="316"/>
      <c r="K5" s="45"/>
    </row>
    <row r="6" spans="1:13" ht="27">
      <c r="A6" s="748" t="s">
        <v>232</v>
      </c>
      <c r="B6" s="749" t="s">
        <v>233</v>
      </c>
      <c r="C6" s="749" t="s">
        <v>234</v>
      </c>
      <c r="D6" s="749" t="s">
        <v>235</v>
      </c>
      <c r="E6" s="749" t="s">
        <v>236</v>
      </c>
      <c r="F6" s="750" t="s">
        <v>237</v>
      </c>
      <c r="G6" s="751" t="s">
        <v>247</v>
      </c>
      <c r="H6" s="750" t="s">
        <v>251</v>
      </c>
      <c r="I6" s="751" t="s">
        <v>587</v>
      </c>
      <c r="J6" s="752" t="s">
        <v>248</v>
      </c>
      <c r="K6" s="319"/>
    </row>
    <row r="7" spans="1:13" s="318" customFormat="1" ht="27.75" customHeight="1">
      <c r="A7" s="811" t="s">
        <v>239</v>
      </c>
      <c r="B7" s="810" t="s">
        <v>30</v>
      </c>
      <c r="C7" s="810" t="s">
        <v>240</v>
      </c>
      <c r="D7" s="810" t="s">
        <v>246</v>
      </c>
      <c r="E7" s="810" t="s">
        <v>241</v>
      </c>
      <c r="F7" s="812" t="s">
        <v>252</v>
      </c>
      <c r="G7" s="820">
        <v>33</v>
      </c>
      <c r="H7" s="813">
        <v>144.48400000000001</v>
      </c>
      <c r="I7" s="822" t="s">
        <v>731</v>
      </c>
      <c r="J7" s="814" t="s">
        <v>242</v>
      </c>
      <c r="K7" s="328"/>
      <c r="L7" s="318">
        <v>144.47999999999999</v>
      </c>
    </row>
    <row r="8" spans="1:13" s="318" customFormat="1" ht="24.75" customHeight="1">
      <c r="A8" s="815" t="s">
        <v>550</v>
      </c>
      <c r="B8" s="816" t="s">
        <v>37</v>
      </c>
      <c r="C8" s="816" t="s">
        <v>551</v>
      </c>
      <c r="D8" s="816" t="s">
        <v>560</v>
      </c>
      <c r="E8" s="816" t="s">
        <v>554</v>
      </c>
      <c r="F8" s="817" t="s">
        <v>559</v>
      </c>
      <c r="G8" s="821">
        <v>13.8</v>
      </c>
      <c r="H8" s="818">
        <v>20</v>
      </c>
      <c r="I8" s="818">
        <v>20</v>
      </c>
      <c r="J8" s="819" t="s">
        <v>558</v>
      </c>
      <c r="K8" s="328"/>
      <c r="L8" s="318">
        <v>20</v>
      </c>
    </row>
    <row r="9" spans="1:13" s="318" customFormat="1" ht="30" customHeight="1">
      <c r="A9" s="811" t="s">
        <v>106</v>
      </c>
      <c r="B9" s="810" t="s">
        <v>38</v>
      </c>
      <c r="C9" s="810" t="s">
        <v>25</v>
      </c>
      <c r="D9" s="810" t="s">
        <v>570</v>
      </c>
      <c r="E9" s="810" t="s">
        <v>539</v>
      </c>
      <c r="F9" s="812" t="s">
        <v>570</v>
      </c>
      <c r="G9" s="820">
        <v>13.8</v>
      </c>
      <c r="H9" s="813" t="s">
        <v>732</v>
      </c>
      <c r="I9" s="813" t="s">
        <v>733</v>
      </c>
      <c r="J9" s="814" t="s">
        <v>538</v>
      </c>
      <c r="K9" s="328"/>
      <c r="L9" s="777">
        <v>103.95113000000001</v>
      </c>
    </row>
    <row r="10" spans="1:13" s="318" customFormat="1" ht="24.75" customHeight="1">
      <c r="A10" s="815" t="s">
        <v>93</v>
      </c>
      <c r="B10" s="816" t="s">
        <v>30</v>
      </c>
      <c r="C10" s="816" t="s">
        <v>240</v>
      </c>
      <c r="D10" s="816" t="s">
        <v>246</v>
      </c>
      <c r="E10" s="816" t="s">
        <v>555</v>
      </c>
      <c r="F10" s="817" t="s">
        <v>556</v>
      </c>
      <c r="G10" s="821">
        <v>22.9</v>
      </c>
      <c r="H10" s="818">
        <v>44.54</v>
      </c>
      <c r="I10" s="818" t="s">
        <v>734</v>
      </c>
      <c r="J10" s="819" t="s">
        <v>557</v>
      </c>
      <c r="K10" s="328"/>
      <c r="L10" s="318">
        <v>44.54</v>
      </c>
    </row>
    <row r="11" spans="1:13" s="318" customFormat="1" ht="23.25" customHeight="1">
      <c r="A11" s="811" t="s">
        <v>239</v>
      </c>
      <c r="B11" s="810" t="s">
        <v>728</v>
      </c>
      <c r="C11" s="810" t="s">
        <v>729</v>
      </c>
      <c r="D11" s="810" t="s">
        <v>730</v>
      </c>
      <c r="E11" s="810" t="s">
        <v>735</v>
      </c>
      <c r="F11" s="812" t="s">
        <v>736</v>
      </c>
      <c r="G11" s="820">
        <v>12</v>
      </c>
      <c r="H11" s="813">
        <v>132.30000000000001</v>
      </c>
      <c r="I11" s="813" t="s">
        <v>739</v>
      </c>
      <c r="J11" s="814" t="s">
        <v>737</v>
      </c>
      <c r="K11" s="328"/>
      <c r="L11" s="318">
        <v>132.30000000000001</v>
      </c>
    </row>
    <row r="12" spans="1:13" ht="11.25" customHeight="1">
      <c r="A12" s="753" t="s">
        <v>44</v>
      </c>
      <c r="B12" s="754"/>
      <c r="C12" s="754"/>
      <c r="D12" s="754"/>
      <c r="E12" s="755"/>
      <c r="F12" s="756"/>
      <c r="G12" s="757"/>
      <c r="H12" s="758">
        <f>+SUM(H7:H11)+123.61</f>
        <v>464.93400000000003</v>
      </c>
      <c r="I12" s="758">
        <f>+SUM(L7:L11)</f>
        <v>445.27113000000003</v>
      </c>
      <c r="J12" s="759"/>
      <c r="K12" s="282"/>
      <c r="L12" s="774"/>
    </row>
    <row r="13" spans="1:13" ht="15" customHeight="1">
      <c r="A13" s="760" t="str">
        <f>"Cuadro N° 1: Relación de ingresos a operación comercial en "&amp;'1. Resumen'!Q4&amp;" "&amp;'1. Resumen'!Q5</f>
        <v>Cuadro N° 1: Relación de ingresos a operación comercial en mayo 2018</v>
      </c>
      <c r="B13" s="153"/>
      <c r="C13" s="153"/>
      <c r="D13" s="153"/>
      <c r="E13" s="153"/>
      <c r="F13" s="153"/>
      <c r="G13" s="153"/>
      <c r="H13" s="153"/>
      <c r="I13" s="153"/>
      <c r="J13" s="153"/>
      <c r="K13" s="282"/>
    </row>
    <row r="14" spans="1:13" ht="11.25" customHeight="1">
      <c r="A14" s="886" t="s">
        <v>738</v>
      </c>
      <c r="B14" s="886"/>
      <c r="C14" s="886"/>
      <c r="D14" s="886"/>
      <c r="E14" s="886"/>
      <c r="F14" s="886"/>
      <c r="G14" s="886"/>
      <c r="H14" s="886"/>
      <c r="I14" s="886"/>
      <c r="J14" s="886"/>
      <c r="K14" s="282"/>
    </row>
    <row r="15" spans="1:13" ht="11.25" customHeight="1">
      <c r="A15" s="780" t="s">
        <v>563</v>
      </c>
      <c r="B15" s="780"/>
      <c r="C15" s="780"/>
      <c r="D15" s="780"/>
      <c r="E15" s="780"/>
      <c r="F15" s="780"/>
      <c r="G15" s="780"/>
      <c r="H15" s="780"/>
      <c r="I15" s="780"/>
      <c r="J15" s="780"/>
      <c r="K15" s="282"/>
      <c r="L15" s="95" t="s">
        <v>249</v>
      </c>
      <c r="M15" s="774">
        <f>+L7+L10</f>
        <v>189.01999999999998</v>
      </c>
    </row>
    <row r="16" spans="1:13" ht="20.25" customHeight="1">
      <c r="A16" s="887" t="s">
        <v>564</v>
      </c>
      <c r="B16" s="887"/>
      <c r="C16" s="887"/>
      <c r="D16" s="887"/>
      <c r="E16" s="887"/>
      <c r="F16" s="887"/>
      <c r="G16" s="887"/>
      <c r="H16" s="887"/>
      <c r="I16" s="887"/>
      <c r="J16" s="887"/>
      <c r="K16" s="282"/>
      <c r="L16" s="95" t="s">
        <v>561</v>
      </c>
      <c r="M16" s="774">
        <f>+L8</f>
        <v>20</v>
      </c>
    </row>
    <row r="17" spans="1:13" ht="11.25" customHeight="1">
      <c r="A17" s="321"/>
      <c r="B17" s="322"/>
      <c r="C17" s="320"/>
      <c r="D17" s="320"/>
      <c r="E17" s="320"/>
      <c r="F17" s="320"/>
      <c r="G17" s="320"/>
      <c r="H17" s="330"/>
      <c r="I17" s="330"/>
      <c r="J17" s="330"/>
      <c r="K17" s="282"/>
      <c r="L17" s="95" t="s">
        <v>572</v>
      </c>
      <c r="M17" s="774">
        <f>+L9</f>
        <v>103.95113000000001</v>
      </c>
    </row>
    <row r="18" spans="1:13" ht="11.25" customHeight="1">
      <c r="A18" s="331"/>
      <c r="B18" s="320"/>
      <c r="C18" s="320"/>
      <c r="D18" s="320"/>
      <c r="E18" s="320"/>
      <c r="F18" s="320"/>
      <c r="G18" s="320"/>
      <c r="H18" s="332"/>
      <c r="I18" s="332"/>
      <c r="J18" s="332"/>
      <c r="K18" s="282"/>
      <c r="L18" s="95" t="s">
        <v>740</v>
      </c>
      <c r="M18" s="95">
        <v>132.30000000000001</v>
      </c>
    </row>
    <row r="19" spans="1:13" ht="11.25" customHeight="1">
      <c r="A19" s="331"/>
      <c r="B19" s="320"/>
      <c r="C19" s="320"/>
      <c r="D19" s="320"/>
      <c r="E19" s="320"/>
      <c r="F19" s="320"/>
      <c r="G19" s="320"/>
      <c r="H19" s="330"/>
      <c r="I19" s="330" t="s">
        <v>8</v>
      </c>
      <c r="J19" s="330"/>
      <c r="K19" s="282"/>
    </row>
    <row r="20" spans="1:13" ht="11.25" customHeight="1">
      <c r="A20" s="331"/>
      <c r="B20" s="320"/>
      <c r="C20" s="320"/>
      <c r="D20" s="320"/>
      <c r="E20" s="320"/>
      <c r="F20" s="320"/>
      <c r="G20" s="320"/>
      <c r="H20" s="330"/>
      <c r="I20" s="330"/>
      <c r="J20" s="330"/>
      <c r="K20" s="282"/>
    </row>
    <row r="21" spans="1:13" ht="11.25" customHeight="1">
      <c r="A21" s="331"/>
      <c r="B21" s="320"/>
      <c r="C21" s="320"/>
      <c r="D21" s="320"/>
      <c r="E21" s="320"/>
      <c r="F21" s="320"/>
      <c r="G21" s="320"/>
      <c r="H21" s="330"/>
      <c r="I21" s="330"/>
      <c r="J21" s="330"/>
      <c r="K21" s="282"/>
    </row>
    <row r="22" spans="1:13" ht="11.25" customHeight="1">
      <c r="A22" s="333"/>
      <c r="B22" s="334"/>
      <c r="C22" s="334"/>
      <c r="D22" s="334"/>
      <c r="E22" s="334"/>
      <c r="F22" s="334"/>
      <c r="G22" s="334"/>
      <c r="H22" s="335"/>
      <c r="I22" s="335"/>
      <c r="J22" s="335"/>
      <c r="K22" s="282"/>
    </row>
    <row r="23" spans="1:13" ht="11.25" customHeight="1">
      <c r="A23" s="336"/>
      <c r="B23" s="241"/>
      <c r="C23" s="241"/>
      <c r="D23" s="159"/>
      <c r="E23" s="159"/>
      <c r="F23" s="159"/>
      <c r="G23" s="159"/>
      <c r="H23" s="323"/>
      <c r="I23" s="323"/>
      <c r="J23" s="323"/>
      <c r="K23" s="282"/>
    </row>
    <row r="24" spans="1:13" ht="11.25" customHeight="1">
      <c r="A24" s="303"/>
      <c r="B24" s="159"/>
      <c r="C24" s="159"/>
      <c r="D24" s="159"/>
      <c r="E24" s="159"/>
      <c r="F24" s="159"/>
      <c r="G24" s="159"/>
      <c r="H24" s="323"/>
      <c r="I24" s="323"/>
      <c r="J24" s="323"/>
      <c r="K24" s="282"/>
    </row>
    <row r="25" spans="1:13" ht="11.25" customHeight="1">
      <c r="A25" s="303"/>
      <c r="B25" s="159"/>
      <c r="C25" s="159"/>
      <c r="D25" s="159"/>
      <c r="E25" s="159"/>
      <c r="F25" s="159"/>
      <c r="G25" s="159"/>
      <c r="H25" s="187"/>
      <c r="I25" s="187"/>
      <c r="J25" s="187"/>
      <c r="K25" s="282"/>
    </row>
    <row r="26" spans="1:13" ht="11.25" customHeight="1">
      <c r="A26" s="303"/>
      <c r="B26" s="159"/>
      <c r="C26" s="159"/>
      <c r="D26" s="159"/>
      <c r="E26" s="159"/>
      <c r="F26" s="159"/>
      <c r="G26" s="159"/>
      <c r="H26" s="323"/>
      <c r="I26" s="323"/>
      <c r="J26" s="323"/>
      <c r="K26" s="282"/>
    </row>
    <row r="27" spans="1:13" ht="11.25" customHeight="1">
      <c r="A27" s="303"/>
      <c r="B27" s="159"/>
      <c r="C27" s="159"/>
      <c r="D27" s="159"/>
      <c r="E27" s="159"/>
      <c r="F27" s="159"/>
      <c r="G27" s="159"/>
      <c r="H27" s="337"/>
      <c r="I27" s="337"/>
      <c r="J27" s="337"/>
      <c r="K27" s="282"/>
    </row>
    <row r="28" spans="1:13" ht="11.25" customHeight="1">
      <c r="A28" s="324"/>
      <c r="B28" s="201"/>
      <c r="C28" s="201"/>
      <c r="D28" s="201"/>
      <c r="E28" s="201"/>
      <c r="F28" s="201"/>
      <c r="G28" s="201"/>
      <c r="H28" s="201"/>
      <c r="I28" s="201"/>
      <c r="J28" s="201"/>
      <c r="K28" s="282"/>
    </row>
    <row r="29" spans="1:13" ht="11.25" customHeight="1">
      <c r="A29" s="320"/>
      <c r="B29" s="159"/>
      <c r="C29" s="159"/>
      <c r="D29" s="159"/>
      <c r="E29" s="159"/>
      <c r="F29" s="159"/>
      <c r="G29" s="159"/>
      <c r="H29" s="159"/>
      <c r="I29" s="159"/>
      <c r="J29" s="159"/>
      <c r="K29" s="282"/>
    </row>
    <row r="30" spans="1:13" ht="11.25" customHeight="1">
      <c r="A30" s="25"/>
      <c r="B30" s="876" t="str">
        <f>"Gráfico 2: Ingreso de Potencia Efectiva por tipo de Recurso Energético y Tecnología en "&amp;'1. Resumen'!Q4&amp;" "&amp;'1. Resumen'!Q5&amp;" (MW)"</f>
        <v>Gráfico 2: Ingreso de Potencia Efectiva por tipo de Recurso Energético y Tecnología en mayo 2018 (MW)</v>
      </c>
      <c r="C30" s="876"/>
      <c r="D30" s="876"/>
      <c r="E30" s="876"/>
      <c r="F30" s="876"/>
      <c r="G30" s="876"/>
      <c r="H30" s="876"/>
      <c r="I30" s="876"/>
      <c r="J30" s="876"/>
      <c r="K30" s="876"/>
    </row>
    <row r="31" spans="1:13" ht="27" customHeight="1">
      <c r="B31" s="888" t="s">
        <v>571</v>
      </c>
      <c r="C31" s="888"/>
      <c r="D31" s="888"/>
      <c r="E31" s="888"/>
      <c r="F31" s="888"/>
      <c r="G31" s="888"/>
      <c r="H31" s="888"/>
    </row>
    <row r="32" spans="1:13" ht="9" customHeight="1">
      <c r="A32" s="84"/>
      <c r="B32" s="84"/>
      <c r="C32" s="84"/>
      <c r="D32" s="84"/>
      <c r="E32" s="25"/>
      <c r="F32" s="25"/>
      <c r="G32" s="84"/>
      <c r="H32" s="25"/>
      <c r="I32" s="25"/>
      <c r="J32" s="25"/>
      <c r="K32" s="282"/>
    </row>
    <row r="33" spans="1:15" ht="11.25" customHeight="1">
      <c r="A33" s="325" t="s">
        <v>505</v>
      </c>
      <c r="B33" s="153"/>
      <c r="C33" s="326"/>
      <c r="D33" s="153"/>
      <c r="E33" s="200"/>
      <c r="F33" s="200"/>
      <c r="G33" s="153"/>
      <c r="H33" s="200"/>
      <c r="I33" s="200"/>
      <c r="J33" s="200"/>
      <c r="K33" s="282"/>
    </row>
    <row r="34" spans="1:15" ht="11.25" customHeight="1">
      <c r="B34" s="153"/>
      <c r="C34" s="326"/>
      <c r="D34" s="153"/>
      <c r="E34" s="200"/>
      <c r="F34" s="200"/>
      <c r="G34" s="153"/>
      <c r="H34" s="200"/>
      <c r="I34" s="200"/>
      <c r="J34" s="200"/>
      <c r="K34" s="282"/>
    </row>
    <row r="35" spans="1:15" ht="33.75" customHeight="1">
      <c r="B35" s="874" t="s">
        <v>250</v>
      </c>
      <c r="C35" s="875"/>
      <c r="D35" s="775" t="str">
        <f>UPPER('1. Resumen'!Q4)&amp;" "&amp;'1. Resumen'!Q5</f>
        <v>MAYO 2018</v>
      </c>
      <c r="E35" s="775" t="str">
        <f>UPPER('1. Resumen'!Q4)&amp;" "&amp;'1. Resumen'!Q5-1</f>
        <v>MAYO 2017</v>
      </c>
      <c r="F35" s="776" t="s">
        <v>253</v>
      </c>
      <c r="G35" s="338"/>
      <c r="H35" s="339"/>
      <c r="I35" s="200"/>
      <c r="J35" s="200"/>
    </row>
    <row r="36" spans="1:15" ht="11.25" customHeight="1">
      <c r="B36" s="878" t="s">
        <v>243</v>
      </c>
      <c r="C36" s="879"/>
      <c r="D36" s="784">
        <v>4904.5012475000012</v>
      </c>
      <c r="E36" s="761">
        <v>4968.0372475000004</v>
      </c>
      <c r="F36" s="762">
        <f>+D36/E36-1</f>
        <v>-1.2788954034507638E-2</v>
      </c>
      <c r="G36" s="338"/>
      <c r="H36" s="339"/>
      <c r="I36" s="200"/>
      <c r="J36" s="200"/>
      <c r="K36" s="282"/>
    </row>
    <row r="37" spans="1:15" ht="11.25" customHeight="1">
      <c r="B37" s="880" t="s">
        <v>244</v>
      </c>
      <c r="C37" s="881"/>
      <c r="D37" s="785">
        <v>7393.5644999999995</v>
      </c>
      <c r="E37" s="763">
        <v>7373.5784999999987</v>
      </c>
      <c r="F37" s="764">
        <f>+D37/E37-1</f>
        <v>2.7104885368753884E-3</v>
      </c>
      <c r="G37" s="340"/>
      <c r="H37" s="340"/>
      <c r="M37" s="327"/>
      <c r="N37" s="327"/>
      <c r="O37" s="153"/>
    </row>
    <row r="38" spans="1:15" ht="11.25" customHeight="1">
      <c r="B38" s="882" t="s">
        <v>245</v>
      </c>
      <c r="C38" s="883"/>
      <c r="D38" s="786">
        <v>375.46</v>
      </c>
      <c r="E38" s="765">
        <v>96</v>
      </c>
      <c r="F38" s="766">
        <f>+D38/E38-1</f>
        <v>2.9110416666666663</v>
      </c>
      <c r="G38" s="340"/>
      <c r="H38" s="340"/>
    </row>
    <row r="39" spans="1:15" ht="11.25" customHeight="1">
      <c r="B39" s="884" t="s">
        <v>85</v>
      </c>
      <c r="C39" s="885"/>
      <c r="D39" s="787">
        <v>285.02</v>
      </c>
      <c r="E39" s="767">
        <v>243.16</v>
      </c>
      <c r="F39" s="768">
        <f>+D39/E39-1</f>
        <v>0.17215002467511087</v>
      </c>
      <c r="G39" s="340"/>
      <c r="H39" s="340"/>
    </row>
    <row r="40" spans="1:15" ht="11.25" customHeight="1">
      <c r="B40" s="872" t="s">
        <v>217</v>
      </c>
      <c r="C40" s="873"/>
      <c r="D40" s="788">
        <f>+D36+D37+D38+D39</f>
        <v>12958.5457475</v>
      </c>
      <c r="E40" s="769">
        <f>+E36+E37+E38+E39</f>
        <v>12680.7757475</v>
      </c>
      <c r="F40" s="770">
        <f>+D40/E40-1</f>
        <v>2.1904811308942396E-2</v>
      </c>
      <c r="G40" s="778"/>
      <c r="H40" s="340"/>
    </row>
    <row r="41" spans="1:15" ht="11.25" customHeight="1">
      <c r="B41" s="760" t="str">
        <f>"Cuadro N° 2: Comparación de la potencia instalada en el SEIN al término de "&amp;'1. Resumen'!Q4&amp;" "&amp;'1. Resumen'!Q5-1&amp;" y "&amp;'1. Resumen'!Q4&amp;" "&amp;'1. Resumen'!Q5</f>
        <v>Cuadro N° 2: Comparación de la potencia instalada en el SEIN al término de mayo 2017 y mayo 2018</v>
      </c>
      <c r="C41" s="338"/>
      <c r="D41" s="338"/>
      <c r="E41" s="338"/>
      <c r="F41" s="338"/>
      <c r="G41" s="338"/>
      <c r="H41" s="338"/>
      <c r="I41" s="153"/>
      <c r="J41" s="153"/>
      <c r="K41" s="282"/>
    </row>
    <row r="42" spans="1:15" ht="11.25" customHeight="1">
      <c r="A42" s="153"/>
      <c r="C42" s="340"/>
      <c r="D42" s="338"/>
      <c r="E42" s="338"/>
      <c r="F42" s="338"/>
      <c r="G42" s="338"/>
      <c r="H42" s="338"/>
      <c r="I42" s="153"/>
      <c r="J42" s="153"/>
      <c r="K42" s="282"/>
    </row>
    <row r="43" spans="1:15" ht="11.25" customHeight="1">
      <c r="A43" s="153"/>
      <c r="B43" s="153"/>
      <c r="C43" s="153"/>
      <c r="D43" s="153"/>
      <c r="E43" s="153"/>
      <c r="F43" s="153"/>
      <c r="G43" s="153"/>
      <c r="H43" s="153"/>
      <c r="I43" s="153"/>
      <c r="J43" s="153"/>
      <c r="K43" s="282"/>
    </row>
    <row r="44" spans="1:15" ht="11.25" customHeight="1">
      <c r="A44" s="153"/>
      <c r="B44" s="153"/>
      <c r="C44" s="153"/>
      <c r="D44" s="153"/>
      <c r="E44" s="153"/>
      <c r="F44" s="153"/>
      <c r="G44" s="153"/>
      <c r="H44" s="153"/>
      <c r="I44" s="153"/>
      <c r="J44" s="153"/>
      <c r="K44" s="282"/>
    </row>
    <row r="45" spans="1:15">
      <c r="A45" s="158"/>
      <c r="B45" s="153"/>
      <c r="C45" s="153"/>
      <c r="D45" s="153"/>
      <c r="E45" s="153"/>
      <c r="F45" s="153"/>
      <c r="G45" s="153"/>
      <c r="H45" s="153"/>
      <c r="I45" s="153"/>
      <c r="J45" s="153"/>
    </row>
    <row r="46" spans="1:15">
      <c r="A46" s="153"/>
      <c r="B46" s="153"/>
      <c r="C46" s="153"/>
      <c r="D46" s="153"/>
      <c r="E46" s="153"/>
      <c r="F46" s="153"/>
      <c r="G46" s="153"/>
      <c r="H46" s="153"/>
      <c r="I46" s="153"/>
      <c r="J46" s="153"/>
    </row>
    <row r="47" spans="1:15">
      <c r="A47" s="153"/>
      <c r="B47" s="153"/>
      <c r="C47" s="153"/>
      <c r="D47" s="153"/>
      <c r="E47" s="153"/>
      <c r="F47" s="153"/>
      <c r="G47" s="153"/>
      <c r="H47" s="153"/>
      <c r="I47" s="153"/>
      <c r="J47" s="153"/>
    </row>
    <row r="48" spans="1:15">
      <c r="A48" s="153"/>
      <c r="B48" s="153"/>
      <c r="C48" s="153"/>
      <c r="D48" s="153"/>
      <c r="E48" s="153"/>
      <c r="F48" s="153"/>
      <c r="G48" s="153"/>
      <c r="H48" s="153"/>
      <c r="I48" s="153"/>
      <c r="J48" s="153"/>
    </row>
    <row r="49" spans="1:10">
      <c r="A49" s="153"/>
      <c r="B49" s="153"/>
      <c r="C49" s="153"/>
      <c r="D49" s="153"/>
      <c r="E49" s="153"/>
      <c r="F49" s="153"/>
      <c r="G49" s="153"/>
      <c r="H49" s="153"/>
      <c r="I49" s="153"/>
      <c r="J49" s="153"/>
    </row>
    <row r="50" spans="1:10">
      <c r="A50" s="153"/>
      <c r="B50" s="153"/>
      <c r="C50" s="153"/>
      <c r="D50" s="153"/>
      <c r="E50" s="153"/>
      <c r="F50" s="153"/>
      <c r="G50" s="153"/>
      <c r="H50" s="153"/>
      <c r="I50" s="153"/>
      <c r="J50" s="153"/>
    </row>
    <row r="51" spans="1:10">
      <c r="A51" s="153"/>
      <c r="B51" s="153"/>
      <c r="C51" s="153"/>
      <c r="D51" s="153"/>
      <c r="E51" s="153"/>
      <c r="F51" s="153"/>
      <c r="G51" s="153"/>
      <c r="H51" s="153"/>
      <c r="I51" s="153"/>
      <c r="J51" s="153"/>
    </row>
    <row r="52" spans="1:10">
      <c r="A52" s="153"/>
      <c r="B52" s="153"/>
      <c r="C52" s="153"/>
      <c r="D52" s="153"/>
      <c r="E52" s="153"/>
      <c r="F52" s="153"/>
      <c r="G52" s="153"/>
      <c r="H52" s="153"/>
      <c r="I52" s="153"/>
      <c r="J52" s="153"/>
    </row>
    <row r="53" spans="1:10">
      <c r="A53" s="153"/>
      <c r="B53" s="153"/>
      <c r="C53" s="153"/>
      <c r="D53" s="153"/>
      <c r="E53" s="153"/>
      <c r="F53" s="153"/>
      <c r="G53" s="153"/>
      <c r="H53" s="153"/>
      <c r="I53" s="153"/>
      <c r="J53" s="153"/>
    </row>
    <row r="54" spans="1:10">
      <c r="A54" s="771" t="str">
        <f>"Gráfico N° 3: Comparación de la potencia instalada en el SEIN al término de "&amp;'1. Resumen'!Q4&amp;" "&amp;'1. Resumen'!Q5-1&amp;" y "&amp;'1. Resumen'!Q4&amp;" "&amp;'1. Resumen'!Q5</f>
        <v>Gráfico N° 3: Comparación de la potencia instalada en el SEIN al término de mayo 2017 y mayo 2018</v>
      </c>
      <c r="C54" s="153"/>
      <c r="D54" s="153"/>
      <c r="E54" s="153"/>
      <c r="F54" s="153"/>
      <c r="G54" s="153"/>
      <c r="H54" s="153"/>
      <c r="I54" s="153"/>
      <c r="J54" s="153"/>
    </row>
    <row r="55" spans="1:10" ht="5.25" customHeight="1">
      <c r="A55" s="153"/>
      <c r="B55" s="153"/>
      <c r="D55" s="153"/>
      <c r="E55" s="153"/>
      <c r="F55" s="153"/>
      <c r="G55" s="153"/>
      <c r="H55" s="153"/>
      <c r="I55" s="153"/>
      <c r="J55" s="153"/>
    </row>
  </sheetData>
  <mergeCells count="11">
    <mergeCell ref="B40:C40"/>
    <mergeCell ref="B35:C35"/>
    <mergeCell ref="B30:K30"/>
    <mergeCell ref="A2:J2"/>
    <mergeCell ref="B36:C36"/>
    <mergeCell ref="B37:C37"/>
    <mergeCell ref="B38:C38"/>
    <mergeCell ref="B39:C39"/>
    <mergeCell ref="A14:J14"/>
    <mergeCell ref="A16:J16"/>
    <mergeCell ref="B31:H31"/>
  </mergeCells>
  <conditionalFormatting sqref="A20:A22 A17">
    <cfRule type="containsText" dxfId="5" priority="5" stopIfTrue="1" operator="containsText" text=" 0%">
      <formula>NOT(ISERROR(SEARCH(" 0%",A17)))</formula>
    </cfRule>
    <cfRule type="containsText" dxfId="4" priority="6" stopIfTrue="1" operator="containsText" text="0.0%">
      <formula>NOT(ISERROR(SEARCH("0.0%",A17)))</formula>
    </cfRule>
  </conditionalFormatting>
  <conditionalFormatting sqref="A18">
    <cfRule type="containsText" dxfId="3" priority="3" stopIfTrue="1" operator="containsText" text=" 0%">
      <formula>NOT(ISERROR(SEARCH(" 0%",A18)))</formula>
    </cfRule>
    <cfRule type="containsText" dxfId="2" priority="4" stopIfTrue="1" operator="containsText" text="0.0%">
      <formula>NOT(ISERROR(SEARCH("0.0%",A18)))</formula>
    </cfRule>
  </conditionalFormatting>
  <conditionalFormatting sqref="A19">
    <cfRule type="containsText" dxfId="1" priority="1" stopIfTrue="1" operator="containsText" text=" 0%">
      <formula>NOT(ISERROR(SEARCH(" 0%",A19)))</formula>
    </cfRule>
    <cfRule type="containsText" dxfId="0" priority="2" stopIfTrue="1" operator="containsText" text="0.0%">
      <formula>NOT(ISERROR(SEARCH("0.0%",A19)))</formula>
    </cfRule>
  </conditionalFormatting>
  <pageMargins left="0.7" right="0.57471264367816088" top="0.86956521739130432" bottom="0.61458333333333337" header="0.3" footer="0.3"/>
  <pageSetup orientation="portrait" r:id="rId1"/>
  <headerFooter>
    <oddHeader>&amp;R&amp;7Informe de la Operación Mensual - Mayo 2018
INFSGI-MES-05-2018
07/06/2018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45" zoomScaleNormal="100" zoomScaleSheetLayoutView="145" zoomScalePageLayoutView="160" workbookViewId="0">
      <selection activeCell="Q26" sqref="Q26"/>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893" t="s">
        <v>256</v>
      </c>
      <c r="B2" s="893"/>
      <c r="C2" s="893"/>
      <c r="D2" s="893"/>
      <c r="E2" s="893"/>
      <c r="F2" s="893"/>
      <c r="G2" s="893"/>
      <c r="H2" s="893"/>
      <c r="I2" s="893"/>
      <c r="J2" s="893"/>
      <c r="K2" s="893"/>
    </row>
    <row r="3" spans="1:11" ht="11.25" customHeight="1">
      <c r="A3" s="103"/>
      <c r="B3" s="104"/>
      <c r="C3" s="105"/>
      <c r="D3" s="106"/>
      <c r="E3" s="106"/>
      <c r="F3" s="106"/>
      <c r="G3" s="106"/>
      <c r="H3" s="103"/>
      <c r="I3" s="103"/>
      <c r="J3" s="103"/>
      <c r="K3" s="107"/>
    </row>
    <row r="4" spans="1:11" ht="11.25" customHeight="1">
      <c r="A4" s="894" t="str">
        <f>+"3.1. PRODUCCIÓN POR TIPO DE GENERACIÓN (GWh)"</f>
        <v>3.1. PRODUCCIÓN POR TIPO DE GENERACIÓN (GWh)</v>
      </c>
      <c r="B4" s="894"/>
      <c r="C4" s="894"/>
      <c r="D4" s="894"/>
      <c r="E4" s="894"/>
      <c r="F4" s="894"/>
      <c r="G4" s="894"/>
      <c r="H4" s="894"/>
      <c r="I4" s="894"/>
      <c r="J4" s="894"/>
      <c r="K4" s="894"/>
    </row>
    <row r="5" spans="1:11" ht="11.25" customHeight="1">
      <c r="A5" s="93"/>
      <c r="B5" s="108"/>
      <c r="C5" s="109"/>
      <c r="D5" s="110"/>
      <c r="E5" s="110"/>
      <c r="F5" s="110"/>
      <c r="G5" s="110"/>
      <c r="H5" s="111"/>
      <c r="I5" s="103"/>
      <c r="J5" s="103"/>
      <c r="K5" s="112"/>
    </row>
    <row r="6" spans="1:11" ht="18" customHeight="1">
      <c r="A6" s="891" t="s">
        <v>32</v>
      </c>
      <c r="B6" s="895" t="s">
        <v>33</v>
      </c>
      <c r="C6" s="896"/>
      <c r="D6" s="896"/>
      <c r="E6" s="896" t="s">
        <v>34</v>
      </c>
      <c r="F6" s="896"/>
      <c r="G6" s="897" t="str">
        <f>"Generación Acumulada a "&amp;'1. Resumen'!Q4</f>
        <v>Generación Acumulada a mayo</v>
      </c>
      <c r="H6" s="897"/>
      <c r="I6" s="897"/>
      <c r="J6" s="897"/>
      <c r="K6" s="898"/>
    </row>
    <row r="7" spans="1:11" ht="32.25" customHeight="1">
      <c r="A7" s="892"/>
      <c r="B7" s="161">
        <f>+C7-30</f>
        <v>43163</v>
      </c>
      <c r="C7" s="161">
        <f>+D7-28</f>
        <v>43193</v>
      </c>
      <c r="D7" s="161">
        <f>+'1. Resumen'!Q6</f>
        <v>43221</v>
      </c>
      <c r="E7" s="161">
        <f>+D7-365</f>
        <v>42856</v>
      </c>
      <c r="F7" s="162" t="s">
        <v>35</v>
      </c>
      <c r="G7" s="163">
        <v>2018</v>
      </c>
      <c r="H7" s="163">
        <v>2017</v>
      </c>
      <c r="I7" s="162" t="s">
        <v>43</v>
      </c>
      <c r="J7" s="163">
        <v>2016</v>
      </c>
      <c r="K7" s="164" t="s">
        <v>36</v>
      </c>
    </row>
    <row r="8" spans="1:11" ht="15" customHeight="1">
      <c r="A8" s="137" t="s">
        <v>37</v>
      </c>
      <c r="B8" s="637">
        <v>2865.1492965074999</v>
      </c>
      <c r="C8" s="631">
        <v>3012.519140195001</v>
      </c>
      <c r="D8" s="638">
        <v>2632.7882674499997</v>
      </c>
      <c r="E8" s="637">
        <v>2689.024451012097</v>
      </c>
      <c r="F8" s="348">
        <f>IF(E8=0,"",D8/E8-1)</f>
        <v>-2.0913228788578375E-2</v>
      </c>
      <c r="G8" s="645">
        <v>14214.307003130001</v>
      </c>
      <c r="H8" s="631">
        <v>13225.16824544687</v>
      </c>
      <c r="I8" s="352">
        <f>IF(H8=0,"",G8/H8-1)</f>
        <v>7.4792149281251552E-2</v>
      </c>
      <c r="J8" s="637">
        <v>10763.62714142585</v>
      </c>
      <c r="K8" s="348">
        <f t="shared" ref="K8:K15" si="0">IF(J8=0,"",H8/J8-1)</f>
        <v>0.22869067013175459</v>
      </c>
    </row>
    <row r="9" spans="1:11" ht="15" customHeight="1">
      <c r="A9" s="138" t="s">
        <v>38</v>
      </c>
      <c r="B9" s="639">
        <v>1266.71475749</v>
      </c>
      <c r="C9" s="632">
        <v>1022.1961833474999</v>
      </c>
      <c r="D9" s="640">
        <v>1453.9806734525005</v>
      </c>
      <c r="E9" s="639">
        <v>1366.0535840667976</v>
      </c>
      <c r="F9" s="349">
        <f t="shared" ref="F9:F15" si="1">IF(E9=0,"",D9/E9-1)</f>
        <v>6.4365768964889547E-2</v>
      </c>
      <c r="G9" s="646">
        <v>5958.1478500650001</v>
      </c>
      <c r="H9" s="632">
        <v>6726.400939483945</v>
      </c>
      <c r="I9" s="353">
        <f t="shared" ref="I9:I15" si="2">IF(H9=0,"",G9/H9-1)</f>
        <v>-0.11421458463906042</v>
      </c>
      <c r="J9" s="639">
        <v>8731.1866457583492</v>
      </c>
      <c r="K9" s="349">
        <f t="shared" si="0"/>
        <v>-0.22961205476558433</v>
      </c>
    </row>
    <row r="10" spans="1:11" ht="15" customHeight="1">
      <c r="A10" s="139" t="s">
        <v>39</v>
      </c>
      <c r="B10" s="641">
        <v>121.84239174000001</v>
      </c>
      <c r="C10" s="633">
        <v>115.011208025</v>
      </c>
      <c r="D10" s="642">
        <v>143.30216725</v>
      </c>
      <c r="E10" s="641">
        <v>93.012631515207701</v>
      </c>
      <c r="F10" s="350">
        <f t="shared" si="1"/>
        <v>0.54067426021131215</v>
      </c>
      <c r="G10" s="647">
        <v>529.99127126000008</v>
      </c>
      <c r="H10" s="633">
        <v>374.96234814458205</v>
      </c>
      <c r="I10" s="354">
        <f t="shared" si="2"/>
        <v>0.41345197426500091</v>
      </c>
      <c r="J10" s="641">
        <v>365.46447617966561</v>
      </c>
      <c r="K10" s="350">
        <f t="shared" si="0"/>
        <v>2.5988495692389035E-2</v>
      </c>
    </row>
    <row r="11" spans="1:11" ht="15" customHeight="1">
      <c r="A11" s="138" t="s">
        <v>30</v>
      </c>
      <c r="B11" s="639">
        <v>62.167818492499997</v>
      </c>
      <c r="C11" s="632">
        <v>58.171585880000009</v>
      </c>
      <c r="D11" s="640">
        <v>57.9052203225</v>
      </c>
      <c r="E11" s="639">
        <v>15.97481835214</v>
      </c>
      <c r="F11" s="349">
        <f>IF(E11=0,"",D11/E11-1)</f>
        <v>2.6247811428004733</v>
      </c>
      <c r="G11" s="646">
        <v>284.09086605249996</v>
      </c>
      <c r="H11" s="632">
        <v>89.412987927938005</v>
      </c>
      <c r="I11" s="353">
        <f t="shared" si="2"/>
        <v>2.1772885867706568</v>
      </c>
      <c r="J11" s="639">
        <v>99.255770563499894</v>
      </c>
      <c r="K11" s="349">
        <f t="shared" si="0"/>
        <v>-9.9165847785795624E-2</v>
      </c>
    </row>
    <row r="12" spans="1:11" ht="15" customHeight="1">
      <c r="A12" s="172" t="s">
        <v>44</v>
      </c>
      <c r="B12" s="643">
        <f>+B8+B9+B10+B11</f>
        <v>4315.8742642300003</v>
      </c>
      <c r="C12" s="634">
        <f>+C8+C9+C10+C11</f>
        <v>4207.8981174475002</v>
      </c>
      <c r="D12" s="644">
        <f>+D8+D9+D10+D11</f>
        <v>4287.9763284750006</v>
      </c>
      <c r="E12" s="643">
        <f>+E8+E9+E10+E11</f>
        <v>4164.0654849462417</v>
      </c>
      <c r="F12" s="351">
        <f>IF(E12=0,"",D12/E12-1)</f>
        <v>2.9757179366346698E-2</v>
      </c>
      <c r="G12" s="643">
        <f>+G8+G9+G10+G11</f>
        <v>20986.536990507502</v>
      </c>
      <c r="H12" s="634">
        <f>+H8+H9+H10+H11</f>
        <v>20415.944521003334</v>
      </c>
      <c r="I12" s="355">
        <f>IF(H12=0,"",G12/H12-1)</f>
        <v>2.7948374806620269E-2</v>
      </c>
      <c r="J12" s="643">
        <f>+J8+J9+J10+J11</f>
        <v>19959.534033927364</v>
      </c>
      <c r="K12" s="351">
        <f t="shared" si="0"/>
        <v>2.2866790692616323E-2</v>
      </c>
    </row>
    <row r="13" spans="1:11" ht="15" customHeight="1">
      <c r="A13" s="133"/>
      <c r="B13" s="133"/>
      <c r="C13" s="133"/>
      <c r="D13" s="133"/>
      <c r="E13" s="133"/>
      <c r="F13" s="135"/>
      <c r="G13" s="133"/>
      <c r="H13" s="133"/>
      <c r="I13" s="135"/>
      <c r="J13" s="134"/>
      <c r="K13" s="135" t="str">
        <f t="shared" si="0"/>
        <v/>
      </c>
    </row>
    <row r="14" spans="1:11" ht="15" customHeight="1">
      <c r="A14" s="140" t="s">
        <v>40</v>
      </c>
      <c r="B14" s="346">
        <v>0</v>
      </c>
      <c r="C14" s="347">
        <v>0</v>
      </c>
      <c r="D14" s="636">
        <v>0</v>
      </c>
      <c r="E14" s="346">
        <v>0</v>
      </c>
      <c r="F14" s="141" t="str">
        <f t="shared" si="1"/>
        <v/>
      </c>
      <c r="G14" s="346">
        <v>2.1206869999999993</v>
      </c>
      <c r="H14" s="347">
        <v>12.953248</v>
      </c>
      <c r="I14" s="144">
        <f t="shared" si="2"/>
        <v>-0.83628144848303687</v>
      </c>
      <c r="J14" s="346">
        <v>2.5944566300000003</v>
      </c>
      <c r="K14" s="141">
        <f t="shared" si="0"/>
        <v>3.9926631458086845</v>
      </c>
    </row>
    <row r="15" spans="1:11" ht="15" customHeight="1">
      <c r="A15" s="139" t="s">
        <v>41</v>
      </c>
      <c r="B15" s="343">
        <v>0</v>
      </c>
      <c r="C15" s="344">
        <v>0</v>
      </c>
      <c r="D15" s="345">
        <v>0</v>
      </c>
      <c r="E15" s="343">
        <v>0</v>
      </c>
      <c r="F15" s="142" t="str">
        <f t="shared" si="1"/>
        <v/>
      </c>
      <c r="G15" s="343">
        <v>0</v>
      </c>
      <c r="H15" s="344">
        <v>0</v>
      </c>
      <c r="I15" s="136" t="str">
        <f t="shared" si="2"/>
        <v/>
      </c>
      <c r="J15" s="343">
        <v>37.352100999999998</v>
      </c>
      <c r="K15" s="142">
        <f t="shared" si="0"/>
        <v>-1</v>
      </c>
    </row>
    <row r="16" spans="1:11" ht="23.25" customHeight="1">
      <c r="A16" s="146" t="s">
        <v>42</v>
      </c>
      <c r="B16" s="356">
        <f>+B15-B14</f>
        <v>0</v>
      </c>
      <c r="C16" s="356">
        <f>+C15-C14</f>
        <v>0</v>
      </c>
      <c r="D16" s="356">
        <f>+D15-D14</f>
        <v>0</v>
      </c>
      <c r="E16" s="356">
        <f>+E15-E14</f>
        <v>0</v>
      </c>
      <c r="F16" s="143"/>
      <c r="G16" s="356">
        <f>+G15-G14</f>
        <v>-2.1206869999999993</v>
      </c>
      <c r="H16" s="357">
        <f>+H15-H14</f>
        <v>-12.953248</v>
      </c>
      <c r="I16" s="145"/>
      <c r="J16" s="356">
        <f>+J15-J14</f>
        <v>34.757644369999994</v>
      </c>
      <c r="K16" s="143"/>
    </row>
    <row r="17" spans="1:11" ht="11.25" customHeight="1">
      <c r="A17" s="358" t="s">
        <v>255</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889"/>
      <c r="C42" s="889"/>
      <c r="D42" s="889"/>
      <c r="E42" s="113"/>
      <c r="F42" s="113"/>
      <c r="G42" s="890"/>
      <c r="H42" s="890"/>
      <c r="I42" s="890"/>
      <c r="J42" s="890"/>
      <c r="K42" s="890"/>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59" t="str">
        <f>"Gráfico N° 4: Comparación de la producción de energía eléctrica por tipo de generación acumulada a "&amp;'1. Resumen'!Q4</f>
        <v>Gráfico N° 4: Comparación de la producción de energía eléctrica por tipo de generación acumulada a mayo</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Mayo 2018
INFSGI-MES-05-2018
07/06/2018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Q26" sqref="Q26"/>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899" t="str">
        <f>+"3.2. PRODUCCIÓN POR TIPO DE RECURSO ENERGÉTICO (GWh)"</f>
        <v>3.2. PRODUCCIÓN POR TIPO DE RECURSO ENERGÉTICO (GWh)</v>
      </c>
      <c r="B2" s="899"/>
      <c r="C2" s="899"/>
      <c r="D2" s="899"/>
      <c r="E2" s="899"/>
      <c r="F2" s="899"/>
      <c r="G2" s="899"/>
      <c r="H2" s="899"/>
      <c r="I2" s="899"/>
      <c r="J2" s="899"/>
      <c r="K2" s="899"/>
    </row>
    <row r="3" spans="1:12" ht="18.75" customHeight="1">
      <c r="A3" s="147"/>
      <c r="B3" s="148"/>
      <c r="C3" s="149"/>
      <c r="D3" s="150"/>
      <c r="E3" s="150"/>
      <c r="F3" s="150"/>
      <c r="G3" s="151"/>
      <c r="H3" s="151"/>
      <c r="I3" s="151"/>
      <c r="J3" s="147"/>
      <c r="K3" s="147"/>
      <c r="L3" s="45"/>
    </row>
    <row r="4" spans="1:12" ht="14.25" customHeight="1">
      <c r="A4" s="903" t="s">
        <v>45</v>
      </c>
      <c r="B4" s="900" t="s">
        <v>33</v>
      </c>
      <c r="C4" s="901"/>
      <c r="D4" s="901"/>
      <c r="E4" s="901" t="s">
        <v>34</v>
      </c>
      <c r="F4" s="901"/>
      <c r="G4" s="902" t="str">
        <f>+'3. Tipo Generación'!G6:K6</f>
        <v>Generación Acumulada a mayo</v>
      </c>
      <c r="H4" s="902"/>
      <c r="I4" s="902"/>
      <c r="J4" s="902"/>
      <c r="K4" s="902"/>
      <c r="L4" s="152"/>
    </row>
    <row r="5" spans="1:12" ht="26.25" customHeight="1">
      <c r="A5" s="903"/>
      <c r="B5" s="364">
        <f>+'3. Tipo Generación'!B7</f>
        <v>43163</v>
      </c>
      <c r="C5" s="364">
        <f>+'3. Tipo Generación'!C7</f>
        <v>43193</v>
      </c>
      <c r="D5" s="364">
        <f>+'3. Tipo Generación'!D7</f>
        <v>43221</v>
      </c>
      <c r="E5" s="364">
        <f>+'3. Tipo Generación'!E7</f>
        <v>42856</v>
      </c>
      <c r="F5" s="365" t="s">
        <v>35</v>
      </c>
      <c r="G5" s="366">
        <v>2018</v>
      </c>
      <c r="H5" s="366">
        <v>2017</v>
      </c>
      <c r="I5" s="365" t="s">
        <v>43</v>
      </c>
      <c r="J5" s="366">
        <v>2016</v>
      </c>
      <c r="K5" s="365" t="s">
        <v>36</v>
      </c>
      <c r="L5" s="26"/>
    </row>
    <row r="6" spans="1:12" ht="11.25" customHeight="1">
      <c r="A6" s="165" t="s">
        <v>46</v>
      </c>
      <c r="B6" s="539">
        <v>2865.1492965074999</v>
      </c>
      <c r="C6" s="540">
        <v>3012.519140195001</v>
      </c>
      <c r="D6" s="541">
        <v>2632.7882674499997</v>
      </c>
      <c r="E6" s="539">
        <v>2689.024451012097</v>
      </c>
      <c r="F6" s="373">
        <f>IF(E6=0,"",D6/E6-1)</f>
        <v>-2.0913228788578375E-2</v>
      </c>
      <c r="G6" s="539">
        <v>14214.307003130001</v>
      </c>
      <c r="H6" s="540">
        <v>13225.16824544687</v>
      </c>
      <c r="I6" s="373">
        <f t="shared" ref="I6:I16" si="0">IF(H6=0,"",G6/H6-1)</f>
        <v>7.4792149281251552E-2</v>
      </c>
      <c r="J6" s="539">
        <v>10763.62714142585</v>
      </c>
      <c r="K6" s="373">
        <f>IF(J6=0,"",H6/J6-1)</f>
        <v>0.22869067013175459</v>
      </c>
      <c r="L6" s="31"/>
    </row>
    <row r="7" spans="1:12" ht="11.25" customHeight="1">
      <c r="A7" s="166" t="s">
        <v>52</v>
      </c>
      <c r="B7" s="542">
        <v>1213.9535788149999</v>
      </c>
      <c r="C7" s="360">
        <v>967.57862643499971</v>
      </c>
      <c r="D7" s="543">
        <v>1373.2012312300003</v>
      </c>
      <c r="E7" s="542">
        <v>1233.411784892148</v>
      </c>
      <c r="F7" s="374">
        <f t="shared" ref="F7:F19" si="1">IF(E7=0,"",D7/E7-1)</f>
        <v>0.11333558512259212</v>
      </c>
      <c r="G7" s="542">
        <v>5542.25852571</v>
      </c>
      <c r="H7" s="360">
        <v>5931.8336378297199</v>
      </c>
      <c r="I7" s="374">
        <f t="shared" si="0"/>
        <v>-6.5675326704248915E-2</v>
      </c>
      <c r="J7" s="542">
        <v>7537.0265474826765</v>
      </c>
      <c r="K7" s="374">
        <f t="shared" ref="K7:K19" si="2">IF(J7=0,"",H7/J7-1)</f>
        <v>-0.21297429424460257</v>
      </c>
      <c r="L7" s="34"/>
    </row>
    <row r="8" spans="1:12" ht="11.25" customHeight="1">
      <c r="A8" s="167" t="s">
        <v>53</v>
      </c>
      <c r="B8" s="544">
        <v>30.632152895000001</v>
      </c>
      <c r="C8" s="361">
        <v>25.3122974875</v>
      </c>
      <c r="D8" s="545">
        <v>46.920593807499998</v>
      </c>
      <c r="E8" s="544">
        <v>21.092004251925001</v>
      </c>
      <c r="F8" s="802">
        <f t="shared" si="1"/>
        <v>1.224567814754622</v>
      </c>
      <c r="G8" s="544">
        <v>187.65849131000002</v>
      </c>
      <c r="H8" s="361">
        <v>131.64267107700388</v>
      </c>
      <c r="I8" s="802">
        <f t="shared" si="0"/>
        <v>0.42551415718562779</v>
      </c>
      <c r="J8" s="544">
        <v>222.14548185415148</v>
      </c>
      <c r="K8" s="802">
        <f t="shared" si="2"/>
        <v>-0.40740333776658477</v>
      </c>
      <c r="L8" s="29"/>
    </row>
    <row r="9" spans="1:12" ht="11.25" customHeight="1">
      <c r="A9" s="166" t="s">
        <v>54</v>
      </c>
      <c r="B9" s="542">
        <v>8.6827966275000001</v>
      </c>
      <c r="C9" s="360">
        <v>3.0498491149999998</v>
      </c>
      <c r="D9" s="543">
        <v>22.659243487500003</v>
      </c>
      <c r="E9" s="542">
        <v>1.5478182862030001</v>
      </c>
      <c r="F9" s="374">
        <f t="shared" si="1"/>
        <v>13.639472662573382</v>
      </c>
      <c r="G9" s="542">
        <v>91.307857827500015</v>
      </c>
      <c r="H9" s="360">
        <v>41.372165856152698</v>
      </c>
      <c r="I9" s="374">
        <f t="shared" si="0"/>
        <v>1.2069876192841638</v>
      </c>
      <c r="J9" s="542">
        <v>213.8539236322884</v>
      </c>
      <c r="K9" s="374">
        <f t="shared" si="2"/>
        <v>-0.80654006644605614</v>
      </c>
      <c r="L9" s="29"/>
    </row>
    <row r="10" spans="1:12" ht="11.25" customHeight="1">
      <c r="A10" s="167" t="s">
        <v>55</v>
      </c>
      <c r="B10" s="544">
        <v>0</v>
      </c>
      <c r="C10" s="361">
        <v>0</v>
      </c>
      <c r="D10" s="545">
        <v>0</v>
      </c>
      <c r="E10" s="544">
        <v>0</v>
      </c>
      <c r="F10" s="802" t="str">
        <f t="shared" si="1"/>
        <v/>
      </c>
      <c r="G10" s="544">
        <v>0</v>
      </c>
      <c r="H10" s="361">
        <v>9.7034091828799998</v>
      </c>
      <c r="I10" s="802">
        <f t="shared" si="0"/>
        <v>-1</v>
      </c>
      <c r="J10" s="544">
        <v>51.173331304767004</v>
      </c>
      <c r="K10" s="802">
        <f t="shared" si="2"/>
        <v>-0.81038152226028548</v>
      </c>
      <c r="L10" s="29"/>
    </row>
    <row r="11" spans="1:12" ht="11.25" customHeight="1">
      <c r="A11" s="166" t="s">
        <v>26</v>
      </c>
      <c r="B11" s="542">
        <v>0</v>
      </c>
      <c r="C11" s="360">
        <v>6.6665021175000003</v>
      </c>
      <c r="D11" s="543">
        <v>0</v>
      </c>
      <c r="E11" s="542">
        <v>2.3335977370045247</v>
      </c>
      <c r="F11" s="374">
        <f t="shared" si="1"/>
        <v>-1</v>
      </c>
      <c r="G11" s="542">
        <v>26.9015129625</v>
      </c>
      <c r="H11" s="360">
        <v>291.13455554803983</v>
      </c>
      <c r="I11" s="374">
        <f t="shared" si="0"/>
        <v>-0.90759766420767252</v>
      </c>
      <c r="J11" s="542">
        <v>249.30279435893581</v>
      </c>
      <c r="K11" s="374">
        <f t="shared" si="2"/>
        <v>0.16779499522526975</v>
      </c>
      <c r="L11" s="31"/>
    </row>
    <row r="12" spans="1:12" ht="11.25" customHeight="1">
      <c r="A12" s="167" t="s">
        <v>47</v>
      </c>
      <c r="B12" s="544">
        <v>5.4108980000000001E-2</v>
      </c>
      <c r="C12" s="361">
        <v>0</v>
      </c>
      <c r="D12" s="545">
        <v>5.2307347499999997E-2</v>
      </c>
      <c r="E12" s="544">
        <v>24.391312451671972</v>
      </c>
      <c r="F12" s="802">
        <f t="shared" si="1"/>
        <v>-0.9978554927044766</v>
      </c>
      <c r="G12" s="544">
        <v>1.8026657475000003</v>
      </c>
      <c r="H12" s="361">
        <v>49.467667712573338</v>
      </c>
      <c r="I12" s="802">
        <f t="shared" si="0"/>
        <v>-0.96355870751832895</v>
      </c>
      <c r="J12" s="544">
        <v>77.296675635096165</v>
      </c>
      <c r="K12" s="802">
        <f t="shared" si="2"/>
        <v>-0.36002852249298034</v>
      </c>
      <c r="L12" s="34"/>
    </row>
    <row r="13" spans="1:12" ht="11.25" customHeight="1">
      <c r="A13" s="166" t="s">
        <v>48</v>
      </c>
      <c r="B13" s="542">
        <v>0.12130072</v>
      </c>
      <c r="C13" s="360">
        <v>1.0751157500000002E-2</v>
      </c>
      <c r="D13" s="543">
        <v>1.81752575E-2</v>
      </c>
      <c r="E13" s="542">
        <v>0</v>
      </c>
      <c r="F13" s="374" t="str">
        <f>IF(E13=0,"",D13/E13-1)</f>
        <v/>
      </c>
      <c r="G13" s="542">
        <v>1.4230004125</v>
      </c>
      <c r="H13" s="360">
        <v>0.24963529262500003</v>
      </c>
      <c r="I13" s="374">
        <f t="shared" si="0"/>
        <v>4.7003174412426487</v>
      </c>
      <c r="J13" s="542">
        <v>2.6171268147903697</v>
      </c>
      <c r="K13" s="374">
        <f t="shared" si="2"/>
        <v>-0.90461475110253853</v>
      </c>
      <c r="L13" s="29"/>
    </row>
    <row r="14" spans="1:12" ht="11.25" customHeight="1">
      <c r="A14" s="167" t="s">
        <v>49</v>
      </c>
      <c r="B14" s="544">
        <v>1.2248342974999999</v>
      </c>
      <c r="C14" s="361">
        <v>8.2326439750000002</v>
      </c>
      <c r="D14" s="545">
        <v>0.39897143499999993</v>
      </c>
      <c r="E14" s="544">
        <v>70.188765829557468</v>
      </c>
      <c r="F14" s="802">
        <f t="shared" si="1"/>
        <v>-0.99431573656717598</v>
      </c>
      <c r="G14" s="544">
        <v>51.402838299999999</v>
      </c>
      <c r="H14" s="361">
        <v>223.03041024235966</v>
      </c>
      <c r="I14" s="802">
        <f t="shared" si="0"/>
        <v>-0.76952542819545433</v>
      </c>
      <c r="J14" s="544">
        <v>318.67050522982714</v>
      </c>
      <c r="K14" s="802">
        <f t="shared" si="2"/>
        <v>-0.30012220590823502</v>
      </c>
      <c r="L14" s="29"/>
    </row>
    <row r="15" spans="1:12" ht="11.25" customHeight="1">
      <c r="A15" s="166" t="s">
        <v>50</v>
      </c>
      <c r="B15" s="542">
        <v>7.0476076300000008</v>
      </c>
      <c r="C15" s="360">
        <v>7.4688760849999998</v>
      </c>
      <c r="D15" s="543">
        <v>7.3377402875</v>
      </c>
      <c r="E15" s="542">
        <v>8.8779759977665744</v>
      </c>
      <c r="F15" s="374">
        <f t="shared" si="1"/>
        <v>-0.17348951052064687</v>
      </c>
      <c r="G15" s="542">
        <v>35.333966939999996</v>
      </c>
      <c r="H15" s="360">
        <v>31.258542786893326</v>
      </c>
      <c r="I15" s="374">
        <f>IF(H15=0,"",G15/H15-1)</f>
        <v>0.13037793159108779</v>
      </c>
      <c r="J15" s="542">
        <v>38.165598833766403</v>
      </c>
      <c r="K15" s="374">
        <f t="shared" si="2"/>
        <v>-0.18097596416493722</v>
      </c>
      <c r="L15" s="29"/>
    </row>
    <row r="16" spans="1:12" ht="11.25" customHeight="1">
      <c r="A16" s="167" t="s">
        <v>51</v>
      </c>
      <c r="B16" s="544">
        <v>4.9983775250000004</v>
      </c>
      <c r="C16" s="361">
        <v>3.8766369750000003</v>
      </c>
      <c r="D16" s="545">
        <v>3.3924106000000003</v>
      </c>
      <c r="E16" s="544">
        <v>4.2103246205206251</v>
      </c>
      <c r="F16" s="802">
        <f t="shared" si="1"/>
        <v>-0.19426388562397501</v>
      </c>
      <c r="G16" s="544">
        <v>20.058990855000001</v>
      </c>
      <c r="H16" s="361">
        <v>16.708243955696624</v>
      </c>
      <c r="I16" s="802">
        <f t="shared" si="0"/>
        <v>0.20054452808973688</v>
      </c>
      <c r="J16" s="544">
        <v>20.934660612049999</v>
      </c>
      <c r="K16" s="802">
        <f t="shared" si="2"/>
        <v>-0.20188608426356092</v>
      </c>
      <c r="L16" s="29"/>
    </row>
    <row r="17" spans="1:12" ht="11.25" customHeight="1">
      <c r="A17" s="166" t="s">
        <v>30</v>
      </c>
      <c r="B17" s="542">
        <v>62.167818492499997</v>
      </c>
      <c r="C17" s="360">
        <v>58.171585880000009</v>
      </c>
      <c r="D17" s="543">
        <v>57.9052203225</v>
      </c>
      <c r="E17" s="542">
        <v>15.97481835214</v>
      </c>
      <c r="F17" s="374">
        <f t="shared" si="1"/>
        <v>2.6247811428004733</v>
      </c>
      <c r="G17" s="542">
        <v>284.09086605249996</v>
      </c>
      <c r="H17" s="360">
        <v>89.412987927938005</v>
      </c>
      <c r="I17" s="374">
        <f>IF(H17=0,"",G17/H17-1)</f>
        <v>2.1772885867706568</v>
      </c>
      <c r="J17" s="542">
        <v>99.255770563499894</v>
      </c>
      <c r="K17" s="374">
        <f t="shared" si="2"/>
        <v>-9.9165847785795624E-2</v>
      </c>
      <c r="L17" s="29"/>
    </row>
    <row r="18" spans="1:12" ht="11.25" customHeight="1">
      <c r="A18" s="167" t="s">
        <v>29</v>
      </c>
      <c r="B18" s="544">
        <v>121.84239174000001</v>
      </c>
      <c r="C18" s="361">
        <v>115.011208025</v>
      </c>
      <c r="D18" s="545">
        <v>143.30216725</v>
      </c>
      <c r="E18" s="544">
        <v>93.012631515207701</v>
      </c>
      <c r="F18" s="802">
        <f t="shared" si="1"/>
        <v>0.54067426021131215</v>
      </c>
      <c r="G18" s="544">
        <v>529.99127126000008</v>
      </c>
      <c r="H18" s="361">
        <v>374.96234814458205</v>
      </c>
      <c r="I18" s="802">
        <f>IF(H18=0,"",G18/H18-1)</f>
        <v>0.41345197426500091</v>
      </c>
      <c r="J18" s="544">
        <v>365.46447617966561</v>
      </c>
      <c r="K18" s="802">
        <f t="shared" si="2"/>
        <v>2.5988495692389035E-2</v>
      </c>
      <c r="L18" s="29"/>
    </row>
    <row r="19" spans="1:12" ht="11.25" customHeight="1">
      <c r="A19" s="173" t="s">
        <v>44</v>
      </c>
      <c r="B19" s="546">
        <f>SUM(B6:B18)</f>
        <v>4315.8742642300003</v>
      </c>
      <c r="C19" s="547">
        <f>SUM(C6:C18)</f>
        <v>4207.8981174475002</v>
      </c>
      <c r="D19" s="548">
        <f>SUM(D6:D18)</f>
        <v>4287.9763284749997</v>
      </c>
      <c r="E19" s="546">
        <f>SUM(E6:E18)</f>
        <v>4164.0654849462417</v>
      </c>
      <c r="F19" s="803">
        <f t="shared" si="1"/>
        <v>2.9757179366346476E-2</v>
      </c>
      <c r="G19" s="546">
        <f>SUM(G6:G18)</f>
        <v>20986.536990507502</v>
      </c>
      <c r="H19" s="547">
        <f>SUM(H6:H18)</f>
        <v>20415.94452100333</v>
      </c>
      <c r="I19" s="803">
        <f>IF(H19=0,"",G19/H19-1)</f>
        <v>2.7948374806620491E-2</v>
      </c>
      <c r="J19" s="546">
        <f>SUM(J6:J18)</f>
        <v>19959.534033927364</v>
      </c>
      <c r="K19" s="803">
        <f t="shared" si="2"/>
        <v>2.2866790692616101E-2</v>
      </c>
      <c r="L19" s="39"/>
    </row>
    <row r="20" spans="1:12" ht="11.25" customHeight="1">
      <c r="A20" s="29"/>
      <c r="B20" s="29"/>
      <c r="C20" s="29"/>
      <c r="D20" s="29"/>
      <c r="E20" s="29"/>
      <c r="F20" s="29"/>
      <c r="G20" s="29"/>
      <c r="H20" s="29"/>
      <c r="I20" s="29"/>
      <c r="J20" s="29"/>
      <c r="K20" s="29"/>
      <c r="L20" s="29"/>
    </row>
    <row r="21" spans="1:12" ht="11.25" customHeight="1">
      <c r="A21" s="169" t="s">
        <v>40</v>
      </c>
      <c r="B21" s="346">
        <v>0</v>
      </c>
      <c r="C21" s="347">
        <v>0</v>
      </c>
      <c r="D21" s="636">
        <v>0</v>
      </c>
      <c r="E21" s="346">
        <v>0</v>
      </c>
      <c r="F21" s="141" t="str">
        <f>IF(E21=0,"",D21/E21-1)</f>
        <v/>
      </c>
      <c r="G21" s="346">
        <v>2.1206869999999993</v>
      </c>
      <c r="H21" s="635">
        <v>12.953248</v>
      </c>
      <c r="I21" s="144">
        <f>IF(H21=0,"",G21/H21-1)</f>
        <v>-0.83628144848303687</v>
      </c>
      <c r="J21" s="346">
        <v>2.5944566300000003</v>
      </c>
      <c r="K21" s="141">
        <f>IF(J21=0,"",H21/J21-1)</f>
        <v>3.9926631458086845</v>
      </c>
      <c r="L21" s="29"/>
    </row>
    <row r="22" spans="1:12" ht="11.25" customHeight="1">
      <c r="A22" s="170" t="s">
        <v>41</v>
      </c>
      <c r="B22" s="343">
        <v>0</v>
      </c>
      <c r="C22" s="344">
        <v>0</v>
      </c>
      <c r="D22" s="345">
        <v>0</v>
      </c>
      <c r="E22" s="343">
        <v>0</v>
      </c>
      <c r="F22" s="142" t="str">
        <f>IF(E22=0,"",D22/E22-1)</f>
        <v/>
      </c>
      <c r="G22" s="343">
        <v>0</v>
      </c>
      <c r="H22" s="344">
        <v>0</v>
      </c>
      <c r="I22" s="136" t="str">
        <f>IF(H22=0,"",G22/H22-1)</f>
        <v/>
      </c>
      <c r="J22" s="343">
        <v>37.352100999999998</v>
      </c>
      <c r="K22" s="142">
        <f>IF(J22=0,"",H22/J22-1)</f>
        <v>-1</v>
      </c>
      <c r="L22" s="29"/>
    </row>
    <row r="23" spans="1:12" ht="23.25" customHeight="1">
      <c r="A23" s="171" t="s">
        <v>42</v>
      </c>
      <c r="B23" s="356">
        <f>+B22-B21</f>
        <v>0</v>
      </c>
      <c r="C23" s="357">
        <f>+C22-C21</f>
        <v>0</v>
      </c>
      <c r="D23" s="807">
        <f>+D22-D21</f>
        <v>0</v>
      </c>
      <c r="E23" s="356">
        <f>+E22-E21</f>
        <v>0</v>
      </c>
      <c r="F23" s="143"/>
      <c r="G23" s="356">
        <f>+G22-G21</f>
        <v>-2.1206869999999993</v>
      </c>
      <c r="H23" s="357">
        <f>+H22-H21</f>
        <v>-12.953248</v>
      </c>
      <c r="I23" s="145"/>
      <c r="J23" s="356">
        <f>+J22-J21</f>
        <v>34.757644369999994</v>
      </c>
      <c r="K23" s="143"/>
      <c r="L23" s="39"/>
    </row>
    <row r="24" spans="1:12" ht="11.25" customHeight="1">
      <c r="A24" s="341" t="s">
        <v>257</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41" t="str">
        <f>"Gráfico N° 5: Comparación de la producción de energía eléctrica (GWh) por tipo de recurso energético acumulada a "&amp;'1. Resumen'!Q4</f>
        <v>Gráfico N° 5: Comparación de la producción de energía eléctrica (GWh) por tipo de recurso energético acumulada a mayo</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Mayo 2018
INFSGI-MES-05-2018
07/06/2018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30" zoomScaleNormal="100" zoomScaleSheetLayoutView="130" zoomScalePageLayoutView="160" workbookViewId="0">
      <selection activeCell="Q26" sqref="Q26"/>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05" t="s">
        <v>265</v>
      </c>
      <c r="B2" s="905"/>
      <c r="C2" s="905"/>
      <c r="D2" s="905"/>
      <c r="E2" s="905"/>
      <c r="F2" s="905"/>
      <c r="G2" s="905"/>
      <c r="H2" s="905"/>
      <c r="I2" s="905"/>
      <c r="J2" s="905"/>
      <c r="K2" s="905"/>
      <c r="L2" s="45"/>
    </row>
    <row r="3" spans="1:12" ht="11.25" customHeight="1">
      <c r="A3" s="92"/>
      <c r="B3" s="91"/>
      <c r="C3" s="91"/>
      <c r="D3" s="91"/>
      <c r="E3" s="91"/>
      <c r="F3" s="91"/>
      <c r="G3" s="91"/>
      <c r="H3" s="91"/>
      <c r="I3" s="91"/>
      <c r="J3" s="91"/>
      <c r="K3" s="91"/>
      <c r="L3" s="45"/>
    </row>
    <row r="4" spans="1:12" ht="15.75" customHeight="1">
      <c r="A4" s="903" t="s">
        <v>261</v>
      </c>
      <c r="B4" s="900" t="s">
        <v>33</v>
      </c>
      <c r="C4" s="901"/>
      <c r="D4" s="901"/>
      <c r="E4" s="901" t="s">
        <v>34</v>
      </c>
      <c r="F4" s="901"/>
      <c r="G4" s="902" t="str">
        <f>+'4. Tipo Recurso'!G4:K4</f>
        <v>Generación Acumulada a mayo</v>
      </c>
      <c r="H4" s="902"/>
      <c r="I4" s="902"/>
      <c r="J4" s="902"/>
      <c r="K4" s="902"/>
      <c r="L4" s="29"/>
    </row>
    <row r="5" spans="1:12" ht="29.25" customHeight="1">
      <c r="A5" s="903"/>
      <c r="B5" s="364">
        <f>+'4. Tipo Recurso'!B5</f>
        <v>43163</v>
      </c>
      <c r="C5" s="364">
        <f>+'4. Tipo Recurso'!C5</f>
        <v>43193</v>
      </c>
      <c r="D5" s="364">
        <f>+'4. Tipo Recurso'!D5</f>
        <v>43221</v>
      </c>
      <c r="E5" s="364">
        <f>+'4. Tipo Recurso'!E5</f>
        <v>42856</v>
      </c>
      <c r="F5" s="364" t="s">
        <v>35</v>
      </c>
      <c r="G5" s="366">
        <v>2018</v>
      </c>
      <c r="H5" s="366">
        <v>2017</v>
      </c>
      <c r="I5" s="365" t="s">
        <v>43</v>
      </c>
      <c r="J5" s="366">
        <v>2016</v>
      </c>
      <c r="K5" s="365" t="s">
        <v>36</v>
      </c>
      <c r="L5" s="31"/>
    </row>
    <row r="6" spans="1:12" ht="11.25" customHeight="1">
      <c r="A6" s="165" t="s">
        <v>46</v>
      </c>
      <c r="B6" s="648">
        <v>127.87018885750004</v>
      </c>
      <c r="C6" s="649">
        <v>127.83187760000001</v>
      </c>
      <c r="D6" s="650">
        <v>110.02161063750002</v>
      </c>
      <c r="E6" s="648">
        <v>103.4732069685608</v>
      </c>
      <c r="F6" s="373">
        <f t="shared" ref="F6:F11" si="0">IF(E6=0,"",D6/E6-1)</f>
        <v>6.3285983500336318E-2</v>
      </c>
      <c r="G6" s="648">
        <v>583.02939845500009</v>
      </c>
      <c r="H6" s="649">
        <v>536.78182263986719</v>
      </c>
      <c r="I6" s="377">
        <f t="shared" ref="I6:I11" si="1">IF(H6=0,"",G6/H6-1)</f>
        <v>8.6157119828852435E-2</v>
      </c>
      <c r="J6" s="648">
        <v>439.61789026668902</v>
      </c>
      <c r="K6" s="373">
        <f t="shared" ref="K6:K11" si="2">IF(J6=0,"",H6/J6-1)</f>
        <v>0.22101905887914342</v>
      </c>
      <c r="L6" s="367"/>
    </row>
    <row r="7" spans="1:12" ht="11.25" customHeight="1">
      <c r="A7" s="166" t="s">
        <v>39</v>
      </c>
      <c r="B7" s="651">
        <v>121.84239174000001</v>
      </c>
      <c r="C7" s="652">
        <v>115.011208025</v>
      </c>
      <c r="D7" s="653">
        <v>143.30216725</v>
      </c>
      <c r="E7" s="651">
        <v>93.012631515207701</v>
      </c>
      <c r="F7" s="374">
        <f t="shared" si="0"/>
        <v>0.54067426021131215</v>
      </c>
      <c r="G7" s="651">
        <v>529.99127126000008</v>
      </c>
      <c r="H7" s="652">
        <v>374.96234814458205</v>
      </c>
      <c r="I7" s="353">
        <f t="shared" si="1"/>
        <v>0.41345197426500091</v>
      </c>
      <c r="J7" s="651">
        <v>365.46447617966561</v>
      </c>
      <c r="K7" s="374">
        <f t="shared" si="2"/>
        <v>2.5988495692389035E-2</v>
      </c>
      <c r="L7" s="367"/>
    </row>
    <row r="8" spans="1:12" ht="11.25" customHeight="1">
      <c r="A8" s="371" t="s">
        <v>30</v>
      </c>
      <c r="B8" s="654">
        <v>62.167818492499997</v>
      </c>
      <c r="C8" s="655">
        <v>58.171585880000009</v>
      </c>
      <c r="D8" s="656">
        <v>57.9052203225</v>
      </c>
      <c r="E8" s="654">
        <v>15.97481835214</v>
      </c>
      <c r="F8" s="375">
        <f t="shared" si="0"/>
        <v>2.6247811428004733</v>
      </c>
      <c r="G8" s="654">
        <v>284.09086605249996</v>
      </c>
      <c r="H8" s="655">
        <v>89.412987927938005</v>
      </c>
      <c r="I8" s="370">
        <f t="shared" si="1"/>
        <v>2.1772885867706568</v>
      </c>
      <c r="J8" s="654">
        <v>99.255770563499894</v>
      </c>
      <c r="K8" s="375">
        <f t="shared" si="2"/>
        <v>-9.9165847785795624E-2</v>
      </c>
      <c r="L8" s="367"/>
    </row>
    <row r="9" spans="1:12" ht="11.25" customHeight="1">
      <c r="A9" s="166" t="s">
        <v>50</v>
      </c>
      <c r="B9" s="651">
        <v>7.0476076300000008</v>
      </c>
      <c r="C9" s="652">
        <v>7.4688760849999998</v>
      </c>
      <c r="D9" s="653">
        <v>7.3377402875</v>
      </c>
      <c r="E9" s="651">
        <v>8.8779759977665744</v>
      </c>
      <c r="F9" s="374">
        <f t="shared" si="0"/>
        <v>-0.17348951052064687</v>
      </c>
      <c r="G9" s="651">
        <v>35.333966939999996</v>
      </c>
      <c r="H9" s="652">
        <v>31.258542786893326</v>
      </c>
      <c r="I9" s="353">
        <f t="shared" si="1"/>
        <v>0.13037793159108779</v>
      </c>
      <c r="J9" s="651">
        <v>38.165598833766403</v>
      </c>
      <c r="K9" s="374">
        <f t="shared" si="2"/>
        <v>-0.18097596416493722</v>
      </c>
      <c r="L9" s="44"/>
    </row>
    <row r="10" spans="1:12" ht="11.25" customHeight="1">
      <c r="A10" s="372" t="s">
        <v>51</v>
      </c>
      <c r="B10" s="657">
        <v>4.9983775250000004</v>
      </c>
      <c r="C10" s="658">
        <v>3.8766369750000003</v>
      </c>
      <c r="D10" s="659">
        <v>3.3924106000000003</v>
      </c>
      <c r="E10" s="657">
        <v>4.2103246205206251</v>
      </c>
      <c r="F10" s="376">
        <f t="shared" si="0"/>
        <v>-0.19426388562397501</v>
      </c>
      <c r="G10" s="657">
        <v>20.058990855000001</v>
      </c>
      <c r="H10" s="658">
        <v>16.708243955696624</v>
      </c>
      <c r="I10" s="378">
        <f t="shared" si="1"/>
        <v>0.20054452808973688</v>
      </c>
      <c r="J10" s="657">
        <v>20.934660612049999</v>
      </c>
      <c r="K10" s="376">
        <f t="shared" si="2"/>
        <v>-0.20188608426356092</v>
      </c>
      <c r="L10" s="368"/>
    </row>
    <row r="11" spans="1:12" ht="11.25" customHeight="1">
      <c r="A11" s="379" t="s">
        <v>258</v>
      </c>
      <c r="B11" s="660">
        <f>+SUM(B6:B10)</f>
        <v>323.92638424500007</v>
      </c>
      <c r="C11" s="661">
        <f>+SUM(C6:C10)</f>
        <v>312.360184565</v>
      </c>
      <c r="D11" s="662">
        <f>+SUM(D6:D10)</f>
        <v>321.95914909750002</v>
      </c>
      <c r="E11" s="663">
        <f>+SUM(E6:E10)</f>
        <v>225.54895745419572</v>
      </c>
      <c r="F11" s="380">
        <f t="shared" si="0"/>
        <v>0.42744685114708725</v>
      </c>
      <c r="G11" s="660">
        <f>+SUM(G6:G10)</f>
        <v>1452.5044935625001</v>
      </c>
      <c r="H11" s="661">
        <f>+SUM(H6:H10)</f>
        <v>1049.1239454549773</v>
      </c>
      <c r="I11" s="381">
        <f t="shared" si="1"/>
        <v>0.38449274735845185</v>
      </c>
      <c r="J11" s="660">
        <f>+SUM(J6:J10)</f>
        <v>963.43839645567095</v>
      </c>
      <c r="K11" s="380">
        <f t="shared" si="2"/>
        <v>8.8937236998783975E-2</v>
      </c>
      <c r="L11" s="29"/>
    </row>
    <row r="12" spans="1:12" ht="24.75" customHeight="1">
      <c r="A12" s="382" t="s">
        <v>259</v>
      </c>
      <c r="B12" s="383">
        <f>B11/'4. Tipo Recurso'!B19</f>
        <v>7.5054638854913938E-2</v>
      </c>
      <c r="C12" s="381">
        <f>C11/'4. Tipo Recurso'!C19</f>
        <v>7.4231879158347322E-2</v>
      </c>
      <c r="D12" s="380">
        <f>D11/'4. Tipo Recurso'!D19</f>
        <v>7.5084171281328743E-2</v>
      </c>
      <c r="E12" s="383">
        <f>E11/'4. Tipo Recurso'!E19</f>
        <v>5.4165564463284986E-2</v>
      </c>
      <c r="F12" s="384"/>
      <c r="G12" s="383">
        <f>G11/'4. Tipo Recurso'!G19</f>
        <v>6.9211251680993763E-2</v>
      </c>
      <c r="H12" s="381">
        <f>H11/'4. Tipo Recurso'!H19</f>
        <v>5.1387480230251852E-2</v>
      </c>
      <c r="I12" s="381"/>
      <c r="J12" s="383">
        <f>J11/'4. Tipo Recurso'!J19</f>
        <v>4.8269583589376948E-2</v>
      </c>
      <c r="K12" s="384"/>
      <c r="L12" s="29"/>
    </row>
    <row r="13" spans="1:12" ht="11.25" customHeight="1">
      <c r="A13" s="385" t="s">
        <v>260</v>
      </c>
      <c r="B13" s="155"/>
      <c r="C13" s="155"/>
      <c r="D13" s="155"/>
      <c r="E13" s="155"/>
      <c r="F13" s="155"/>
      <c r="G13" s="155"/>
      <c r="H13" s="155"/>
      <c r="I13" s="155"/>
      <c r="J13" s="155"/>
      <c r="K13" s="156"/>
      <c r="L13" s="29"/>
    </row>
    <row r="14" spans="1:12" ht="23.25" customHeight="1">
      <c r="A14" s="906" t="s">
        <v>56</v>
      </c>
      <c r="B14" s="906"/>
      <c r="C14" s="906"/>
      <c r="D14" s="906"/>
      <c r="E14" s="906"/>
      <c r="F14" s="906"/>
      <c r="G14" s="906"/>
      <c r="H14" s="906"/>
      <c r="I14" s="906"/>
      <c r="J14" s="906"/>
      <c r="K14" s="906"/>
      <c r="L14" s="29"/>
    </row>
    <row r="15" spans="1:12" ht="11.25" customHeight="1">
      <c r="L15" s="29"/>
    </row>
    <row r="16" spans="1:12" ht="11.25" customHeight="1">
      <c r="A16" s="157"/>
      <c r="B16" s="174"/>
      <c r="C16" s="174"/>
      <c r="D16" s="174"/>
      <c r="E16" s="174"/>
      <c r="F16" s="174"/>
      <c r="G16" s="174"/>
      <c r="H16" s="174"/>
      <c r="I16" s="174"/>
      <c r="J16" s="174"/>
      <c r="K16" s="174"/>
      <c r="L16" s="29"/>
    </row>
    <row r="17" spans="1:12" ht="11.25" customHeight="1">
      <c r="A17" s="174"/>
      <c r="B17" s="174"/>
      <c r="C17" s="174"/>
      <c r="D17" s="174"/>
      <c r="E17" s="174"/>
      <c r="F17" s="174"/>
      <c r="G17" s="174"/>
      <c r="H17" s="174"/>
      <c r="I17" s="174"/>
      <c r="J17" s="174"/>
      <c r="K17" s="174"/>
      <c r="L17" s="29"/>
    </row>
    <row r="18" spans="1:12" ht="11.25" customHeight="1">
      <c r="A18" s="174"/>
      <c r="B18" s="174"/>
      <c r="C18" s="174"/>
      <c r="D18" s="174"/>
      <c r="E18" s="174"/>
      <c r="F18" s="174"/>
      <c r="G18" s="174"/>
      <c r="H18" s="174"/>
      <c r="I18" s="174"/>
      <c r="J18" s="174"/>
      <c r="K18" s="174"/>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04" t="str">
        <f>"Gráfico N° 6: Comparación de la producción de energía eléctrica acumulada (GWh) con recursos energéticos renovables en "&amp;'1. Resumen'!Q4</f>
        <v>Gráfico N° 6: Comparación de la producción de energía eléctrica acumulada (GWh) con recursos energéticos renovables en mayo</v>
      </c>
      <c r="B34" s="904"/>
      <c r="C34" s="904"/>
      <c r="D34" s="904"/>
      <c r="E34" s="904"/>
      <c r="F34" s="904"/>
      <c r="G34" s="904"/>
      <c r="H34" s="904"/>
      <c r="I34" s="904"/>
      <c r="J34" s="904"/>
      <c r="K34" s="904"/>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86" t="s">
        <v>263</v>
      </c>
      <c r="D39" s="201"/>
      <c r="E39" s="201"/>
      <c r="F39" s="387">
        <f>+'4. Tipo Recurso'!D19</f>
        <v>4287.9763284749997</v>
      </c>
      <c r="G39" s="386" t="s">
        <v>262</v>
      </c>
      <c r="H39" s="159"/>
      <c r="I39" s="159"/>
      <c r="J39" s="159"/>
      <c r="K39" s="159"/>
      <c r="L39" s="29"/>
      <c r="M39" s="388">
        <f>+F39-F40</f>
        <v>3966.0163284749997</v>
      </c>
      <c r="P39" s="664"/>
    </row>
    <row r="40" spans="1:16" ht="11.25" customHeight="1">
      <c r="A40" s="157"/>
      <c r="B40" s="159"/>
      <c r="C40" s="386" t="s">
        <v>264</v>
      </c>
      <c r="D40" s="201"/>
      <c r="E40" s="201"/>
      <c r="F40" s="387">
        <f>ROUND(D11,2)</f>
        <v>321.95999999999998</v>
      </c>
      <c r="G40" s="386" t="s">
        <v>262</v>
      </c>
      <c r="H40" s="159"/>
      <c r="I40" s="159"/>
      <c r="J40" s="159"/>
      <c r="K40" s="159"/>
      <c r="L40" s="29"/>
      <c r="M40" s="664"/>
      <c r="P40" s="664"/>
    </row>
    <row r="41" spans="1:16" ht="11.25" customHeight="1">
      <c r="A41" s="157"/>
      <c r="B41" s="159"/>
      <c r="C41" s="159"/>
      <c r="D41" s="159"/>
      <c r="E41" s="159"/>
      <c r="F41" s="159"/>
      <c r="G41" s="159"/>
      <c r="H41" s="159"/>
      <c r="I41" s="159"/>
      <c r="J41" s="159"/>
      <c r="K41" s="159"/>
      <c r="L41" s="29"/>
      <c r="P41" s="664"/>
    </row>
    <row r="42" spans="1:16" ht="11.25" customHeight="1">
      <c r="A42" s="157"/>
      <c r="B42" s="159"/>
      <c r="C42" s="159"/>
      <c r="D42" s="159"/>
      <c r="E42" s="159"/>
      <c r="F42" s="159"/>
      <c r="G42" s="159"/>
      <c r="H42" s="159"/>
      <c r="I42" s="159"/>
      <c r="J42" s="159"/>
      <c r="K42" s="159"/>
      <c r="L42" s="29"/>
      <c r="P42" s="664"/>
    </row>
    <row r="43" spans="1:16" ht="11.25" customHeight="1">
      <c r="A43" s="157"/>
      <c r="B43" s="159"/>
      <c r="C43" s="159"/>
      <c r="D43" s="159"/>
      <c r="E43" s="159"/>
      <c r="F43" s="159"/>
      <c r="G43" s="159"/>
      <c r="H43" s="159"/>
      <c r="I43" s="159"/>
      <c r="J43" s="159"/>
      <c r="K43" s="159"/>
      <c r="L43" s="29"/>
      <c r="P43" s="664"/>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41" t="str">
        <f>"Gráfico N° 7: Participación de las RER en la Matriz de Generación del SEIN en "&amp;'1. Resumen'!Q4&amp;" "&amp;'1. Resumen'!Q5</f>
        <v>Gráfico N° 7: Participación de las RER en la Matriz de Generación del SEIN en mayo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Mayo 2018
INFSGI-MES-05-2018
07/06/2018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X64"/>
  <sheetViews>
    <sheetView showGridLines="0" view="pageBreakPreview" zoomScale="130" zoomScaleNormal="100" zoomScaleSheetLayoutView="130" zoomScalePageLayoutView="160" workbookViewId="0">
      <selection activeCell="Q26" sqref="Q26"/>
    </sheetView>
  </sheetViews>
  <sheetFormatPr defaultRowHeight="11.25"/>
  <cols>
    <col min="1" max="11" width="10.33203125" style="3" customWidth="1"/>
    <col min="12" max="12" width="21.1640625" style="830" bestFit="1" customWidth="1"/>
    <col min="13" max="14" width="9.33203125" style="830"/>
    <col min="15" max="15" width="11.83203125" style="830" customWidth="1"/>
    <col min="16" max="17" width="9.33203125" style="830"/>
    <col min="18" max="19" width="9.33203125" style="831"/>
    <col min="20" max="20" width="15" style="831" customWidth="1"/>
    <col min="21" max="22" width="9.33203125" style="831"/>
    <col min="23" max="24" width="9.33203125" style="832"/>
    <col min="25" max="16384" width="9.33203125" style="3"/>
  </cols>
  <sheetData>
    <row r="2" spans="1:22" ht="11.25" customHeight="1">
      <c r="A2" s="907" t="s">
        <v>270</v>
      </c>
      <c r="B2" s="907"/>
      <c r="C2" s="907"/>
      <c r="D2" s="907"/>
      <c r="E2" s="907"/>
      <c r="F2" s="907"/>
      <c r="G2" s="907"/>
      <c r="H2" s="907"/>
      <c r="I2" s="907"/>
      <c r="J2" s="907"/>
      <c r="K2" s="907"/>
    </row>
    <row r="3" spans="1:22" ht="11.25" customHeight="1"/>
    <row r="4" spans="1:22" ht="11.25" customHeight="1">
      <c r="L4" s="833" t="s">
        <v>57</v>
      </c>
      <c r="M4" s="834" t="s">
        <v>31</v>
      </c>
      <c r="N4" s="833" t="s">
        <v>58</v>
      </c>
      <c r="O4" s="835">
        <v>43221</v>
      </c>
      <c r="P4" s="836"/>
      <c r="Q4" s="836"/>
    </row>
    <row r="5" spans="1:22" ht="11.25" customHeight="1">
      <c r="A5" s="176"/>
      <c r="B5" s="159"/>
      <c r="C5" s="159"/>
      <c r="D5" s="159"/>
      <c r="E5" s="159"/>
      <c r="F5" s="159"/>
      <c r="G5" s="159"/>
      <c r="H5" s="159"/>
      <c r="I5" s="159"/>
      <c r="J5" s="159"/>
      <c r="K5" s="159"/>
      <c r="L5" s="833"/>
      <c r="M5" s="834"/>
      <c r="N5" s="833"/>
      <c r="O5" s="833" t="s">
        <v>59</v>
      </c>
      <c r="P5" s="833" t="s">
        <v>60</v>
      </c>
      <c r="Q5" s="833"/>
      <c r="U5" s="831">
        <v>2018</v>
      </c>
      <c r="V5" s="831">
        <v>2017</v>
      </c>
    </row>
    <row r="6" spans="1:22" ht="11.25" customHeight="1">
      <c r="A6" s="132"/>
      <c r="B6" s="159"/>
      <c r="C6" s="159"/>
      <c r="D6" s="159"/>
      <c r="E6" s="159"/>
      <c r="F6" s="159"/>
      <c r="G6" s="159"/>
      <c r="H6" s="159"/>
      <c r="I6" s="159"/>
      <c r="J6" s="159"/>
      <c r="K6" s="159"/>
      <c r="L6" s="837" t="s">
        <v>552</v>
      </c>
      <c r="M6" s="838" t="s">
        <v>62</v>
      </c>
      <c r="N6" s="839">
        <v>20</v>
      </c>
      <c r="O6" s="838">
        <v>14.75827662</v>
      </c>
      <c r="P6" s="838">
        <v>0.9918196653225807</v>
      </c>
      <c r="Q6" s="838"/>
      <c r="S6" s="831" t="s">
        <v>62</v>
      </c>
      <c r="T6" s="831" t="s">
        <v>66</v>
      </c>
      <c r="U6" s="840">
        <v>0.98007712960266458</v>
      </c>
      <c r="V6" s="840">
        <v>0.96614675100000003</v>
      </c>
    </row>
    <row r="7" spans="1:22" ht="11.25" customHeight="1">
      <c r="A7" s="157"/>
      <c r="B7" s="159"/>
      <c r="C7" s="159"/>
      <c r="D7" s="159"/>
      <c r="E7" s="159"/>
      <c r="F7" s="159"/>
      <c r="G7" s="159"/>
      <c r="H7" s="159"/>
      <c r="I7" s="159"/>
      <c r="J7" s="159"/>
      <c r="K7" s="159"/>
      <c r="L7" s="837" t="s">
        <v>65</v>
      </c>
      <c r="M7" s="838" t="s">
        <v>62</v>
      </c>
      <c r="N7" s="839">
        <v>19.1995</v>
      </c>
      <c r="O7" s="838">
        <v>13.8014255775</v>
      </c>
      <c r="P7" s="838">
        <v>0.96618678588320095</v>
      </c>
      <c r="Q7" s="838"/>
      <c r="T7" s="831" t="s">
        <v>76</v>
      </c>
      <c r="U7" s="840">
        <v>0.97930848541650806</v>
      </c>
      <c r="V7" s="840">
        <v>0.82316459399999997</v>
      </c>
    </row>
    <row r="8" spans="1:22" ht="11.25" customHeight="1">
      <c r="A8" s="157"/>
      <c r="B8" s="159"/>
      <c r="C8" s="159"/>
      <c r="D8" s="159"/>
      <c r="E8" s="159"/>
      <c r="F8" s="159"/>
      <c r="G8" s="159"/>
      <c r="H8" s="159"/>
      <c r="I8" s="159"/>
      <c r="J8" s="159"/>
      <c r="K8" s="159"/>
      <c r="L8" s="837" t="s">
        <v>61</v>
      </c>
      <c r="M8" s="838" t="s">
        <v>62</v>
      </c>
      <c r="N8" s="839">
        <v>19.966000000000001</v>
      </c>
      <c r="O8" s="838">
        <v>10.54332232</v>
      </c>
      <c r="P8" s="838">
        <v>0.70976320497533962</v>
      </c>
      <c r="Q8" s="838"/>
      <c r="T8" s="831" t="s">
        <v>63</v>
      </c>
      <c r="U8" s="840">
        <v>0.97806819039735104</v>
      </c>
      <c r="V8" s="840"/>
    </row>
    <row r="9" spans="1:22" ht="11.25" customHeight="1">
      <c r="A9" s="157"/>
      <c r="B9" s="159"/>
      <c r="C9" s="159"/>
      <c r="D9" s="159"/>
      <c r="E9" s="159"/>
      <c r="F9" s="159"/>
      <c r="G9" s="159"/>
      <c r="H9" s="159"/>
      <c r="I9" s="159"/>
      <c r="J9" s="159"/>
      <c r="K9" s="159"/>
      <c r="L9" s="837" t="s">
        <v>67</v>
      </c>
      <c r="M9" s="841" t="s">
        <v>62</v>
      </c>
      <c r="N9" s="839">
        <v>19.899999999999999</v>
      </c>
      <c r="O9" s="838">
        <v>9.9048579875000016</v>
      </c>
      <c r="P9" s="838">
        <v>0.668994028441941</v>
      </c>
      <c r="Q9" s="838"/>
      <c r="T9" s="831" t="s">
        <v>61</v>
      </c>
      <c r="U9" s="840">
        <v>0.93489288620124411</v>
      </c>
      <c r="V9" s="840">
        <v>0.98330200000000001</v>
      </c>
    </row>
    <row r="10" spans="1:22" ht="11.25" customHeight="1">
      <c r="A10" s="157"/>
      <c r="B10" s="159"/>
      <c r="C10" s="159"/>
      <c r="D10" s="159"/>
      <c r="E10" s="159"/>
      <c r="F10" s="159"/>
      <c r="G10" s="159"/>
      <c r="H10" s="159"/>
      <c r="I10" s="159"/>
      <c r="J10" s="159"/>
      <c r="K10" s="159"/>
      <c r="L10" s="837" t="s">
        <v>63</v>
      </c>
      <c r="M10" s="841" t="s">
        <v>62</v>
      </c>
      <c r="N10" s="839">
        <v>15</v>
      </c>
      <c r="O10" s="838">
        <v>9.218965217500001</v>
      </c>
      <c r="P10" s="838">
        <v>0.82607215210573481</v>
      </c>
      <c r="Q10" s="838"/>
      <c r="T10" s="831" t="s">
        <v>552</v>
      </c>
      <c r="U10" s="840">
        <v>0.90424522089041093</v>
      </c>
      <c r="V10" s="840"/>
    </row>
    <row r="11" spans="1:22" ht="11.25" customHeight="1">
      <c r="A11" s="157"/>
      <c r="B11" s="159"/>
      <c r="C11" s="159"/>
      <c r="D11" s="159"/>
      <c r="E11" s="159"/>
      <c r="F11" s="159"/>
      <c r="G11" s="159"/>
      <c r="H11" s="159"/>
      <c r="I11" s="159"/>
      <c r="J11" s="159"/>
      <c r="K11" s="159"/>
      <c r="L11" s="837" t="s">
        <v>64</v>
      </c>
      <c r="M11" s="841" t="s">
        <v>62</v>
      </c>
      <c r="N11" s="839">
        <v>19.966999999999999</v>
      </c>
      <c r="O11" s="838">
        <v>7.5101144599999996</v>
      </c>
      <c r="P11" s="838">
        <v>0.50554614441785939</v>
      </c>
      <c r="Q11" s="838"/>
      <c r="T11" s="831" t="s">
        <v>65</v>
      </c>
      <c r="U11" s="840">
        <v>0.89032695423796626</v>
      </c>
      <c r="V11" s="840">
        <v>0.92885366400000002</v>
      </c>
    </row>
    <row r="12" spans="1:22" ht="11.25" customHeight="1">
      <c r="A12" s="157"/>
      <c r="B12" s="159"/>
      <c r="C12" s="159"/>
      <c r="D12" s="159"/>
      <c r="E12" s="159"/>
      <c r="F12" s="159"/>
      <c r="G12" s="159"/>
      <c r="H12" s="159"/>
      <c r="I12" s="159"/>
      <c r="J12" s="159"/>
      <c r="K12" s="159"/>
      <c r="L12" s="837" t="s">
        <v>66</v>
      </c>
      <c r="M12" s="838" t="s">
        <v>62</v>
      </c>
      <c r="N12" s="839">
        <v>9.9830000000000005</v>
      </c>
      <c r="O12" s="838">
        <v>7.2497682824999998</v>
      </c>
      <c r="P12" s="838">
        <v>0.97609057474319239</v>
      </c>
      <c r="Q12" s="838"/>
      <c r="T12" s="831" t="s">
        <v>77</v>
      </c>
      <c r="U12" s="840">
        <v>0.85676018045147528</v>
      </c>
      <c r="V12" s="840">
        <v>0.57480404399999996</v>
      </c>
    </row>
    <row r="13" spans="1:22" ht="11.25" customHeight="1">
      <c r="A13" s="157"/>
      <c r="B13" s="159"/>
      <c r="C13" s="159"/>
      <c r="D13" s="159"/>
      <c r="E13" s="159"/>
      <c r="F13" s="159"/>
      <c r="G13" s="159"/>
      <c r="H13" s="159"/>
      <c r="I13" s="159"/>
      <c r="J13" s="159"/>
      <c r="K13" s="159"/>
      <c r="L13" s="837" t="s">
        <v>73</v>
      </c>
      <c r="M13" s="838" t="s">
        <v>62</v>
      </c>
      <c r="N13" s="839">
        <v>9.5660000000000007</v>
      </c>
      <c r="O13" s="838">
        <v>6.2237118575000006</v>
      </c>
      <c r="P13" s="838">
        <v>0.87447251824618555</v>
      </c>
      <c r="Q13" s="838"/>
      <c r="T13" s="831" t="s">
        <v>68</v>
      </c>
      <c r="U13" s="840">
        <v>0.85545361321650537</v>
      </c>
      <c r="V13" s="840">
        <v>0.79912525099999998</v>
      </c>
    </row>
    <row r="14" spans="1:22" ht="11.25" customHeight="1">
      <c r="A14" s="157"/>
      <c r="B14" s="159"/>
      <c r="C14" s="159"/>
      <c r="D14" s="159"/>
      <c r="E14" s="159"/>
      <c r="F14" s="159"/>
      <c r="G14" s="159"/>
      <c r="H14" s="159"/>
      <c r="I14" s="159"/>
      <c r="J14" s="159"/>
      <c r="K14" s="159"/>
      <c r="L14" s="837" t="s">
        <v>68</v>
      </c>
      <c r="M14" s="838" t="s">
        <v>62</v>
      </c>
      <c r="N14" s="839">
        <v>10.222</v>
      </c>
      <c r="O14" s="838">
        <v>4.5059907375000003</v>
      </c>
      <c r="P14" s="838">
        <v>0.59249062446746747</v>
      </c>
      <c r="Q14" s="838"/>
      <c r="T14" s="831" t="s">
        <v>74</v>
      </c>
      <c r="U14" s="840">
        <v>0.85099416185197319</v>
      </c>
      <c r="V14" s="840">
        <v>0.52137159600000005</v>
      </c>
    </row>
    <row r="15" spans="1:22" ht="11.25" customHeight="1">
      <c r="A15" s="157"/>
      <c r="B15" s="159"/>
      <c r="C15" s="159"/>
      <c r="D15" s="159"/>
      <c r="E15" s="159"/>
      <c r="F15" s="159"/>
      <c r="G15" s="159"/>
      <c r="H15" s="159"/>
      <c r="I15" s="159"/>
      <c r="J15" s="159"/>
      <c r="K15" s="159"/>
      <c r="L15" s="837" t="s">
        <v>69</v>
      </c>
      <c r="M15" s="838" t="s">
        <v>62</v>
      </c>
      <c r="N15" s="839">
        <v>9.85</v>
      </c>
      <c r="O15" s="838">
        <v>4.1425631025000005</v>
      </c>
      <c r="P15" s="838">
        <v>0.56527524459636491</v>
      </c>
      <c r="Q15" s="838"/>
      <c r="T15" s="831" t="s">
        <v>69</v>
      </c>
      <c r="U15" s="840">
        <v>0.85070605474221506</v>
      </c>
      <c r="V15" s="840">
        <v>0.81130372299999998</v>
      </c>
    </row>
    <row r="16" spans="1:22" ht="11.25" customHeight="1">
      <c r="A16" s="157"/>
      <c r="B16" s="159"/>
      <c r="C16" s="159"/>
      <c r="D16" s="159"/>
      <c r="E16" s="159"/>
      <c r="F16" s="159"/>
      <c r="G16" s="159"/>
      <c r="H16" s="159"/>
      <c r="I16" s="159"/>
      <c r="J16" s="159"/>
      <c r="K16" s="159"/>
      <c r="L16" s="837" t="s">
        <v>70</v>
      </c>
      <c r="M16" s="838" t="s">
        <v>62</v>
      </c>
      <c r="N16" s="839">
        <v>7.7450000000000001</v>
      </c>
      <c r="O16" s="838">
        <v>4.0501942975</v>
      </c>
      <c r="P16" s="838">
        <v>0.70288050867017926</v>
      </c>
      <c r="Q16" s="838"/>
      <c r="T16" s="831" t="s">
        <v>70</v>
      </c>
      <c r="U16" s="840">
        <v>0.80402375811782001</v>
      </c>
      <c r="V16" s="840">
        <v>0.66109470599999998</v>
      </c>
    </row>
    <row r="17" spans="1:22" ht="11.25" customHeight="1">
      <c r="A17" s="157"/>
      <c r="B17" s="159"/>
      <c r="C17" s="159"/>
      <c r="D17" s="159"/>
      <c r="E17" s="159"/>
      <c r="F17" s="159"/>
      <c r="G17" s="159"/>
      <c r="H17" s="159"/>
      <c r="I17" s="159"/>
      <c r="J17" s="159"/>
      <c r="K17" s="159"/>
      <c r="L17" s="837" t="s">
        <v>75</v>
      </c>
      <c r="M17" s="838" t="s">
        <v>62</v>
      </c>
      <c r="N17" s="839">
        <v>5.67</v>
      </c>
      <c r="O17" s="838">
        <v>3.5728747724999996</v>
      </c>
      <c r="P17" s="838">
        <v>0.84695785508050303</v>
      </c>
      <c r="Q17" s="838"/>
      <c r="T17" s="831" t="s">
        <v>67</v>
      </c>
      <c r="U17" s="840">
        <v>0.77924806690738468</v>
      </c>
      <c r="V17" s="840">
        <v>0.59281574599999998</v>
      </c>
    </row>
    <row r="18" spans="1:22">
      <c r="A18" s="157"/>
      <c r="B18" s="159"/>
      <c r="C18" s="159"/>
      <c r="D18" s="159"/>
      <c r="E18" s="159"/>
      <c r="F18" s="159"/>
      <c r="G18" s="159"/>
      <c r="H18" s="159"/>
      <c r="I18" s="159"/>
      <c r="J18" s="159"/>
      <c r="K18" s="159"/>
      <c r="L18" s="837" t="s">
        <v>74</v>
      </c>
      <c r="M18" s="838" t="s">
        <v>62</v>
      </c>
      <c r="N18" s="839">
        <v>5.1890000000000001</v>
      </c>
      <c r="O18" s="838">
        <v>2.8651935000000002</v>
      </c>
      <c r="P18" s="838">
        <v>0.74215967089189916</v>
      </c>
      <c r="Q18" s="838"/>
      <c r="T18" s="831" t="s">
        <v>75</v>
      </c>
      <c r="U18" s="840">
        <v>0.76726065440177382</v>
      </c>
      <c r="V18" s="840">
        <v>0.85628158200000004</v>
      </c>
    </row>
    <row r="19" spans="1:22">
      <c r="A19" s="157"/>
      <c r="B19" s="159"/>
      <c r="C19" s="159"/>
      <c r="D19" s="159"/>
      <c r="E19" s="159"/>
      <c r="F19" s="159"/>
      <c r="G19" s="159"/>
      <c r="H19" s="159"/>
      <c r="I19" s="159"/>
      <c r="J19" s="159"/>
      <c r="K19" s="159"/>
      <c r="L19" s="837" t="s">
        <v>71</v>
      </c>
      <c r="M19" s="838" t="s">
        <v>62</v>
      </c>
      <c r="N19" s="839">
        <v>7.4240000000000004</v>
      </c>
      <c r="O19" s="838">
        <v>2.6761774650000003</v>
      </c>
      <c r="P19" s="838">
        <v>0.48451141187691188</v>
      </c>
      <c r="Q19" s="838"/>
      <c r="T19" s="831" t="s">
        <v>64</v>
      </c>
      <c r="U19" s="840">
        <v>0.76625626188426132</v>
      </c>
      <c r="V19" s="840">
        <v>0.83844597600000004</v>
      </c>
    </row>
    <row r="20" spans="1:22">
      <c r="A20" s="157"/>
      <c r="B20" s="159"/>
      <c r="C20" s="159"/>
      <c r="D20" s="159"/>
      <c r="E20" s="159"/>
      <c r="F20" s="159"/>
      <c r="G20" s="159"/>
      <c r="H20" s="159"/>
      <c r="I20" s="159"/>
      <c r="J20" s="159"/>
      <c r="K20" s="159"/>
      <c r="L20" s="837" t="s">
        <v>77</v>
      </c>
      <c r="M20" s="838" t="s">
        <v>62</v>
      </c>
      <c r="N20" s="839">
        <v>3.91621</v>
      </c>
      <c r="O20" s="838">
        <v>2.6515391350000002</v>
      </c>
      <c r="P20" s="838">
        <v>0.91003717543950835</v>
      </c>
      <c r="Q20" s="838"/>
      <c r="T20" s="831" t="s">
        <v>73</v>
      </c>
      <c r="U20" s="840">
        <v>0.76458122319655386</v>
      </c>
      <c r="V20" s="840">
        <v>0.30729080399999997</v>
      </c>
    </row>
    <row r="21" spans="1:22">
      <c r="A21" s="157"/>
      <c r="B21" s="159"/>
      <c r="C21" s="159"/>
      <c r="D21" s="159"/>
      <c r="E21" s="159"/>
      <c r="F21" s="159"/>
      <c r="G21" s="159"/>
      <c r="H21" s="159"/>
      <c r="I21" s="159"/>
      <c r="J21" s="159"/>
      <c r="K21" s="159"/>
      <c r="L21" s="837" t="s">
        <v>72</v>
      </c>
      <c r="M21" s="838" t="s">
        <v>62</v>
      </c>
      <c r="N21" s="839">
        <v>6.9580000000000002</v>
      </c>
      <c r="O21" s="838">
        <v>2.3125861825</v>
      </c>
      <c r="P21" s="838">
        <v>0.44672531782476732</v>
      </c>
      <c r="Q21" s="838"/>
      <c r="T21" s="831" t="s">
        <v>71</v>
      </c>
      <c r="U21" s="840">
        <v>0.75521893078708979</v>
      </c>
      <c r="V21" s="840">
        <v>0.79502259200000003</v>
      </c>
    </row>
    <row r="22" spans="1:22">
      <c r="A22" s="157"/>
      <c r="B22" s="159"/>
      <c r="C22" s="159"/>
      <c r="D22" s="159"/>
      <c r="E22" s="159"/>
      <c r="F22" s="159"/>
      <c r="G22" s="159"/>
      <c r="H22" s="159"/>
      <c r="I22" s="159"/>
      <c r="J22" s="159"/>
      <c r="K22" s="159"/>
      <c r="L22" s="837" t="s">
        <v>76</v>
      </c>
      <c r="M22" s="838" t="s">
        <v>62</v>
      </c>
      <c r="N22" s="839">
        <v>3.48</v>
      </c>
      <c r="O22" s="838">
        <v>2.2675752500000002</v>
      </c>
      <c r="P22" s="838">
        <v>0.87580925179211488</v>
      </c>
      <c r="Q22" s="838"/>
      <c r="T22" s="831" t="s">
        <v>72</v>
      </c>
      <c r="U22" s="840">
        <v>0.73919901048517522</v>
      </c>
      <c r="V22" s="840">
        <v>0.815503749</v>
      </c>
    </row>
    <row r="23" spans="1:22">
      <c r="A23" s="157"/>
      <c r="B23" s="159"/>
      <c r="C23" s="159"/>
      <c r="D23" s="159"/>
      <c r="E23" s="159"/>
      <c r="F23" s="159"/>
      <c r="G23" s="159"/>
      <c r="H23" s="159"/>
      <c r="I23" s="159"/>
      <c r="J23" s="159"/>
      <c r="K23" s="159"/>
      <c r="L23" s="837" t="s">
        <v>78</v>
      </c>
      <c r="M23" s="838" t="s">
        <v>62</v>
      </c>
      <c r="N23" s="839">
        <v>3.964</v>
      </c>
      <c r="O23" s="838">
        <v>1.5354000000000001</v>
      </c>
      <c r="P23" s="838">
        <v>0.52061293577683021</v>
      </c>
      <c r="Q23" s="838"/>
      <c r="T23" s="831" t="s">
        <v>78</v>
      </c>
      <c r="U23" s="840">
        <v>0.64629680368348241</v>
      </c>
      <c r="V23" s="840">
        <v>0.70921126800000001</v>
      </c>
    </row>
    <row r="24" spans="1:22">
      <c r="A24" s="157"/>
      <c r="B24" s="159"/>
      <c r="C24" s="159"/>
      <c r="D24" s="159"/>
      <c r="E24" s="159"/>
      <c r="F24" s="159"/>
      <c r="G24" s="159"/>
      <c r="H24" s="159"/>
      <c r="I24" s="159"/>
      <c r="J24" s="159"/>
      <c r="K24" s="159"/>
      <c r="L24" s="837" t="s">
        <v>79</v>
      </c>
      <c r="M24" s="838" t="s">
        <v>62</v>
      </c>
      <c r="N24" s="839">
        <v>1.714</v>
      </c>
      <c r="O24" s="838">
        <v>0.2310738725</v>
      </c>
      <c r="P24" s="838">
        <v>0.18120371176334049</v>
      </c>
      <c r="Q24" s="838"/>
      <c r="T24" s="831" t="s">
        <v>79</v>
      </c>
      <c r="U24" s="840">
        <v>0.19645088670499541</v>
      </c>
      <c r="V24" s="840">
        <v>7.2484125999999996E-2</v>
      </c>
    </row>
    <row r="25" spans="1:22">
      <c r="A25" s="157"/>
      <c r="B25" s="159"/>
      <c r="C25" s="159"/>
      <c r="D25" s="159"/>
      <c r="E25" s="159"/>
      <c r="F25" s="159"/>
      <c r="G25" s="159"/>
      <c r="H25" s="159"/>
      <c r="I25" s="159"/>
      <c r="J25" s="159"/>
      <c r="K25" s="159"/>
      <c r="L25" s="837" t="s">
        <v>80</v>
      </c>
      <c r="M25" s="838" t="s">
        <v>245</v>
      </c>
      <c r="N25" s="839">
        <v>97.15</v>
      </c>
      <c r="O25" s="838">
        <v>42.716160025000001</v>
      </c>
      <c r="P25" s="838">
        <v>0.59098500856396541</v>
      </c>
      <c r="Q25" s="838"/>
      <c r="S25" s="831" t="s">
        <v>81</v>
      </c>
      <c r="T25" s="831" t="s">
        <v>80</v>
      </c>
      <c r="U25" s="840">
        <v>0.5486698884971124</v>
      </c>
      <c r="V25" s="840">
        <v>0.53568882200000001</v>
      </c>
    </row>
    <row r="26" spans="1:22">
      <c r="A26" s="157"/>
      <c r="B26" s="159"/>
      <c r="C26" s="159"/>
      <c r="D26" s="159"/>
      <c r="E26" s="159"/>
      <c r="F26" s="159"/>
      <c r="G26" s="159"/>
      <c r="H26" s="159"/>
      <c r="I26" s="159"/>
      <c r="J26" s="159"/>
      <c r="K26" s="159"/>
      <c r="L26" s="837" t="s">
        <v>82</v>
      </c>
      <c r="M26" s="838" t="s">
        <v>245</v>
      </c>
      <c r="N26" s="839">
        <v>83.15</v>
      </c>
      <c r="O26" s="838">
        <v>30.7505925675</v>
      </c>
      <c r="P26" s="838">
        <v>0.4970708553575931</v>
      </c>
      <c r="Q26" s="838"/>
      <c r="T26" s="831" t="s">
        <v>83</v>
      </c>
      <c r="U26" s="840">
        <v>0.50887765941897767</v>
      </c>
      <c r="V26" s="840">
        <v>0.55288335799999999</v>
      </c>
    </row>
    <row r="27" spans="1:22">
      <c r="A27" s="157"/>
      <c r="B27" s="159"/>
      <c r="C27" s="159"/>
      <c r="D27" s="159"/>
      <c r="E27" s="159"/>
      <c r="F27" s="159"/>
      <c r="G27" s="159"/>
      <c r="H27" s="159"/>
      <c r="I27" s="159"/>
      <c r="J27" s="159"/>
      <c r="K27" s="159"/>
      <c r="L27" s="837" t="s">
        <v>590</v>
      </c>
      <c r="M27" s="838" t="s">
        <v>245</v>
      </c>
      <c r="N27" s="839">
        <v>132.30000000000001</v>
      </c>
      <c r="O27" s="838">
        <v>18.600999999999999</v>
      </c>
      <c r="P27" s="838">
        <v>0.45063181967943866</v>
      </c>
      <c r="Q27" s="838"/>
      <c r="T27" s="831" t="s">
        <v>590</v>
      </c>
      <c r="U27" s="840">
        <v>0.45063181967943866</v>
      </c>
      <c r="V27" s="840"/>
    </row>
    <row r="28" spans="1:22">
      <c r="A28" s="157"/>
      <c r="B28" s="159"/>
      <c r="C28" s="159"/>
      <c r="D28" s="159"/>
      <c r="E28" s="159"/>
      <c r="F28" s="159"/>
      <c r="G28" s="159"/>
      <c r="H28" s="159"/>
      <c r="I28" s="159"/>
      <c r="J28" s="159"/>
      <c r="K28" s="159"/>
      <c r="L28" s="837" t="s">
        <v>83</v>
      </c>
      <c r="M28" s="838" t="s">
        <v>245</v>
      </c>
      <c r="N28" s="839">
        <v>32</v>
      </c>
      <c r="O28" s="838">
        <v>12.871576702500001</v>
      </c>
      <c r="P28" s="838">
        <v>0.54064082251764112</v>
      </c>
      <c r="Q28" s="838"/>
      <c r="T28" s="831" t="s">
        <v>82</v>
      </c>
      <c r="U28" s="840">
        <v>0.40873318797214797</v>
      </c>
      <c r="V28" s="840">
        <v>0.30554624200000002</v>
      </c>
    </row>
    <row r="29" spans="1:22">
      <c r="A29" s="157"/>
      <c r="B29" s="159"/>
      <c r="C29" s="159"/>
      <c r="D29" s="159"/>
      <c r="E29" s="159"/>
      <c r="F29" s="159"/>
      <c r="G29" s="159"/>
      <c r="H29" s="159"/>
      <c r="I29" s="159"/>
      <c r="J29" s="159"/>
      <c r="K29" s="159"/>
      <c r="L29" s="837" t="s">
        <v>84</v>
      </c>
      <c r="M29" s="838" t="s">
        <v>245</v>
      </c>
      <c r="N29" s="839">
        <v>30.86</v>
      </c>
      <c r="O29" s="838">
        <v>12.526517465000001</v>
      </c>
      <c r="P29" s="838">
        <v>0.54558383094133067</v>
      </c>
      <c r="Q29" s="838"/>
      <c r="T29" s="831" t="s">
        <v>84</v>
      </c>
      <c r="U29" s="840">
        <v>0.35234092366777109</v>
      </c>
      <c r="V29" s="840">
        <v>0.269793424</v>
      </c>
    </row>
    <row r="30" spans="1:22">
      <c r="A30" s="157"/>
      <c r="B30" s="159"/>
      <c r="C30" s="159"/>
      <c r="D30" s="159"/>
      <c r="E30" s="159"/>
      <c r="F30" s="159"/>
      <c r="G30" s="159"/>
      <c r="H30" s="159"/>
      <c r="I30" s="159"/>
      <c r="J30" s="159"/>
      <c r="K30" s="159"/>
      <c r="L30" s="837" t="s">
        <v>87</v>
      </c>
      <c r="M30" s="838" t="s">
        <v>85</v>
      </c>
      <c r="N30" s="839">
        <v>144.47999999999999</v>
      </c>
      <c r="O30" s="838">
        <v>32.421255314999996</v>
      </c>
      <c r="P30" s="838">
        <v>0.30161237588973139</v>
      </c>
      <c r="Q30" s="838"/>
      <c r="S30" s="831" t="s">
        <v>85</v>
      </c>
      <c r="T30" s="831" t="s">
        <v>86</v>
      </c>
      <c r="U30" s="840">
        <v>0.33155513063948672</v>
      </c>
      <c r="V30" s="840">
        <v>0.30288449000000001</v>
      </c>
    </row>
    <row r="31" spans="1:22">
      <c r="A31" s="157"/>
      <c r="B31" s="159"/>
      <c r="C31" s="159"/>
      <c r="D31" s="159"/>
      <c r="E31" s="159"/>
      <c r="F31" s="159"/>
      <c r="G31" s="159"/>
      <c r="H31" s="159"/>
      <c r="I31" s="159"/>
      <c r="J31" s="159"/>
      <c r="K31" s="159"/>
      <c r="L31" s="837" t="s">
        <v>553</v>
      </c>
      <c r="M31" s="838" t="s">
        <v>85</v>
      </c>
      <c r="N31" s="839">
        <v>44.54</v>
      </c>
      <c r="O31" s="838">
        <v>7.4507127075000001</v>
      </c>
      <c r="P31" s="838">
        <v>0.22484056579261844</v>
      </c>
      <c r="Q31" s="838"/>
      <c r="T31" s="831" t="s">
        <v>266</v>
      </c>
      <c r="U31" s="840">
        <v>0.29587426817742829</v>
      </c>
      <c r="V31" s="840">
        <v>0.27163977700000003</v>
      </c>
    </row>
    <row r="32" spans="1:22">
      <c r="A32" s="157"/>
      <c r="B32" s="159"/>
      <c r="C32" s="159"/>
      <c r="D32" s="159"/>
      <c r="E32" s="159"/>
      <c r="F32" s="159"/>
      <c r="G32" s="159"/>
      <c r="H32" s="159"/>
      <c r="I32" s="159"/>
      <c r="J32" s="159"/>
      <c r="K32" s="159"/>
      <c r="L32" s="837" t="s">
        <v>727</v>
      </c>
      <c r="M32" s="838" t="s">
        <v>85</v>
      </c>
      <c r="N32" s="839">
        <v>20</v>
      </c>
      <c r="O32" s="838">
        <v>3.8631219999999997</v>
      </c>
      <c r="P32" s="838">
        <v>0.25961841397849461</v>
      </c>
      <c r="Q32" s="838"/>
      <c r="T32" s="831" t="s">
        <v>267</v>
      </c>
      <c r="U32" s="840">
        <v>0.28981453111203093</v>
      </c>
      <c r="V32" s="840">
        <v>0.262951504</v>
      </c>
    </row>
    <row r="33" spans="1:22">
      <c r="A33" s="157"/>
      <c r="B33" s="159"/>
      <c r="C33" s="159"/>
      <c r="D33" s="159"/>
      <c r="E33" s="159"/>
      <c r="F33" s="159"/>
      <c r="G33" s="159"/>
      <c r="H33" s="159"/>
      <c r="I33" s="159"/>
      <c r="J33" s="159"/>
      <c r="K33" s="159"/>
      <c r="L33" s="837" t="s">
        <v>268</v>
      </c>
      <c r="M33" s="838" t="s">
        <v>85</v>
      </c>
      <c r="N33" s="839">
        <v>20</v>
      </c>
      <c r="O33" s="838">
        <v>3.6082463974999999</v>
      </c>
      <c r="P33" s="838">
        <v>0.2424896772513441</v>
      </c>
      <c r="Q33" s="838"/>
      <c r="T33" s="831" t="s">
        <v>268</v>
      </c>
      <c r="U33" s="840">
        <v>0.24601294870998894</v>
      </c>
      <c r="V33" s="840">
        <v>0.24022839200000001</v>
      </c>
    </row>
    <row r="34" spans="1:22">
      <c r="B34" s="159"/>
      <c r="C34" s="159"/>
      <c r="D34" s="159"/>
      <c r="E34" s="159"/>
      <c r="F34" s="159"/>
      <c r="G34" s="159"/>
      <c r="H34" s="159"/>
      <c r="I34" s="159"/>
      <c r="J34" s="159"/>
      <c r="K34" s="159"/>
      <c r="L34" s="837" t="s">
        <v>86</v>
      </c>
      <c r="M34" s="838" t="s">
        <v>85</v>
      </c>
      <c r="N34" s="839">
        <v>16</v>
      </c>
      <c r="O34" s="838">
        <v>3.5572601450000003</v>
      </c>
      <c r="P34" s="838">
        <v>0.29882897723454305</v>
      </c>
      <c r="Q34" s="838"/>
      <c r="T34" s="831" t="s">
        <v>87</v>
      </c>
      <c r="U34" s="840">
        <v>0.24264304957263358</v>
      </c>
      <c r="V34" s="840"/>
    </row>
    <row r="35" spans="1:22">
      <c r="A35" s="157"/>
      <c r="B35" s="159"/>
      <c r="C35" s="159"/>
      <c r="D35" s="159"/>
      <c r="E35" s="159"/>
      <c r="F35" s="159"/>
      <c r="G35" s="159"/>
      <c r="H35" s="159"/>
      <c r="I35" s="159"/>
      <c r="J35" s="159"/>
      <c r="K35" s="159"/>
      <c r="L35" s="837" t="s">
        <v>266</v>
      </c>
      <c r="M35" s="838" t="s">
        <v>85</v>
      </c>
      <c r="N35" s="839">
        <v>20</v>
      </c>
      <c r="O35" s="838">
        <v>3.5214876724999997</v>
      </c>
      <c r="P35" s="838">
        <v>0.23665911777553764</v>
      </c>
      <c r="Q35" s="838"/>
      <c r="T35" s="831" t="s">
        <v>553</v>
      </c>
      <c r="U35" s="840">
        <v>0.23998497861653895</v>
      </c>
      <c r="V35" s="840"/>
    </row>
    <row r="36" spans="1:22">
      <c r="A36" s="157"/>
      <c r="B36" s="159"/>
      <c r="C36" s="159"/>
      <c r="D36" s="159"/>
      <c r="E36" s="159"/>
      <c r="F36" s="159"/>
      <c r="G36" s="159"/>
      <c r="H36" s="159"/>
      <c r="I36" s="159"/>
      <c r="J36" s="159"/>
      <c r="K36" s="159"/>
      <c r="L36" s="837" t="s">
        <v>88</v>
      </c>
      <c r="M36" s="838" t="s">
        <v>85</v>
      </c>
      <c r="N36" s="839">
        <v>20</v>
      </c>
      <c r="O36" s="838">
        <v>3.4831360849999999</v>
      </c>
      <c r="P36" s="838">
        <v>0.23408172614247313</v>
      </c>
      <c r="Q36" s="838"/>
      <c r="T36" s="831" t="s">
        <v>88</v>
      </c>
      <c r="U36" s="840">
        <v>0.21195075086230683</v>
      </c>
      <c r="V36" s="840">
        <v>0.21649563699999999</v>
      </c>
    </row>
    <row r="37" spans="1:22">
      <c r="A37" s="157"/>
      <c r="B37" s="159"/>
      <c r="C37" s="159"/>
      <c r="D37" s="159"/>
      <c r="E37" s="159"/>
      <c r="F37" s="159"/>
      <c r="G37" s="159"/>
      <c r="H37" s="159"/>
      <c r="I37" s="159"/>
      <c r="J37" s="159"/>
      <c r="K37" s="159"/>
      <c r="L37" s="837" t="s">
        <v>89</v>
      </c>
      <c r="M37" s="838" t="s">
        <v>533</v>
      </c>
      <c r="N37" s="839">
        <v>12.74105</v>
      </c>
      <c r="O37" s="838">
        <v>7.3377402875</v>
      </c>
      <c r="P37" s="838">
        <v>0.77407703053245946</v>
      </c>
      <c r="Q37" s="838"/>
      <c r="S37" s="831" t="s">
        <v>269</v>
      </c>
      <c r="T37" s="831" t="s">
        <v>90</v>
      </c>
      <c r="U37" s="840">
        <v>0.92003167106873052</v>
      </c>
      <c r="V37" s="840">
        <v>0.85507883100000004</v>
      </c>
    </row>
    <row r="38" spans="1:22" ht="11.25" customHeight="1">
      <c r="A38" s="157"/>
      <c r="B38" s="159"/>
      <c r="C38" s="159"/>
      <c r="D38" s="159"/>
      <c r="E38" s="159"/>
      <c r="F38" s="159"/>
      <c r="G38" s="159"/>
      <c r="H38" s="159"/>
      <c r="I38" s="159"/>
      <c r="J38" s="159"/>
      <c r="K38" s="159"/>
      <c r="L38" s="842" t="s">
        <v>90</v>
      </c>
      <c r="M38" s="842" t="s">
        <v>533</v>
      </c>
      <c r="N38" s="839">
        <v>4.2625000000000002</v>
      </c>
      <c r="O38" s="838">
        <v>2.9920498000000002</v>
      </c>
      <c r="P38" s="838">
        <v>0.94347737520890484</v>
      </c>
      <c r="Q38" s="842"/>
      <c r="T38" s="831" t="s">
        <v>89</v>
      </c>
      <c r="U38" s="840">
        <v>0.76524233697249788</v>
      </c>
      <c r="V38" s="840">
        <v>0.68150381000000004</v>
      </c>
    </row>
    <row r="39" spans="1:22">
      <c r="A39" s="157"/>
      <c r="B39" s="159"/>
      <c r="C39" s="159"/>
      <c r="D39" s="159"/>
      <c r="E39" s="159"/>
      <c r="F39" s="159"/>
      <c r="G39" s="159"/>
      <c r="H39" s="159"/>
      <c r="I39" s="159"/>
      <c r="J39" s="159"/>
      <c r="K39" s="159"/>
      <c r="L39" s="830" t="s">
        <v>91</v>
      </c>
      <c r="M39" s="830" t="s">
        <v>533</v>
      </c>
      <c r="N39" s="839">
        <v>2.9537</v>
      </c>
      <c r="O39" s="838">
        <v>0.40036079999999996</v>
      </c>
      <c r="P39" s="838">
        <v>0.18218483760663226</v>
      </c>
      <c r="T39" s="831" t="s">
        <v>91</v>
      </c>
      <c r="U39" s="840">
        <v>0.54623239622343689</v>
      </c>
      <c r="V39" s="840">
        <v>0.32250567699999999</v>
      </c>
    </row>
    <row r="40" spans="1:22">
      <c r="A40" s="157"/>
      <c r="B40" s="159"/>
      <c r="C40" s="159"/>
      <c r="D40" s="159"/>
      <c r="E40" s="159"/>
      <c r="F40" s="159"/>
      <c r="G40" s="159"/>
      <c r="H40" s="159"/>
      <c r="I40" s="159"/>
      <c r="J40" s="159"/>
      <c r="K40" s="159"/>
      <c r="N40" s="839"/>
      <c r="O40" s="838"/>
      <c r="P40" s="838"/>
    </row>
    <row r="41" spans="1:22">
      <c r="A41" s="157"/>
      <c r="B41" s="159"/>
      <c r="C41" s="159"/>
      <c r="D41" s="159"/>
      <c r="E41" s="159"/>
      <c r="F41" s="159"/>
      <c r="G41" s="159"/>
      <c r="H41" s="159"/>
      <c r="I41" s="159"/>
      <c r="J41" s="159"/>
      <c r="K41" s="159"/>
    </row>
    <row r="42" spans="1:22">
      <c r="A42" s="157"/>
      <c r="B42" s="159"/>
      <c r="C42" s="159"/>
      <c r="D42" s="159"/>
      <c r="E42" s="159"/>
      <c r="F42" s="159"/>
      <c r="G42" s="159"/>
      <c r="H42" s="159"/>
      <c r="I42" s="159"/>
      <c r="J42" s="159"/>
      <c r="K42" s="159"/>
    </row>
    <row r="43" spans="1:22" ht="26.25" customHeight="1">
      <c r="A43" s="904"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mayo 2018</v>
      </c>
      <c r="B43" s="904"/>
      <c r="C43" s="904"/>
      <c r="D43" s="904"/>
      <c r="E43" s="904"/>
      <c r="F43" s="904"/>
      <c r="G43" s="904"/>
      <c r="H43" s="904"/>
      <c r="I43" s="904"/>
      <c r="J43" s="904"/>
      <c r="K43" s="904"/>
    </row>
    <row r="44" spans="1:22">
      <c r="A44" s="157"/>
      <c r="B44" s="159"/>
      <c r="C44" s="159"/>
      <c r="D44" s="159"/>
      <c r="E44" s="159"/>
      <c r="F44" s="159"/>
      <c r="G44" s="159"/>
      <c r="H44" s="159"/>
      <c r="I44" s="159"/>
      <c r="J44" s="159"/>
      <c r="K44" s="159"/>
    </row>
    <row r="45" spans="1:22" ht="12">
      <c r="A45" s="157"/>
      <c r="B45" s="159"/>
      <c r="C45" s="908" t="str">
        <f>"Factor de planta de las centrales RER  Acumulado al "&amp;'1. Resumen'!Q7&amp;" de "&amp;'1. Resumen'!Q4</f>
        <v>Factor de planta de las centrales RER  Acumulado al 31 de mayo</v>
      </c>
      <c r="D45" s="908"/>
      <c r="E45" s="908"/>
      <c r="F45" s="908"/>
      <c r="G45" s="908"/>
      <c r="H45" s="908"/>
      <c r="I45" s="908"/>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41" t="str">
        <f>"Gráfico N° 9: factor de planta de las centrales con recursos energético renovables en el SEIN en "&amp;'1. Resumen'!Q4</f>
        <v>Gráfico N° 9: factor de planta de las centrales con recursos energético renovables en el SEIN en mayo</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Mayo 2018
INFSGI-MES-05-2018
07/06/2018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Q26" sqref="Q26"/>
    </sheetView>
  </sheetViews>
  <sheetFormatPr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05" t="s">
        <v>271</v>
      </c>
      <c r="B2" s="905"/>
      <c r="C2" s="905"/>
      <c r="D2" s="905"/>
      <c r="E2" s="905"/>
      <c r="F2" s="905"/>
      <c r="G2" s="905"/>
      <c r="H2" s="905"/>
      <c r="I2" s="905"/>
      <c r="J2" s="84"/>
    </row>
    <row r="3" spans="1:14" ht="6" customHeight="1">
      <c r="A3" s="84"/>
      <c r="B3" s="84"/>
      <c r="C3" s="84"/>
      <c r="D3" s="84"/>
      <c r="E3" s="84"/>
      <c r="F3" s="84"/>
      <c r="G3" s="84"/>
      <c r="H3" s="84"/>
      <c r="I3" s="84"/>
      <c r="J3" s="84"/>
      <c r="K3" s="609"/>
      <c r="L3" s="609"/>
    </row>
    <row r="4" spans="1:14" ht="11.25" customHeight="1">
      <c r="A4" s="911" t="s">
        <v>285</v>
      </c>
      <c r="B4" s="912" t="str">
        <f>+'1. Resumen'!Q4</f>
        <v>mayo</v>
      </c>
      <c r="C4" s="913"/>
      <c r="D4" s="913"/>
      <c r="E4" s="159"/>
      <c r="F4" s="159"/>
      <c r="G4" s="914" t="s">
        <v>286</v>
      </c>
      <c r="H4" s="914"/>
      <c r="I4" s="914"/>
      <c r="J4" s="159"/>
      <c r="K4" s="160"/>
      <c r="L4" s="610"/>
      <c r="M4" s="611">
        <v>2018</v>
      </c>
      <c r="N4" s="611">
        <v>2017</v>
      </c>
    </row>
    <row r="5" spans="1:14" ht="11.25" customHeight="1">
      <c r="A5" s="911"/>
      <c r="B5" s="177">
        <f>+'1. Resumen'!Q5</f>
        <v>2018</v>
      </c>
      <c r="C5" s="178">
        <f>+B5-1</f>
        <v>2017</v>
      </c>
      <c r="D5" s="178" t="s">
        <v>35</v>
      </c>
      <c r="E5" s="159"/>
      <c r="F5" s="159"/>
      <c r="G5" s="159"/>
      <c r="H5" s="159"/>
      <c r="I5" s="159"/>
      <c r="J5" s="159"/>
      <c r="K5" s="612"/>
      <c r="L5" s="617" t="s">
        <v>130</v>
      </c>
      <c r="M5" s="614"/>
      <c r="N5" s="614">
        <v>0</v>
      </c>
    </row>
    <row r="6" spans="1:14" ht="10.5" customHeight="1">
      <c r="A6" s="722" t="s">
        <v>706</v>
      </c>
      <c r="B6" s="824">
        <v>636.27779925999994</v>
      </c>
      <c r="C6" s="825">
        <v>335.50121864750002</v>
      </c>
      <c r="D6" s="723">
        <f>IF(C6=0,"",B6/C6-1)</f>
        <v>0.89649921936204913</v>
      </c>
      <c r="E6" s="159"/>
      <c r="F6" s="159"/>
      <c r="G6" s="159"/>
      <c r="H6" s="159"/>
      <c r="I6" s="159"/>
      <c r="J6" s="159"/>
      <c r="K6" s="615"/>
      <c r="L6" s="617" t="s">
        <v>124</v>
      </c>
      <c r="M6" s="614"/>
      <c r="N6" s="614">
        <v>1.62042814</v>
      </c>
    </row>
    <row r="7" spans="1:14" ht="10.5" customHeight="1">
      <c r="A7" s="724" t="s">
        <v>95</v>
      </c>
      <c r="B7" s="826">
        <v>614.79351137750007</v>
      </c>
      <c r="C7" s="826">
        <v>616.07459507999988</v>
      </c>
      <c r="D7" s="725">
        <f t="shared" ref="D7:D59" si="0">IF(C7=0,"",B7/C7-1)</f>
        <v>-2.0794295248183214E-3</v>
      </c>
      <c r="E7" s="789"/>
      <c r="F7" s="159"/>
      <c r="G7" s="159"/>
      <c r="H7" s="159"/>
      <c r="I7" s="159"/>
      <c r="J7" s="159"/>
      <c r="K7" s="160"/>
      <c r="L7" s="614" t="s">
        <v>132</v>
      </c>
      <c r="M7" s="614"/>
      <c r="N7" s="614">
        <v>234.00852416499998</v>
      </c>
    </row>
    <row r="8" spans="1:14" ht="10.5" customHeight="1">
      <c r="A8" s="722" t="s">
        <v>94</v>
      </c>
      <c r="B8" s="825">
        <v>581.84097473500015</v>
      </c>
      <c r="C8" s="825">
        <v>322.74453757750007</v>
      </c>
      <c r="D8" s="723">
        <f t="shared" si="0"/>
        <v>0.80279108393982868</v>
      </c>
      <c r="E8" s="159"/>
      <c r="F8" s="159"/>
      <c r="G8" s="159"/>
      <c r="H8" s="159"/>
      <c r="I8" s="159"/>
      <c r="J8" s="159"/>
      <c r="K8" s="160"/>
      <c r="L8" s="617" t="s">
        <v>131</v>
      </c>
      <c r="M8" s="614"/>
      <c r="N8" s="614">
        <v>8.8477391549999993</v>
      </c>
    </row>
    <row r="9" spans="1:14" ht="10.5" customHeight="1">
      <c r="A9" s="724" t="s">
        <v>276</v>
      </c>
      <c r="B9" s="826">
        <v>365.87847030749998</v>
      </c>
      <c r="C9" s="826">
        <v>375.04549577249998</v>
      </c>
      <c r="D9" s="725">
        <f t="shared" si="0"/>
        <v>-2.4442435833333276E-2</v>
      </c>
      <c r="E9" s="159"/>
      <c r="F9" s="159"/>
      <c r="G9" s="159"/>
      <c r="H9" s="159"/>
      <c r="I9" s="159"/>
      <c r="J9" s="159"/>
      <c r="K9" s="160"/>
      <c r="L9" s="617" t="s">
        <v>129</v>
      </c>
      <c r="M9" s="614">
        <v>0</v>
      </c>
      <c r="N9" s="614">
        <v>0</v>
      </c>
    </row>
    <row r="10" spans="1:14" ht="10.5" customHeight="1">
      <c r="A10" s="722" t="s">
        <v>93</v>
      </c>
      <c r="B10" s="825">
        <v>253.21686998000001</v>
      </c>
      <c r="C10" s="825">
        <v>517.70348521749997</v>
      </c>
      <c r="D10" s="723">
        <f t="shared" si="0"/>
        <v>-0.51088436294065631</v>
      </c>
      <c r="E10" s="159"/>
      <c r="F10" s="159"/>
      <c r="G10" s="159"/>
      <c r="H10" s="159"/>
      <c r="I10" s="159"/>
      <c r="J10" s="159"/>
      <c r="K10" s="612"/>
      <c r="L10" s="614" t="s">
        <v>272</v>
      </c>
      <c r="M10" s="614">
        <v>1E-8</v>
      </c>
      <c r="N10" s="614">
        <v>0</v>
      </c>
    </row>
    <row r="11" spans="1:14" ht="10.5" customHeight="1">
      <c r="A11" s="724" t="s">
        <v>96</v>
      </c>
      <c r="B11" s="826">
        <v>226.23906360749999</v>
      </c>
      <c r="C11" s="826">
        <v>247.43830002249999</v>
      </c>
      <c r="D11" s="725">
        <f t="shared" si="0"/>
        <v>-8.5674838588336244E-2</v>
      </c>
      <c r="E11" s="159"/>
      <c r="F11" s="159"/>
      <c r="G11" s="159"/>
      <c r="H11" s="159"/>
      <c r="I11" s="159"/>
      <c r="J11" s="159"/>
      <c r="K11" s="615"/>
      <c r="L11" s="614" t="s">
        <v>125</v>
      </c>
      <c r="M11" s="614">
        <v>2.7471275E-3</v>
      </c>
      <c r="N11" s="614">
        <v>3.7777474999999999E-3</v>
      </c>
    </row>
    <row r="12" spans="1:14" ht="10.5" customHeight="1">
      <c r="A12" s="722" t="s">
        <v>273</v>
      </c>
      <c r="B12" s="825">
        <v>212.73477862999999</v>
      </c>
      <c r="C12" s="825">
        <v>233.06585940999997</v>
      </c>
      <c r="D12" s="723">
        <f t="shared" si="0"/>
        <v>-8.7233200227041285E-2</v>
      </c>
      <c r="E12" s="159"/>
      <c r="F12" s="159"/>
      <c r="G12" s="159"/>
      <c r="H12" s="159"/>
      <c r="I12" s="159"/>
      <c r="J12" s="159"/>
      <c r="K12" s="615"/>
      <c r="L12" s="614" t="s">
        <v>282</v>
      </c>
      <c r="M12" s="614">
        <v>2.6530172500000001E-2</v>
      </c>
      <c r="N12" s="614">
        <v>0.59042009250000005</v>
      </c>
    </row>
    <row r="13" spans="1:14" ht="10.5" customHeight="1">
      <c r="A13" s="724" t="s">
        <v>279</v>
      </c>
      <c r="B13" s="826">
        <v>212.35128443249999</v>
      </c>
      <c r="C13" s="826">
        <v>246.55346736249999</v>
      </c>
      <c r="D13" s="726">
        <f t="shared" si="0"/>
        <v>-0.13872115973819821</v>
      </c>
      <c r="E13" s="159"/>
      <c r="F13" s="159"/>
      <c r="G13" s="159"/>
      <c r="H13" s="159"/>
      <c r="I13" s="159"/>
      <c r="J13" s="159"/>
      <c r="K13" s="615"/>
      <c r="L13" s="617" t="s">
        <v>127</v>
      </c>
      <c r="M13" s="614">
        <v>5.2523294999999998E-2</v>
      </c>
      <c r="N13" s="614">
        <v>7.2440685000000005E-2</v>
      </c>
    </row>
    <row r="14" spans="1:14" ht="10.5" customHeight="1">
      <c r="A14" s="722" t="s">
        <v>106</v>
      </c>
      <c r="B14" s="825">
        <v>177.3917408275</v>
      </c>
      <c r="C14" s="825">
        <v>0</v>
      </c>
      <c r="D14" s="723" t="str">
        <f t="shared" si="0"/>
        <v/>
      </c>
      <c r="E14" s="159"/>
      <c r="F14" s="159"/>
      <c r="G14" s="159"/>
      <c r="H14" s="159"/>
      <c r="I14" s="159"/>
      <c r="J14" s="159"/>
      <c r="K14" s="615"/>
      <c r="L14" s="617" t="s">
        <v>126</v>
      </c>
      <c r="M14" s="614">
        <v>0.2310738725</v>
      </c>
      <c r="N14" s="614">
        <v>0.25850818750000004</v>
      </c>
    </row>
    <row r="15" spans="1:14" ht="10.5" customHeight="1">
      <c r="A15" s="724" t="s">
        <v>98</v>
      </c>
      <c r="B15" s="826">
        <v>117.0364459725</v>
      </c>
      <c r="C15" s="826">
        <v>122.95982417249999</v>
      </c>
      <c r="D15" s="725">
        <f t="shared" si="0"/>
        <v>-4.8173281312521188E-2</v>
      </c>
      <c r="E15" s="159"/>
      <c r="F15" s="159"/>
      <c r="G15" s="159"/>
      <c r="H15" s="159"/>
      <c r="I15" s="159"/>
      <c r="J15" s="159"/>
      <c r="K15" s="615"/>
      <c r="L15" s="620" t="s">
        <v>283</v>
      </c>
      <c r="M15" s="614">
        <v>0.34930804999999998</v>
      </c>
      <c r="N15" s="614">
        <v>54.127143522499999</v>
      </c>
    </row>
    <row r="16" spans="1:14" ht="10.5" customHeight="1">
      <c r="A16" s="722" t="s">
        <v>100</v>
      </c>
      <c r="B16" s="825">
        <v>114.04350436499999</v>
      </c>
      <c r="C16" s="825">
        <v>139.90827781249999</v>
      </c>
      <c r="D16" s="723">
        <f t="shared" si="0"/>
        <v>-0.18486950058925777</v>
      </c>
      <c r="E16" s="159"/>
      <c r="F16" s="159"/>
      <c r="G16" s="159"/>
      <c r="H16" s="159"/>
      <c r="I16" s="159"/>
      <c r="J16" s="159" t="s">
        <v>8</v>
      </c>
      <c r="K16" s="615"/>
      <c r="L16" s="614" t="s">
        <v>122</v>
      </c>
      <c r="M16" s="614">
        <v>1.5354000000000001</v>
      </c>
      <c r="N16" s="614">
        <v>2.0818999950000001</v>
      </c>
    </row>
    <row r="17" spans="1:14" ht="10.5" customHeight="1">
      <c r="A17" s="724" t="s">
        <v>99</v>
      </c>
      <c r="B17" s="826">
        <v>108.2222032725</v>
      </c>
      <c r="C17" s="826">
        <v>116.690326895</v>
      </c>
      <c r="D17" s="725">
        <f t="shared" si="0"/>
        <v>-7.2569199588580879E-2</v>
      </c>
      <c r="E17" s="159"/>
      <c r="F17" s="159"/>
      <c r="G17" s="159"/>
      <c r="H17" s="159"/>
      <c r="I17" s="159"/>
      <c r="J17" s="159"/>
      <c r="K17" s="615"/>
      <c r="L17" s="614" t="s">
        <v>123</v>
      </c>
      <c r="M17" s="614">
        <v>2.2675752500000002</v>
      </c>
      <c r="N17" s="614">
        <v>2.4977619999999998</v>
      </c>
    </row>
    <row r="18" spans="1:14" ht="10.5" customHeight="1">
      <c r="A18" s="722" t="s">
        <v>104</v>
      </c>
      <c r="B18" s="825">
        <v>76.858575804999987</v>
      </c>
      <c r="C18" s="825"/>
      <c r="D18" s="723" t="str">
        <f t="shared" si="0"/>
        <v/>
      </c>
      <c r="E18" s="159"/>
      <c r="F18" s="159"/>
      <c r="G18" s="159"/>
      <c r="H18" s="159"/>
      <c r="I18" s="159"/>
      <c r="J18" s="159"/>
      <c r="K18" s="619"/>
      <c r="L18" s="614" t="s">
        <v>121</v>
      </c>
      <c r="M18" s="614">
        <v>2.6515391350000002</v>
      </c>
      <c r="N18" s="614">
        <v>2.2100353400000001</v>
      </c>
    </row>
    <row r="19" spans="1:14" ht="10.5" customHeight="1">
      <c r="A19" s="724" t="s">
        <v>97</v>
      </c>
      <c r="B19" s="826">
        <v>73.820185887500003</v>
      </c>
      <c r="C19" s="826">
        <v>122.51024681500003</v>
      </c>
      <c r="D19" s="725">
        <f t="shared" si="0"/>
        <v>-0.39743664055322481</v>
      </c>
      <c r="E19" s="159"/>
      <c r="F19" s="159"/>
      <c r="G19" s="159"/>
      <c r="H19" s="159"/>
      <c r="I19" s="159"/>
      <c r="J19" s="159"/>
      <c r="K19" s="615"/>
      <c r="L19" s="616" t="s">
        <v>120</v>
      </c>
      <c r="M19" s="614">
        <v>2.8651935000000002</v>
      </c>
      <c r="N19" s="614">
        <v>1.09345</v>
      </c>
    </row>
    <row r="20" spans="1:14" ht="10.5" customHeight="1">
      <c r="A20" s="722" t="s">
        <v>101</v>
      </c>
      <c r="B20" s="825">
        <v>67.251595014999992</v>
      </c>
      <c r="C20" s="825">
        <v>79.522805975000011</v>
      </c>
      <c r="D20" s="723">
        <f t="shared" si="0"/>
        <v>-0.15431058813314236</v>
      </c>
      <c r="E20" s="159"/>
      <c r="F20" s="159"/>
      <c r="G20" s="159"/>
      <c r="H20" s="159"/>
      <c r="I20" s="159"/>
      <c r="J20" s="159"/>
      <c r="K20" s="615"/>
      <c r="L20" s="614" t="s">
        <v>281</v>
      </c>
      <c r="M20" s="614">
        <v>3.3924106000000003</v>
      </c>
      <c r="N20" s="614">
        <v>2.5898964000000002</v>
      </c>
    </row>
    <row r="21" spans="1:14" ht="10.5" customHeight="1">
      <c r="A21" s="724" t="s">
        <v>750</v>
      </c>
      <c r="B21" s="826">
        <v>62.6268260525</v>
      </c>
      <c r="C21" s="826">
        <v>66.298669865000008</v>
      </c>
      <c r="D21" s="725">
        <f t="shared" si="0"/>
        <v>-5.5383370736950877E-2</v>
      </c>
      <c r="E21" s="159"/>
      <c r="F21" s="159"/>
      <c r="G21" s="159"/>
      <c r="H21" s="159"/>
      <c r="I21" s="159"/>
      <c r="J21" s="159"/>
      <c r="K21" s="615"/>
      <c r="L21" s="616" t="s">
        <v>118</v>
      </c>
      <c r="M21" s="614">
        <v>3.4831360849999999</v>
      </c>
      <c r="N21" s="614">
        <v>3.2463343550000001</v>
      </c>
    </row>
    <row r="22" spans="1:14" ht="10.5" customHeight="1">
      <c r="A22" s="722" t="s">
        <v>102</v>
      </c>
      <c r="B22" s="825">
        <v>46.920593807499998</v>
      </c>
      <c r="C22" s="825">
        <v>27.259782739999999</v>
      </c>
      <c r="D22" s="723">
        <f t="shared" si="0"/>
        <v>0.72123872941402611</v>
      </c>
      <c r="E22" s="159"/>
      <c r="F22" s="159"/>
      <c r="G22" s="159"/>
      <c r="H22" s="159"/>
      <c r="I22" s="159"/>
      <c r="J22" s="159"/>
      <c r="K22" s="619"/>
      <c r="L22" s="614" t="s">
        <v>115</v>
      </c>
      <c r="M22" s="614">
        <v>3.5214876724999997</v>
      </c>
      <c r="N22" s="614">
        <v>3.003263885</v>
      </c>
    </row>
    <row r="23" spans="1:14" ht="10.5" customHeight="1">
      <c r="A23" s="724" t="s">
        <v>103</v>
      </c>
      <c r="B23" s="826">
        <v>43.277110032500005</v>
      </c>
      <c r="C23" s="826">
        <v>42.662588487500003</v>
      </c>
      <c r="D23" s="725">
        <f t="shared" si="0"/>
        <v>1.4404225500289414E-2</v>
      </c>
      <c r="E23" s="159"/>
      <c r="F23" s="159"/>
      <c r="G23" s="159"/>
      <c r="H23" s="159"/>
      <c r="I23" s="159"/>
      <c r="J23" s="159"/>
      <c r="K23" s="615"/>
      <c r="L23" s="617" t="s">
        <v>116</v>
      </c>
      <c r="M23" s="614">
        <v>3.5572601450000003</v>
      </c>
      <c r="N23" s="614">
        <v>3.0476685149999998</v>
      </c>
    </row>
    <row r="24" spans="1:14" ht="10.5" customHeight="1">
      <c r="A24" s="722" t="s">
        <v>105</v>
      </c>
      <c r="B24" s="825">
        <v>42.716160025000001</v>
      </c>
      <c r="C24" s="825">
        <v>37.884904249999998</v>
      </c>
      <c r="D24" s="723">
        <f t="shared" si="0"/>
        <v>0.12752456078861552</v>
      </c>
      <c r="E24" s="159"/>
      <c r="F24" s="159"/>
      <c r="G24" s="159"/>
      <c r="H24" s="159"/>
      <c r="I24" s="159"/>
      <c r="J24" s="159"/>
      <c r="K24" s="615"/>
      <c r="L24" s="617" t="s">
        <v>117</v>
      </c>
      <c r="M24" s="614">
        <v>3.6082463974999999</v>
      </c>
      <c r="N24" s="614">
        <v>3.3449545650000001</v>
      </c>
    </row>
    <row r="25" spans="1:14" ht="10.5" customHeight="1">
      <c r="A25" s="724" t="s">
        <v>274</v>
      </c>
      <c r="B25" s="826">
        <v>25.676009059999998</v>
      </c>
      <c r="C25" s="826">
        <v>35.2151333025</v>
      </c>
      <c r="D25" s="725">
        <f t="shared" si="0"/>
        <v>-0.27088138955938013</v>
      </c>
      <c r="E25" s="159"/>
      <c r="F25" s="159"/>
      <c r="G25" s="159"/>
      <c r="H25" s="159"/>
      <c r="I25" s="159"/>
      <c r="J25" s="159"/>
      <c r="K25" s="615"/>
      <c r="L25" s="617" t="s">
        <v>113</v>
      </c>
      <c r="M25" s="614">
        <v>3.8631219999999997</v>
      </c>
      <c r="N25" s="614">
        <v>3.3325972499999996</v>
      </c>
    </row>
    <row r="26" spans="1:14" ht="10.5" customHeight="1">
      <c r="A26" s="722" t="s">
        <v>107</v>
      </c>
      <c r="B26" s="825">
        <v>23.716261362499999</v>
      </c>
      <c r="C26" s="825">
        <v>20.261445997500001</v>
      </c>
      <c r="D26" s="723">
        <f t="shared" si="0"/>
        <v>0.17051178703762204</v>
      </c>
      <c r="E26" s="159"/>
      <c r="F26" s="159"/>
      <c r="G26" s="159"/>
      <c r="H26" s="159"/>
      <c r="I26" s="159"/>
      <c r="J26" s="159"/>
      <c r="K26" s="615"/>
      <c r="L26" s="614" t="s">
        <v>114</v>
      </c>
      <c r="M26" s="614">
        <v>4.0501942975</v>
      </c>
      <c r="N26" s="614">
        <v>4.2582604374999997</v>
      </c>
    </row>
    <row r="27" spans="1:14" ht="10.5" customHeight="1">
      <c r="A27" s="724" t="s">
        <v>111</v>
      </c>
      <c r="B27" s="826">
        <v>22.659243487500003</v>
      </c>
      <c r="C27" s="826">
        <v>1.5478182950000001</v>
      </c>
      <c r="D27" s="725">
        <f t="shared" si="0"/>
        <v>13.639472579370178</v>
      </c>
      <c r="E27" s="159"/>
      <c r="F27" s="159"/>
      <c r="G27" s="159"/>
      <c r="H27" s="159"/>
      <c r="I27" s="159"/>
      <c r="J27" s="159"/>
      <c r="K27" s="615"/>
      <c r="L27" s="617" t="s">
        <v>119</v>
      </c>
      <c r="M27" s="614">
        <v>6.2237118575000006</v>
      </c>
      <c r="N27" s="614">
        <v>6.3659965349999998</v>
      </c>
    </row>
    <row r="28" spans="1:14" ht="10.5" customHeight="1">
      <c r="A28" s="727" t="s">
        <v>108</v>
      </c>
      <c r="B28" s="825">
        <v>19.745196917500003</v>
      </c>
      <c r="C28" s="825">
        <v>20.432122830000001</v>
      </c>
      <c r="D28" s="723">
        <f t="shared" si="0"/>
        <v>-3.3619899323011126E-2</v>
      </c>
      <c r="E28" s="159"/>
      <c r="F28" s="159"/>
      <c r="G28" s="159"/>
      <c r="H28" s="159"/>
      <c r="I28" s="159"/>
      <c r="J28" s="159"/>
      <c r="K28" s="615"/>
      <c r="L28" s="617" t="s">
        <v>109</v>
      </c>
      <c r="M28" s="614">
        <v>6.9608739999999996</v>
      </c>
      <c r="N28" s="614">
        <v>14.223989</v>
      </c>
    </row>
    <row r="29" spans="1:14" ht="10.5" customHeight="1">
      <c r="A29" s="728" t="s">
        <v>275</v>
      </c>
      <c r="B29" s="826">
        <v>18.053436779999998</v>
      </c>
      <c r="C29" s="826">
        <v>25.057124729999998</v>
      </c>
      <c r="D29" s="725">
        <f t="shared" si="0"/>
        <v>-0.27950884331172821</v>
      </c>
      <c r="E29" s="159"/>
      <c r="F29" s="159"/>
      <c r="G29" s="159"/>
      <c r="H29" s="159"/>
      <c r="I29" s="159"/>
      <c r="J29" s="159"/>
      <c r="K29" s="615"/>
      <c r="L29" s="617" t="s">
        <v>112</v>
      </c>
      <c r="M29" s="614">
        <v>7.3377402875</v>
      </c>
      <c r="N29" s="614">
        <v>8.8779760400000001</v>
      </c>
    </row>
    <row r="30" spans="1:14" ht="10.5" customHeight="1">
      <c r="A30" s="729" t="s">
        <v>532</v>
      </c>
      <c r="B30" s="825">
        <v>14.75827662</v>
      </c>
      <c r="C30" s="825"/>
      <c r="D30" s="723" t="str">
        <f t="shared" si="0"/>
        <v/>
      </c>
      <c r="E30" s="159"/>
      <c r="F30" s="159"/>
      <c r="G30" s="159"/>
      <c r="H30" s="159"/>
      <c r="I30" s="159"/>
      <c r="J30" s="159"/>
      <c r="K30" s="615"/>
      <c r="L30" s="614" t="s">
        <v>277</v>
      </c>
      <c r="M30" s="614">
        <v>9.218965217500001</v>
      </c>
      <c r="N30" s="614"/>
    </row>
    <row r="31" spans="1:14" ht="10.5" customHeight="1">
      <c r="A31" s="728" t="s">
        <v>749</v>
      </c>
      <c r="B31" s="826">
        <v>14.455994127499999</v>
      </c>
      <c r="C31" s="826">
        <v>1.3879197499999999E-2</v>
      </c>
      <c r="D31" s="725">
        <f t="shared" si="0"/>
        <v>1040.5583557694888</v>
      </c>
      <c r="E31" s="159"/>
      <c r="F31" s="159"/>
      <c r="G31" s="159"/>
      <c r="H31" s="159"/>
      <c r="I31" s="159"/>
      <c r="J31" s="159"/>
      <c r="K31" s="615"/>
      <c r="L31" s="614" t="s">
        <v>128</v>
      </c>
      <c r="M31" s="614">
        <v>9.9048579875000016</v>
      </c>
      <c r="N31" s="614">
        <v>9.312650402500001</v>
      </c>
    </row>
    <row r="32" spans="1:14" ht="10.5" customHeight="1">
      <c r="A32" s="729" t="s">
        <v>110</v>
      </c>
      <c r="B32" s="825">
        <v>13.8014255775</v>
      </c>
      <c r="C32" s="825">
        <v>14.177150882500001</v>
      </c>
      <c r="D32" s="723">
        <f t="shared" si="0"/>
        <v>-2.6502172976362259E-2</v>
      </c>
      <c r="E32" s="159"/>
      <c r="F32" s="159"/>
      <c r="G32" s="159"/>
      <c r="H32" s="159"/>
      <c r="I32" s="159"/>
      <c r="J32" s="159"/>
      <c r="K32" s="615"/>
      <c r="L32" s="614" t="s">
        <v>280</v>
      </c>
      <c r="M32" s="614">
        <v>12.871576702500001</v>
      </c>
      <c r="N32" s="614">
        <v>12.4651390575</v>
      </c>
    </row>
    <row r="33" spans="1:14" ht="10.5" customHeight="1">
      <c r="A33" s="728" t="s">
        <v>284</v>
      </c>
      <c r="B33" s="826">
        <v>13.637317487500001</v>
      </c>
      <c r="C33" s="826">
        <v>16.055573667499999</v>
      </c>
      <c r="D33" s="725">
        <f t="shared" si="0"/>
        <v>-0.1506178620633829</v>
      </c>
      <c r="E33" s="159"/>
      <c r="F33" s="159"/>
      <c r="G33" s="159"/>
      <c r="H33" s="159"/>
      <c r="I33" s="159"/>
      <c r="J33" s="159"/>
      <c r="K33" s="615"/>
      <c r="L33" s="617" t="s">
        <v>284</v>
      </c>
      <c r="M33" s="614">
        <v>13.637317487500001</v>
      </c>
      <c r="N33" s="614">
        <v>16.055573667499999</v>
      </c>
    </row>
    <row r="34" spans="1:14" ht="10.5" customHeight="1">
      <c r="A34" s="729" t="s">
        <v>280</v>
      </c>
      <c r="B34" s="825">
        <v>12.871576702500001</v>
      </c>
      <c r="C34" s="825">
        <v>12.4651390575</v>
      </c>
      <c r="D34" s="723">
        <f>IF(C34=0,"",B34/C34-1)</f>
        <v>3.2605945519352808E-2</v>
      </c>
      <c r="E34" s="159"/>
      <c r="F34" s="159"/>
      <c r="G34" s="159"/>
      <c r="H34" s="159"/>
      <c r="I34" s="159"/>
      <c r="J34" s="159"/>
      <c r="K34" s="621"/>
      <c r="L34" s="617" t="s">
        <v>110</v>
      </c>
      <c r="M34" s="614">
        <v>13.8014255775</v>
      </c>
      <c r="N34" s="614">
        <v>14.177150882500001</v>
      </c>
    </row>
    <row r="35" spans="1:14" ht="10.5" customHeight="1">
      <c r="A35" s="728" t="s">
        <v>128</v>
      </c>
      <c r="B35" s="826">
        <v>9.9048579875000016</v>
      </c>
      <c r="C35" s="826">
        <v>9.312650402500001</v>
      </c>
      <c r="D35" s="725"/>
      <c r="E35" s="159"/>
      <c r="F35" s="159"/>
      <c r="G35" s="159"/>
      <c r="H35" s="159"/>
      <c r="I35" s="159"/>
      <c r="J35" s="159"/>
      <c r="K35" s="621"/>
      <c r="L35" s="617" t="s">
        <v>592</v>
      </c>
      <c r="M35" s="614">
        <v>14.455994127499999</v>
      </c>
      <c r="N35" s="614">
        <v>1.3879197499999999E-2</v>
      </c>
    </row>
    <row r="36" spans="1:14" ht="10.5" customHeight="1">
      <c r="A36" s="729" t="s">
        <v>277</v>
      </c>
      <c r="B36" s="825">
        <v>9.218965217500001</v>
      </c>
      <c r="C36" s="825"/>
      <c r="D36" s="723" t="str">
        <f t="shared" si="0"/>
        <v/>
      </c>
      <c r="E36" s="159"/>
      <c r="F36" s="159"/>
      <c r="G36" s="159"/>
      <c r="H36" s="159"/>
      <c r="I36" s="159"/>
      <c r="J36" s="159"/>
      <c r="K36" s="619"/>
      <c r="L36" s="617" t="s">
        <v>532</v>
      </c>
      <c r="M36" s="614">
        <v>14.75827662</v>
      </c>
      <c r="N36" s="614"/>
    </row>
    <row r="37" spans="1:14" ht="10.5" customHeight="1">
      <c r="A37" s="728" t="s">
        <v>112</v>
      </c>
      <c r="B37" s="826">
        <v>7.3377402875</v>
      </c>
      <c r="C37" s="826">
        <v>8.8779760400000001</v>
      </c>
      <c r="D37" s="725">
        <f t="shared" si="0"/>
        <v>-0.17348951445244043</v>
      </c>
      <c r="E37" s="159"/>
      <c r="F37" s="159"/>
      <c r="G37" s="159"/>
      <c r="H37" s="159"/>
      <c r="I37" s="159"/>
      <c r="J37" s="159"/>
      <c r="K37" s="619"/>
      <c r="L37" s="620" t="s">
        <v>275</v>
      </c>
      <c r="M37" s="614">
        <v>18.053436779999998</v>
      </c>
      <c r="N37" s="614">
        <v>25.057124729999998</v>
      </c>
    </row>
    <row r="38" spans="1:14" ht="10.5" customHeight="1">
      <c r="A38" s="729" t="s">
        <v>109</v>
      </c>
      <c r="B38" s="825">
        <v>6.9608739999999996</v>
      </c>
      <c r="C38" s="825">
        <v>14.223989</v>
      </c>
      <c r="D38" s="723">
        <f t="shared" si="0"/>
        <v>-0.51062434033097182</v>
      </c>
      <c r="E38" s="159"/>
      <c r="F38" s="159"/>
      <c r="G38" s="159"/>
      <c r="H38" s="159"/>
      <c r="I38" s="159"/>
      <c r="J38" s="159"/>
      <c r="K38" s="619"/>
      <c r="L38" s="617" t="s">
        <v>108</v>
      </c>
      <c r="M38" s="614">
        <v>19.745196917500003</v>
      </c>
      <c r="N38" s="614">
        <v>20.432122830000001</v>
      </c>
    </row>
    <row r="39" spans="1:14" ht="10.5" customHeight="1">
      <c r="A39" s="728" t="s">
        <v>119</v>
      </c>
      <c r="B39" s="826">
        <v>6.2237118575000006</v>
      </c>
      <c r="C39" s="826">
        <v>6.3659965349999998</v>
      </c>
      <c r="D39" s="725">
        <f t="shared" si="0"/>
        <v>-2.2350731219805686E-2</v>
      </c>
      <c r="E39" s="159"/>
      <c r="F39" s="159"/>
      <c r="G39" s="159"/>
      <c r="H39" s="159"/>
      <c r="I39" s="159"/>
      <c r="J39" s="159"/>
      <c r="K39" s="621"/>
      <c r="L39" s="614" t="s">
        <v>111</v>
      </c>
      <c r="M39" s="614">
        <v>22.659243487500003</v>
      </c>
      <c r="N39" s="614">
        <v>1.5478182950000001</v>
      </c>
    </row>
    <row r="40" spans="1:14" ht="10.5" customHeight="1">
      <c r="A40" s="729" t="s">
        <v>114</v>
      </c>
      <c r="B40" s="825">
        <v>4.0501942975</v>
      </c>
      <c r="C40" s="825">
        <v>4.2582604374999997</v>
      </c>
      <c r="D40" s="723">
        <f t="shared" si="0"/>
        <v>-4.8861769507492658E-2</v>
      </c>
      <c r="E40" s="159"/>
      <c r="F40" s="159"/>
      <c r="G40" s="159"/>
      <c r="H40" s="159"/>
      <c r="I40" s="159"/>
      <c r="J40" s="159"/>
      <c r="K40" s="621"/>
      <c r="L40" s="617" t="s">
        <v>107</v>
      </c>
      <c r="M40" s="614">
        <v>23.716261362499999</v>
      </c>
      <c r="N40" s="614">
        <v>20.261445997500001</v>
      </c>
    </row>
    <row r="41" spans="1:14" ht="10.5" customHeight="1">
      <c r="A41" s="728" t="s">
        <v>113</v>
      </c>
      <c r="B41" s="826">
        <v>3.8631219999999997</v>
      </c>
      <c r="C41" s="826">
        <v>3.3325972499999996</v>
      </c>
      <c r="D41" s="725">
        <f t="shared" si="0"/>
        <v>0.15919257870119163</v>
      </c>
      <c r="E41" s="159"/>
      <c r="F41" s="159"/>
      <c r="G41" s="159"/>
      <c r="H41" s="159"/>
      <c r="I41" s="159"/>
      <c r="J41" s="159"/>
      <c r="K41" s="621"/>
      <c r="L41" s="614" t="s">
        <v>274</v>
      </c>
      <c r="M41" s="614">
        <v>25.676009059999998</v>
      </c>
      <c r="N41" s="614">
        <v>35.2151333025</v>
      </c>
    </row>
    <row r="42" spans="1:14" ht="10.5" customHeight="1">
      <c r="A42" s="729" t="s">
        <v>117</v>
      </c>
      <c r="B42" s="825">
        <v>3.6082463974999999</v>
      </c>
      <c r="C42" s="825">
        <v>3.3449545650000001</v>
      </c>
      <c r="D42" s="723">
        <f t="shared" si="0"/>
        <v>7.8713126705803216E-2</v>
      </c>
      <c r="E42" s="159"/>
      <c r="F42" s="159"/>
      <c r="G42" s="159"/>
      <c r="H42" s="159"/>
      <c r="I42" s="159"/>
      <c r="J42" s="159"/>
      <c r="K42" s="160"/>
      <c r="L42" s="617" t="s">
        <v>105</v>
      </c>
      <c r="M42" s="614">
        <v>42.716160025000001</v>
      </c>
      <c r="N42" s="614">
        <v>37.884904249999998</v>
      </c>
    </row>
    <row r="43" spans="1:14" ht="10.5" customHeight="1">
      <c r="A43" s="728" t="s">
        <v>116</v>
      </c>
      <c r="B43" s="826">
        <v>3.5572601450000003</v>
      </c>
      <c r="C43" s="826">
        <v>3.0476685149999998</v>
      </c>
      <c r="D43" s="725">
        <f t="shared" si="0"/>
        <v>0.16720703957530003</v>
      </c>
      <c r="E43" s="159"/>
      <c r="F43" s="159"/>
      <c r="G43" s="159"/>
      <c r="H43" s="159"/>
      <c r="I43" s="159"/>
      <c r="J43" s="159"/>
      <c r="L43" s="617" t="s">
        <v>103</v>
      </c>
      <c r="M43" s="614">
        <v>43.277110032500005</v>
      </c>
      <c r="N43" s="614">
        <v>42.662588487500003</v>
      </c>
    </row>
    <row r="44" spans="1:14" ht="10.5" customHeight="1">
      <c r="A44" s="729" t="s">
        <v>115</v>
      </c>
      <c r="B44" s="825">
        <v>3.5214876724999997</v>
      </c>
      <c r="C44" s="825">
        <v>3.003263885</v>
      </c>
      <c r="D44" s="723">
        <f t="shared" si="0"/>
        <v>0.17255353087296221</v>
      </c>
      <c r="E44" s="159"/>
      <c r="F44" s="159"/>
      <c r="G44" s="159"/>
      <c r="H44" s="159"/>
      <c r="I44" s="159"/>
      <c r="J44" s="159"/>
      <c r="L44" s="618" t="s">
        <v>102</v>
      </c>
      <c r="M44" s="614">
        <v>46.920593807499998</v>
      </c>
      <c r="N44" s="614">
        <v>27.259782739999999</v>
      </c>
    </row>
    <row r="45" spans="1:14" ht="10.5" customHeight="1">
      <c r="A45" s="728" t="s">
        <v>118</v>
      </c>
      <c r="B45" s="826">
        <v>3.4831360849999999</v>
      </c>
      <c r="C45" s="826">
        <v>3.2463343550000001</v>
      </c>
      <c r="D45" s="725"/>
      <c r="E45" s="159"/>
      <c r="F45" s="159"/>
      <c r="G45" s="159"/>
      <c r="H45" s="159"/>
      <c r="I45" s="159"/>
      <c r="J45" s="159"/>
      <c r="L45" s="617" t="s">
        <v>549</v>
      </c>
      <c r="M45" s="614">
        <v>62.6268260525</v>
      </c>
      <c r="N45" s="614">
        <v>66.298669865000008</v>
      </c>
    </row>
    <row r="46" spans="1:14" ht="10.5" customHeight="1">
      <c r="A46" s="729" t="s">
        <v>752</v>
      </c>
      <c r="B46" s="825">
        <v>3.3924106000000003</v>
      </c>
      <c r="C46" s="825">
        <v>2.5898964000000002</v>
      </c>
      <c r="D46" s="723">
        <f t="shared" si="0"/>
        <v>0.3098634370085227</v>
      </c>
      <c r="E46" s="159"/>
      <c r="F46" s="159"/>
      <c r="G46" s="159"/>
      <c r="H46" s="159"/>
      <c r="I46" s="159"/>
      <c r="J46" s="159"/>
      <c r="L46" s="617" t="s">
        <v>101</v>
      </c>
      <c r="M46" s="614">
        <v>67.251595014999992</v>
      </c>
      <c r="N46" s="614">
        <v>79.522805975000011</v>
      </c>
    </row>
    <row r="47" spans="1:14" ht="10.5" customHeight="1">
      <c r="A47" s="728" t="s">
        <v>120</v>
      </c>
      <c r="B47" s="826">
        <v>2.8651935000000002</v>
      </c>
      <c r="C47" s="826">
        <v>1.09345</v>
      </c>
      <c r="D47" s="725">
        <f t="shared" si="0"/>
        <v>1.6203242032100236</v>
      </c>
      <c r="E47" s="159"/>
      <c r="F47" s="159"/>
      <c r="G47" s="159"/>
      <c r="H47" s="159"/>
      <c r="I47" s="159"/>
      <c r="J47" s="159"/>
      <c r="L47" s="617" t="s">
        <v>97</v>
      </c>
      <c r="M47" s="614">
        <v>73.820185887500003</v>
      </c>
      <c r="N47" s="614">
        <v>122.51024681500003</v>
      </c>
    </row>
    <row r="48" spans="1:14" ht="10.5" customHeight="1">
      <c r="A48" s="729" t="s">
        <v>121</v>
      </c>
      <c r="B48" s="825">
        <v>2.6515391350000002</v>
      </c>
      <c r="C48" s="825">
        <v>2.2100353400000001</v>
      </c>
      <c r="D48" s="723">
        <f t="shared" si="0"/>
        <v>0.19977227830211985</v>
      </c>
      <c r="E48" s="159"/>
      <c r="F48" s="159"/>
      <c r="G48" s="159"/>
      <c r="H48" s="159"/>
      <c r="I48" s="159"/>
      <c r="J48" s="159"/>
      <c r="L48" s="614" t="s">
        <v>104</v>
      </c>
      <c r="M48" s="614">
        <v>76.858575804999987</v>
      </c>
      <c r="N48" s="614"/>
    </row>
    <row r="49" spans="1:14" ht="10.5" customHeight="1">
      <c r="A49" s="728" t="s">
        <v>123</v>
      </c>
      <c r="B49" s="826">
        <v>2.2675752500000002</v>
      </c>
      <c r="C49" s="826">
        <v>2.4977619999999998</v>
      </c>
      <c r="D49" s="725">
        <f t="shared" si="0"/>
        <v>-9.2157199124656253E-2</v>
      </c>
      <c r="E49" s="159"/>
      <c r="F49" s="159"/>
      <c r="G49" s="159"/>
      <c r="H49" s="159"/>
      <c r="I49" s="159"/>
      <c r="J49" s="159"/>
      <c r="L49" s="613" t="s">
        <v>99</v>
      </c>
      <c r="M49" s="614">
        <v>108.2222032725</v>
      </c>
      <c r="N49" s="614">
        <v>116.690326895</v>
      </c>
    </row>
    <row r="50" spans="1:14" ht="10.5" customHeight="1">
      <c r="A50" s="729" t="s">
        <v>122</v>
      </c>
      <c r="B50" s="825">
        <v>1.5354000000000001</v>
      </c>
      <c r="C50" s="825">
        <v>2.0818999950000001</v>
      </c>
      <c r="D50" s="723">
        <f t="shared" si="0"/>
        <v>-0.26250059864186703</v>
      </c>
      <c r="E50" s="159"/>
      <c r="F50" s="159"/>
      <c r="G50" s="159"/>
      <c r="H50" s="159"/>
      <c r="I50" s="159"/>
      <c r="J50" s="159"/>
      <c r="L50" s="617" t="s">
        <v>100</v>
      </c>
      <c r="M50" s="614">
        <v>114.04350436499999</v>
      </c>
      <c r="N50" s="614">
        <v>139.90827781249999</v>
      </c>
    </row>
    <row r="51" spans="1:14" ht="10.5" customHeight="1">
      <c r="A51" s="728" t="s">
        <v>283</v>
      </c>
      <c r="B51" s="826">
        <v>0.34930804999999998</v>
      </c>
      <c r="C51" s="826">
        <v>54.127143522499999</v>
      </c>
      <c r="D51" s="725">
        <f t="shared" si="0"/>
        <v>-0.99354652717162517</v>
      </c>
      <c r="E51" s="159"/>
      <c r="F51" s="159"/>
      <c r="G51" s="159"/>
      <c r="H51" s="159"/>
      <c r="I51" s="159"/>
      <c r="J51" s="159"/>
      <c r="L51" s="617" t="s">
        <v>98</v>
      </c>
      <c r="M51" s="614">
        <v>117.0364459725</v>
      </c>
      <c r="N51" s="614">
        <v>122.95982417249999</v>
      </c>
    </row>
    <row r="52" spans="1:14" ht="10.5" customHeight="1">
      <c r="A52" s="729" t="s">
        <v>126</v>
      </c>
      <c r="B52" s="825">
        <v>0.2310738725</v>
      </c>
      <c r="C52" s="825">
        <v>0.25850818750000004</v>
      </c>
      <c r="D52" s="723">
        <f t="shared" si="0"/>
        <v>-0.10612551681752846</v>
      </c>
      <c r="E52" s="159"/>
      <c r="F52" s="159"/>
      <c r="G52" s="159"/>
      <c r="H52" s="159"/>
      <c r="I52" s="159"/>
      <c r="J52" s="159"/>
      <c r="L52" s="617" t="s">
        <v>106</v>
      </c>
      <c r="M52" s="614">
        <v>177.3917408275</v>
      </c>
      <c r="N52" s="614">
        <v>0</v>
      </c>
    </row>
    <row r="53" spans="1:14" ht="10.5" customHeight="1">
      <c r="A53" s="728" t="s">
        <v>127</v>
      </c>
      <c r="B53" s="826">
        <v>5.2523294999999998E-2</v>
      </c>
      <c r="C53" s="826">
        <v>7.2440685000000005E-2</v>
      </c>
      <c r="D53" s="725">
        <f t="shared" si="0"/>
        <v>-0.27494756572221823</v>
      </c>
      <c r="E53" s="159"/>
      <c r="F53" s="159"/>
      <c r="G53" s="159"/>
      <c r="H53" s="159"/>
      <c r="I53" s="159"/>
      <c r="J53" s="159"/>
      <c r="L53" s="617" t="s">
        <v>279</v>
      </c>
      <c r="M53" s="614">
        <v>212.35128443249999</v>
      </c>
      <c r="N53" s="614">
        <v>246.55346736249999</v>
      </c>
    </row>
    <row r="54" spans="1:14" ht="10.5" customHeight="1">
      <c r="A54" s="729" t="s">
        <v>282</v>
      </c>
      <c r="B54" s="825">
        <v>2.6530172500000001E-2</v>
      </c>
      <c r="C54" s="825">
        <v>0.59042009250000005</v>
      </c>
      <c r="D54" s="723">
        <f t="shared" si="0"/>
        <v>-0.95506560017687747</v>
      </c>
      <c r="E54" s="159"/>
      <c r="F54" s="159"/>
      <c r="G54" s="159"/>
      <c r="H54" s="159"/>
      <c r="I54" s="159"/>
      <c r="J54" s="159"/>
      <c r="L54" s="617" t="s">
        <v>273</v>
      </c>
      <c r="M54" s="614">
        <v>212.73477862999999</v>
      </c>
      <c r="N54" s="614">
        <v>233.06585940999997</v>
      </c>
    </row>
    <row r="55" spans="1:14" ht="10.5" customHeight="1">
      <c r="A55" s="728" t="s">
        <v>125</v>
      </c>
      <c r="B55" s="826">
        <v>2.7471275E-3</v>
      </c>
      <c r="C55" s="826">
        <v>3.7777474999999999E-3</v>
      </c>
      <c r="D55" s="725">
        <f t="shared" si="0"/>
        <v>-0.27281336298945336</v>
      </c>
      <c r="E55" s="159"/>
      <c r="F55" s="159"/>
      <c r="G55" s="159"/>
      <c r="H55" s="159"/>
      <c r="I55" s="159"/>
      <c r="J55" s="159"/>
      <c r="L55" s="617" t="s">
        <v>96</v>
      </c>
      <c r="M55" s="614">
        <v>226.23906360749999</v>
      </c>
      <c r="N55" s="614">
        <v>247.43830002249999</v>
      </c>
    </row>
    <row r="56" spans="1:14" ht="10.5" customHeight="1">
      <c r="A56" s="729" t="s">
        <v>272</v>
      </c>
      <c r="B56" s="825">
        <v>1E-8</v>
      </c>
      <c r="C56" s="825">
        <v>0</v>
      </c>
      <c r="D56" s="723" t="str">
        <f>IF(C56=0,"",B56/C56-1)</f>
        <v/>
      </c>
      <c r="E56" s="159"/>
      <c r="F56" s="159"/>
      <c r="G56" s="159"/>
      <c r="H56" s="159"/>
      <c r="I56" s="159"/>
      <c r="J56" s="159"/>
      <c r="L56" s="614" t="s">
        <v>93</v>
      </c>
      <c r="M56" s="614">
        <v>253.21686998000001</v>
      </c>
      <c r="N56" s="614">
        <v>517.70348521749997</v>
      </c>
    </row>
    <row r="57" spans="1:14" ht="10.5" customHeight="1">
      <c r="A57" s="728" t="s">
        <v>129</v>
      </c>
      <c r="B57" s="826">
        <v>0</v>
      </c>
      <c r="C57" s="826">
        <v>0</v>
      </c>
      <c r="D57" s="725" t="str">
        <f t="shared" si="0"/>
        <v/>
      </c>
      <c r="E57" s="159"/>
      <c r="F57" s="159"/>
      <c r="G57" s="159"/>
      <c r="H57" s="159"/>
      <c r="I57" s="159"/>
      <c r="J57" s="159"/>
      <c r="L57" s="617" t="s">
        <v>276</v>
      </c>
      <c r="M57" s="614">
        <v>365.87847030749998</v>
      </c>
      <c r="N57" s="614">
        <v>375.04549577249998</v>
      </c>
    </row>
    <row r="58" spans="1:14" ht="10.5" customHeight="1">
      <c r="A58" s="729" t="s">
        <v>131</v>
      </c>
      <c r="B58" s="825"/>
      <c r="C58" s="825">
        <v>8.8477391549999993</v>
      </c>
      <c r="D58" s="723">
        <f t="shared" si="0"/>
        <v>-1</v>
      </c>
      <c r="E58" s="159"/>
      <c r="F58" s="159"/>
      <c r="G58" s="159"/>
      <c r="H58" s="159"/>
      <c r="I58" s="159"/>
      <c r="J58" s="159"/>
      <c r="L58" s="617" t="s">
        <v>94</v>
      </c>
      <c r="M58" s="614">
        <v>581.84097473500015</v>
      </c>
      <c r="N58" s="614">
        <v>322.74453757750007</v>
      </c>
    </row>
    <row r="59" spans="1:14" ht="10.5" customHeight="1">
      <c r="A59" s="728" t="s">
        <v>707</v>
      </c>
      <c r="B59" s="826"/>
      <c r="C59" s="826">
        <v>234.00852416499998</v>
      </c>
      <c r="D59" s="725">
        <f t="shared" si="0"/>
        <v>-1</v>
      </c>
      <c r="E59" s="159"/>
      <c r="F59" s="159"/>
      <c r="G59" s="159"/>
      <c r="H59" s="159"/>
      <c r="I59" s="159"/>
      <c r="J59" s="159"/>
      <c r="L59" s="614" t="s">
        <v>95</v>
      </c>
      <c r="M59" s="614">
        <v>614.79351137750007</v>
      </c>
      <c r="N59" s="614">
        <v>616.07459507999988</v>
      </c>
    </row>
    <row r="60" spans="1:14" ht="10.5" customHeight="1">
      <c r="A60" s="729" t="s">
        <v>751</v>
      </c>
      <c r="B60" s="827"/>
      <c r="C60" s="827">
        <v>1.62042814</v>
      </c>
      <c r="D60" s="730">
        <f>IF(C60=0,"",B60/C60-1)</f>
        <v>-1</v>
      </c>
      <c r="E60" s="159"/>
      <c r="F60" s="159"/>
      <c r="G60" s="159"/>
      <c r="H60" s="159"/>
      <c r="I60" s="159"/>
      <c r="J60" s="159"/>
      <c r="L60" s="617" t="s">
        <v>278</v>
      </c>
      <c r="M60" s="614">
        <v>636.27779925999994</v>
      </c>
      <c r="N60" s="614">
        <v>335.50121864750002</v>
      </c>
    </row>
    <row r="61" spans="1:14" ht="10.5" customHeight="1">
      <c r="A61" s="731" t="s">
        <v>130</v>
      </c>
      <c r="B61" s="826"/>
      <c r="C61" s="826">
        <v>0</v>
      </c>
      <c r="D61" s="725" t="str">
        <f>IF(C61=0,"",B61/C61-1)</f>
        <v/>
      </c>
      <c r="E61" s="159"/>
      <c r="F61" s="159"/>
      <c r="G61" s="159"/>
      <c r="H61" s="159"/>
      <c r="I61" s="159"/>
      <c r="J61" s="159"/>
      <c r="L61" s="617"/>
      <c r="M61" s="614"/>
      <c r="N61" s="614"/>
    </row>
    <row r="62" spans="1:14" ht="12" customHeight="1">
      <c r="A62" s="694" t="s">
        <v>44</v>
      </c>
      <c r="B62" s="823">
        <f>SUM(B6:B61)</f>
        <v>4287.9763284750024</v>
      </c>
      <c r="C62" s="823">
        <f>SUM(C6:C61)</f>
        <v>4164.0654904774992</v>
      </c>
      <c r="D62" s="695">
        <f>+B62/C62-1</f>
        <v>2.9757177998488649E-2</v>
      </c>
      <c r="E62" s="159"/>
      <c r="F62" s="159"/>
      <c r="G62" s="159"/>
      <c r="H62" s="159"/>
      <c r="I62" s="159"/>
      <c r="J62" s="159"/>
    </row>
    <row r="63" spans="1:14" ht="36" customHeight="1">
      <c r="A63" s="916" t="str">
        <f>"Cuadro N° 6: Participación de las empresas generadoras del COES en la producción de energía eléctrica (GWh) en "&amp;'1. Resumen'!Q4</f>
        <v>Cuadro N° 6: Participación de las empresas generadoras del COES en la producción de energía eléctrica (GWh) en mayo</v>
      </c>
      <c r="B63" s="916"/>
      <c r="C63" s="916"/>
      <c r="D63" s="180"/>
      <c r="E63" s="915" t="str">
        <f>"Gráfico N° 10: Comparación de producción energética (GWh) de las empresas generadoras del COES en "&amp;'1. Resumen'!Q4</f>
        <v>Gráfico N° 10: Comparación de producción energética (GWh) de las empresas generadoras del COES en mayo</v>
      </c>
      <c r="F63" s="915"/>
      <c r="G63" s="915"/>
      <c r="H63" s="915"/>
      <c r="I63" s="915"/>
      <c r="J63" s="915"/>
    </row>
    <row r="64" spans="1:14" ht="12.75" customHeight="1">
      <c r="A64" s="693"/>
      <c r="B64" s="693"/>
      <c r="C64" s="693"/>
      <c r="D64" s="180"/>
      <c r="E64" s="692"/>
      <c r="F64" s="692"/>
      <c r="G64" s="692"/>
      <c r="H64" s="692"/>
      <c r="I64" s="692"/>
      <c r="J64" s="692"/>
    </row>
    <row r="65" spans="1:10" ht="12.75" customHeight="1">
      <c r="A65" s="917" t="s">
        <v>705</v>
      </c>
      <c r="B65" s="917"/>
      <c r="C65" s="917"/>
      <c r="D65" s="917"/>
      <c r="E65" s="917"/>
      <c r="F65" s="917"/>
      <c r="G65" s="917"/>
      <c r="H65" s="917"/>
      <c r="I65" s="917"/>
      <c r="J65" s="917"/>
    </row>
    <row r="66" spans="1:10" ht="12.75" customHeight="1">
      <c r="A66" s="917" t="s">
        <v>754</v>
      </c>
      <c r="B66" s="917"/>
      <c r="C66" s="917"/>
      <c r="D66" s="917"/>
      <c r="E66" s="917"/>
      <c r="F66" s="917"/>
      <c r="G66" s="917"/>
      <c r="H66" s="917"/>
      <c r="I66" s="917"/>
      <c r="J66" s="917"/>
    </row>
    <row r="67" spans="1:10" ht="12.75" customHeight="1">
      <c r="A67" s="917" t="s">
        <v>747</v>
      </c>
      <c r="B67" s="917"/>
      <c r="C67" s="917"/>
      <c r="D67" s="917"/>
      <c r="E67" s="917"/>
      <c r="F67" s="917"/>
      <c r="G67" s="917"/>
      <c r="H67" s="917"/>
      <c r="I67" s="917"/>
      <c r="J67" s="917"/>
    </row>
    <row r="68" spans="1:10">
      <c r="A68" s="917" t="s">
        <v>748</v>
      </c>
      <c r="B68" s="917"/>
      <c r="C68" s="917"/>
      <c r="D68" s="917"/>
      <c r="E68" s="917"/>
      <c r="F68" s="917"/>
      <c r="G68" s="917"/>
      <c r="H68" s="917"/>
      <c r="I68" s="917"/>
      <c r="J68" s="917"/>
    </row>
    <row r="69" spans="1:10">
      <c r="A69" s="909"/>
      <c r="B69" s="909"/>
      <c r="C69" s="909"/>
      <c r="D69" s="909"/>
      <c r="E69" s="909"/>
      <c r="F69" s="909"/>
      <c r="G69" s="909"/>
      <c r="H69" s="909"/>
      <c r="I69" s="909"/>
      <c r="J69" s="909"/>
    </row>
    <row r="70" spans="1:10">
      <c r="A70" s="910"/>
      <c r="B70" s="910"/>
      <c r="C70" s="910"/>
      <c r="D70" s="910"/>
      <c r="E70" s="910"/>
      <c r="F70" s="910"/>
      <c r="G70" s="910"/>
      <c r="H70" s="910"/>
      <c r="I70" s="910"/>
      <c r="J70" s="910"/>
    </row>
    <row r="71" spans="1:10">
      <c r="A71" s="909"/>
      <c r="B71" s="909"/>
      <c r="C71" s="909"/>
      <c r="D71" s="909"/>
      <c r="E71" s="909"/>
      <c r="F71" s="909"/>
      <c r="G71" s="909"/>
      <c r="H71" s="909"/>
      <c r="I71" s="909"/>
      <c r="J71" s="909"/>
    </row>
    <row r="72" spans="1:10">
      <c r="A72" s="910"/>
      <c r="B72" s="910"/>
      <c r="C72" s="910"/>
      <c r="D72" s="910"/>
      <c r="E72" s="910"/>
      <c r="F72" s="910"/>
      <c r="G72" s="910"/>
      <c r="H72" s="910"/>
      <c r="I72" s="910"/>
      <c r="J72" s="910"/>
    </row>
  </sheetData>
  <autoFilter ref="L4:N61" xr:uid="{3128C184-458A-46DA-932F-AF8150F6A815}">
    <sortState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Mayo 2018
INFSGI-MES-05-2018
07/06/2018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13</vt:i4>
      </vt:variant>
    </vt:vector>
  </HeadingPairs>
  <TitlesOfParts>
    <vt:vector size="48"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2018-06-07T14:33:20Z</cp:lastPrinted>
  <dcterms:created xsi:type="dcterms:W3CDTF">2018-02-13T14:18:17Z</dcterms:created>
  <dcterms:modified xsi:type="dcterms:W3CDTF">2018-06-19T14:40:13Z</dcterms:modified>
</cp:coreProperties>
</file>