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8\"/>
    </mc:Choice>
  </mc:AlternateContent>
  <xr:revisionPtr revIDLastSave="0" documentId="13_ncr:1_{4210282B-03AC-40F6-81F8-458581081187}" xr6:coauthVersionLast="38" xr6:coauthVersionMax="38" xr10:uidLastSave="{00000000-0000-0000-0000-000000000000}"/>
  <bookViews>
    <workbookView xWindow="0" yWindow="0" windowWidth="25185" windowHeight="10740" tabRatio="712" xr2:uid="{F2B6F377-0267-405F-92D4-AB138E6E385C}"/>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32.ANEXOIII - 8" sheetId="60" state="hidden" r:id="rId34"/>
    <sheet name="Contraportada" sheetId="59" r:id="rId35"/>
  </sheets>
  <definedNames>
    <definedName name="_xlnm._FilterDatabase" localSheetId="7" hidden="1">'6. FP RER'!$T$51:$V$54</definedName>
    <definedName name="_xlnm._FilterDatabase" localSheetId="8" hidden="1">'7. Generacion empresa'!$L$4:$N$61</definedName>
    <definedName name="_xlnm._FilterDatabase" localSheetId="10" hidden="1">'9. Pot. Empresa'!$L$6:$N$62</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generación'!$A$1:$J$59</definedName>
    <definedName name="_xlnm.Print_Area" localSheetId="6">'5. RER'!$A$1:$K$61</definedName>
    <definedName name="_xlnm.Print_Area" localSheetId="7">'6. FP RER'!$A$1:$K$64</definedName>
    <definedName name="_xlnm.Print_Area" localSheetId="8">'7. Generacion empresa'!$A$1:$J$68</definedName>
    <definedName name="_xlnm.Print_Area" localSheetId="10">'9. Pot. Empresa'!$A$1:$J$69</definedName>
    <definedName name="_xlnm.Print_Area" localSheetId="1">Índice!$A$1:$L$45</definedName>
    <definedName name="_xlnm.Print_Area" localSheetId="0">'Portada '!$A$1:$L$71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9" i="4" l="1"/>
  <c r="A63" i="8" l="1"/>
  <c r="F20" i="12" l="1"/>
  <c r="I20" i="12"/>
  <c r="K20" i="12"/>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C62" i="11"/>
  <c r="B62" i="11"/>
  <c r="D62" i="11" s="1"/>
  <c r="M39" i="9"/>
  <c r="H9" i="21" l="1"/>
  <c r="H8" i="21"/>
  <c r="G10" i="21"/>
  <c r="F43" i="38" l="1"/>
  <c r="E16" i="21" l="1"/>
  <c r="F16" i="21"/>
  <c r="D16" i="21"/>
  <c r="M24" i="6" l="1"/>
  <c r="M21" i="6"/>
  <c r="I17" i="6"/>
  <c r="H17" i="6"/>
  <c r="H11" i="21" l="1"/>
  <c r="F48" i="46" l="1"/>
  <c r="F47" i="46"/>
  <c r="F70" i="45"/>
  <c r="F69" i="45"/>
  <c r="F68" i="45"/>
  <c r="F67" i="45"/>
  <c r="F2" i="38"/>
  <c r="I10" i="22" l="1"/>
  <c r="H12" i="7" l="1"/>
  <c r="F5" i="45" l="1"/>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7" i="45"/>
  <c r="F48" i="45"/>
  <c r="F49" i="45"/>
  <c r="F50" i="45"/>
  <c r="F51" i="45"/>
  <c r="F52" i="45"/>
  <c r="F53" i="45"/>
  <c r="F54" i="45"/>
  <c r="F55" i="45"/>
  <c r="F56" i="45"/>
  <c r="F57" i="45"/>
  <c r="F58" i="45"/>
  <c r="F59" i="45"/>
  <c r="F60" i="45"/>
  <c r="F61" i="45"/>
  <c r="F62" i="45"/>
  <c r="F63" i="45"/>
  <c r="F64" i="45"/>
  <c r="F65" i="45"/>
  <c r="F66" i="45"/>
  <c r="G43" i="38"/>
  <c r="I9" i="22" l="1"/>
  <c r="I11" i="22"/>
  <c r="I7" i="22"/>
  <c r="I8" i="22"/>
  <c r="D58" i="11"/>
  <c r="D57" i="11"/>
  <c r="D56" i="11"/>
  <c r="D55" i="11"/>
  <c r="D54" i="11"/>
  <c r="D53" i="11"/>
  <c r="D52" i="11"/>
  <c r="D51" i="11"/>
  <c r="D50" i="11"/>
  <c r="D49" i="11"/>
  <c r="D48" i="11"/>
  <c r="D47" i="11"/>
  <c r="D46" i="11"/>
  <c r="D45" i="11"/>
  <c r="B14" i="12"/>
  <c r="B11" i="9"/>
  <c r="C11" i="9"/>
  <c r="D11" i="9"/>
  <c r="E11" i="9"/>
  <c r="J12" i="22" l="1"/>
  <c r="F9" i="8" l="1"/>
  <c r="C29" i="14" l="1"/>
  <c r="G16" i="21" l="1"/>
  <c r="C63" i="13"/>
  <c r="B63" i="13"/>
  <c r="N29" i="18" l="1"/>
  <c r="N28" i="18"/>
  <c r="N27" i="18"/>
  <c r="N26" i="18"/>
  <c r="N25" i="18"/>
  <c r="N24" i="18"/>
  <c r="N23" i="18"/>
  <c r="N20" i="18"/>
  <c r="N19" i="18"/>
  <c r="N18" i="18"/>
  <c r="N17" i="18"/>
  <c r="N16" i="18"/>
  <c r="N15" i="18"/>
  <c r="N14" i="18"/>
  <c r="N12" i="18"/>
  <c r="N11" i="18"/>
  <c r="N10" i="18"/>
  <c r="N9" i="18"/>
  <c r="N8" i="18"/>
  <c r="C52" i="46" l="1"/>
  <c r="D52" i="46"/>
  <c r="D51" i="46"/>
  <c r="C51"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B12" i="22" l="1"/>
  <c r="H47" i="4" l="1"/>
  <c r="B47" i="4"/>
  <c r="D59" i="11" l="1"/>
  <c r="D60" i="11"/>
  <c r="B35" i="6" l="1"/>
  <c r="M22" i="6"/>
  <c r="A53" i="22" l="1"/>
  <c r="A55" i="21"/>
  <c r="B58" i="18"/>
  <c r="B40" i="18"/>
  <c r="B21" i="18"/>
  <c r="A58" i="12"/>
  <c r="F64" i="13"/>
  <c r="M20" i="6" l="1"/>
  <c r="B18" i="12" l="1"/>
  <c r="C18" i="12"/>
  <c r="D18" i="12"/>
  <c r="E18" i="12"/>
  <c r="G18" i="12"/>
  <c r="H18" i="12"/>
  <c r="J18" i="12"/>
  <c r="H7" i="21" l="1"/>
  <c r="G7" i="21"/>
  <c r="F42" i="6" l="1"/>
  <c r="F44" i="6"/>
  <c r="F11" i="14" l="1"/>
  <c r="F50" i="46" l="1"/>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43" i="6" l="1"/>
  <c r="F41" i="6"/>
  <c r="J12" i="7" l="1"/>
  <c r="A58" i="7"/>
  <c r="E40" i="6"/>
  <c r="E63" i="11" l="1"/>
  <c r="A63" i="11"/>
  <c r="C45" i="10"/>
  <c r="A34" i="9"/>
  <c r="D3" i="36" l="1"/>
  <c r="D2" i="45" s="1"/>
  <c r="D2" i="46" s="1"/>
  <c r="C3" i="36"/>
  <c r="C2" i="45" s="1"/>
  <c r="C2" i="46" s="1"/>
  <c r="F2" i="37"/>
  <c r="F3" i="23"/>
  <c r="C2" i="23"/>
  <c r="C1" i="37" s="1"/>
  <c r="C1" i="38" s="1"/>
  <c r="A38" i="22"/>
  <c r="E17" i="22"/>
  <c r="A17" i="22"/>
  <c r="A13" i="22"/>
  <c r="A17" i="21"/>
  <c r="F6" i="21"/>
  <c r="E6" i="21"/>
  <c r="D6" i="21"/>
  <c r="B47" i="18"/>
  <c r="B28" i="18"/>
  <c r="B10" i="18"/>
  <c r="C31" i="16"/>
  <c r="E6" i="16"/>
  <c r="D6" i="16"/>
  <c r="A64" i="13"/>
  <c r="B3" i="13"/>
  <c r="B5" i="11"/>
  <c r="C5" i="11" s="1"/>
  <c r="B4" i="11"/>
  <c r="A64" i="10"/>
  <c r="A43" i="10"/>
  <c r="A61" i="9"/>
  <c r="G6" i="7"/>
  <c r="G4" i="8" s="1"/>
  <c r="G4" i="9" s="1"/>
  <c r="D7" i="7"/>
  <c r="E7" i="7" s="1"/>
  <c r="A58" i="6"/>
  <c r="B46" i="6"/>
  <c r="A18" i="6"/>
  <c r="D5" i="8" l="1"/>
  <c r="C7" i="7"/>
  <c r="B7" i="7" s="1"/>
  <c r="B5" i="8" s="1"/>
  <c r="E4" i="46"/>
  <c r="D4" i="46"/>
  <c r="C4" i="46"/>
  <c r="E3" i="46"/>
  <c r="D3" i="46"/>
  <c r="C3" i="46"/>
  <c r="E4" i="45"/>
  <c r="D4" i="45"/>
  <c r="C4" i="45"/>
  <c r="E3" i="45"/>
  <c r="D3" i="45"/>
  <c r="C3" i="45"/>
  <c r="E5" i="36"/>
  <c r="E4" i="36"/>
  <c r="D4" i="36"/>
  <c r="D5" i="36"/>
  <c r="C5" i="36"/>
  <c r="C4" i="36"/>
  <c r="D63" i="13" l="1"/>
  <c r="C6" i="13"/>
  <c r="B6" i="13"/>
  <c r="C5" i="13"/>
  <c r="B5" i="13"/>
  <c r="C5" i="8" l="1"/>
  <c r="C5" i="9" s="1"/>
  <c r="C7" i="12" s="1"/>
  <c r="D5" i="9"/>
  <c r="D7" i="12" s="1"/>
  <c r="B5" i="9"/>
  <c r="B7" i="12" s="1"/>
  <c r="E19" i="8"/>
  <c r="D19" i="8"/>
  <c r="C19" i="8"/>
  <c r="B19" i="8"/>
  <c r="J23" i="8"/>
  <c r="E23" i="8"/>
  <c r="D23" i="8"/>
  <c r="C23" i="8"/>
  <c r="B23" i="8"/>
  <c r="K22" i="8"/>
  <c r="F22" i="8"/>
  <c r="K21" i="8"/>
  <c r="I21" i="8"/>
  <c r="F21" i="8"/>
  <c r="F8" i="8"/>
  <c r="A2" i="8"/>
  <c r="A4" i="7"/>
  <c r="J16" i="7"/>
  <c r="H16" i="7"/>
  <c r="G16" i="7"/>
  <c r="C16" i="7"/>
  <c r="D16" i="7"/>
  <c r="E16" i="7"/>
  <c r="B16" i="7"/>
  <c r="D40" i="6"/>
  <c r="E45" i="6"/>
  <c r="D45" i="6"/>
  <c r="F39" i="9" l="1"/>
  <c r="F45" i="6"/>
  <c r="B12" i="9"/>
  <c r="G23" i="8"/>
  <c r="H23" i="8"/>
  <c r="I22" i="8"/>
  <c r="A9" i="4" l="1"/>
  <c r="I20" i="4" l="1"/>
  <c r="C20" i="4"/>
  <c r="C3" i="4"/>
  <c r="H12" i="22"/>
  <c r="G12" i="22"/>
  <c r="F12" i="22"/>
  <c r="E12" i="22"/>
  <c r="D12" i="22"/>
  <c r="C12" i="22"/>
  <c r="H16"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K16" i="12"/>
  <c r="I16" i="12"/>
  <c r="K13" i="12"/>
  <c r="I13" i="12"/>
  <c r="F13" i="12"/>
  <c r="K12" i="12"/>
  <c r="I12" i="12"/>
  <c r="F12" i="12"/>
  <c r="K11" i="12"/>
  <c r="I11" i="12"/>
  <c r="F11" i="12"/>
  <c r="K10" i="12"/>
  <c r="I10" i="12"/>
  <c r="D14" i="12"/>
  <c r="D20" i="12" s="1"/>
  <c r="C14" i="12"/>
  <c r="C20" i="12" s="1"/>
  <c r="B20" i="12"/>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I12" i="22" l="1"/>
  <c r="F17" i="12"/>
  <c r="I17" i="12"/>
  <c r="K18" i="12"/>
  <c r="E14" i="12"/>
  <c r="G14" i="12"/>
  <c r="G20" i="12" s="1"/>
  <c r="H14" i="12"/>
  <c r="H20" i="12" s="1"/>
  <c r="F16" i="12"/>
  <c r="J14" i="12"/>
  <c r="J20" i="12" s="1"/>
  <c r="F10" i="12"/>
  <c r="K17" i="12"/>
  <c r="H11" i="9"/>
  <c r="E12" i="9"/>
  <c r="G11" i="9"/>
  <c r="C12" i="9"/>
  <c r="J11" i="9"/>
  <c r="K7" i="9"/>
  <c r="I6" i="9"/>
  <c r="F19" i="8"/>
  <c r="G19" i="8"/>
  <c r="F7" i="8"/>
  <c r="H19" i="8"/>
  <c r="J19" i="8"/>
  <c r="G12" i="7"/>
  <c r="I12" i="7" s="1"/>
  <c r="C12" i="7"/>
  <c r="B12" i="7"/>
  <c r="D12" i="7"/>
  <c r="I14" i="7"/>
  <c r="E5" i="8"/>
  <c r="E5" i="9" s="1"/>
  <c r="E7" i="12" s="1"/>
  <c r="F14" i="7"/>
  <c r="E12" i="7"/>
  <c r="K14" i="7"/>
  <c r="F40" i="9" l="1"/>
  <c r="D12" i="9"/>
  <c r="F14" i="12"/>
  <c r="E20" i="12"/>
  <c r="F12" i="7"/>
  <c r="K19" i="8"/>
  <c r="J12" i="9"/>
  <c r="G12" i="9"/>
  <c r="K12" i="7"/>
  <c r="I11" i="9"/>
  <c r="H12" i="9"/>
  <c r="I18" i="12"/>
  <c r="I19" i="8"/>
  <c r="K14" i="12"/>
  <c r="I14" i="12"/>
  <c r="F11" i="9"/>
  <c r="K11" i="9"/>
</calcChain>
</file>

<file path=xl/sharedStrings.xml><?xml version="1.0" encoding="utf-8"?>
<sst xmlns="http://schemas.openxmlformats.org/spreadsheetml/2006/main" count="1685" uniqueCount="802">
  <si>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</si>
  <si>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</si>
  <si>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</si>
  <si>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</si>
  <si>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</si>
  <si>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</si>
  <si>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</si>
  <si>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</si>
  <si>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</si>
  <si>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</si>
  <si>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</si>
  <si>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</si>
  <si>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</si>
  <si>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</si>
  <si>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</si>
  <si>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</si>
  <si>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</si>
  <si>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</si>
  <si>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</si>
  <si>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</si>
  <si>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</si>
  <si>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</si>
  <si>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</si>
  <si>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</si>
  <si>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</si>
  <si>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</si>
  <si>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</si>
  <si>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</si>
  <si>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</si>
  <si>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</si>
  <si>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</si>
  <si>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</si>
  <si>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</si>
  <si>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</si>
  <si>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</si>
  <si>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</si>
  <si>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</si>
  <si>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</si>
  <si>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</si>
  <si>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</si>
  <si>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</si>
  <si>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</si>
  <si>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</si>
  <si>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</si>
  <si>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</si>
  <si>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</si>
  <si>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</si>
  <si>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</si>
  <si>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</si>
  <si>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</si>
  <si>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</si>
  <si>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</si>
  <si>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</si>
  <si>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</si>
  <si>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</si>
  <si>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</si>
  <si>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 Se denomina RER a los Recursos Energéticos Renovables (biomasa, eólica, solar, geotérmica, mareomotriz), e hidroléctricas cuya capacidad instalada no sobrepase los 20 MW, según D.L. N° 1002</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</si>
  <si>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</si>
  <si>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</si>
  <si>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</si>
  <si>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</si>
  <si>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</si>
  <si>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</si>
  <si>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</si>
  <si>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</si>
  <si>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</si>
  <si>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</si>
  <si>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</si>
  <si>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</si>
  <si>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</si>
  <si>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</si>
  <si>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</si>
  <si>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</si>
  <si>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</si>
  <si>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</si>
  <si>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</si>
  <si>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</si>
  <si>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</si>
  <si>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</si>
  <si>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</si>
  <si>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</si>
  <si>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</si>
  <si>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</si>
  <si>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</si>
  <si>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</si>
  <si>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</si>
  <si>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</si>
  <si>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</si>
  <si>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</si>
  <si>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</si>
  <si>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</si>
  <si>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</si>
  <si>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</si>
  <si>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</si>
  <si>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</si>
  <si>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</si>
  <si>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</si>
  <si>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</si>
  <si>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</si>
  <si>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</si>
  <si>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</si>
  <si>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</si>
  <si>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</si>
  <si>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</si>
  <si>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</si>
  <si>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</si>
  <si>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</si>
  <si>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</si>
  <si>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</si>
  <si>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</si>
  <si>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</si>
  <si>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</si>
  <si>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</si>
  <si>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</si>
  <si>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</si>
  <si>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</si>
  <si>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</si>
  <si>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</si>
  <si>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</si>
  <si>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</si>
  <si>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</si>
  <si>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</si>
  <si>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</si>
  <si>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</si>
  <si>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</si>
  <si>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</si>
  <si>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</si>
  <si>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</si>
  <si>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RIO BAÑOS</t>
  </si>
  <si>
    <t>CERRO DEL AGUILA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</si>
  <si>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</si>
  <si>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</si>
  <si>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</si>
  <si>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</si>
  <si>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</si>
  <si>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</si>
  <si>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</si>
  <si>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</si>
  <si>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</si>
  <si>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</si>
  <si>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</si>
  <si>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</si>
  <si>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</si>
  <si>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</si>
  <si>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</si>
  <si>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</si>
  <si>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</si>
  <si>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</si>
  <si>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</si>
  <si>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</si>
  <si>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</si>
  <si>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</si>
  <si>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</si>
  <si>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</si>
  <si>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</si>
  <si>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</si>
  <si>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</si>
  <si>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</si>
  <si>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</si>
  <si>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</si>
  <si>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</si>
  <si>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</si>
  <si>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</si>
  <si>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</si>
  <si>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</si>
  <si>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</si>
  <si>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</si>
  <si>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</si>
  <si>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</si>
  <si>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</si>
  <si>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</si>
  <si>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</si>
  <si>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</si>
  <si>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</si>
  <si>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</si>
  <si>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</si>
  <si>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</si>
  <si>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</si>
  <si>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</si>
  <si>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</si>
  <si>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</si>
  <si>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</si>
  <si>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</si>
  <si>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</si>
  <si>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</si>
  <si>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</si>
  <si>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</si>
  <si>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</si>
  <si>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</si>
  <si>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</si>
  <si>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</si>
  <si>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</si>
  <si>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</si>
  <si>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</si>
  <si>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</si>
  <si>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</si>
  <si>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</si>
  <si>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</si>
  <si>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</si>
  <si>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</si>
  <si>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</si>
  <si>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CENTRO</t>
  </si>
  <si>
    <t>TOTAL HORAS DE CONGESTIÓN EN EL SEIN</t>
  </si>
  <si>
    <t>7. EVENTOS Y FALLAS QUE OCASIONARON INTERRUPCIÓN Y DISMINUCIÓN DE SUMINISTRO ELÉCTRICO</t>
  </si>
  <si>
    <t>7.1. FALLAS POR TIPO DE EQUIPO Y CAUSA SEGÚN CLASIFICACION CIER</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</si>
  <si>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</si>
  <si>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</si>
  <si>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</si>
  <si>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</si>
  <si>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</si>
  <si>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</si>
  <si>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</si>
  <si>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</si>
  <si>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</si>
  <si>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</si>
  <si>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</si>
  <si>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</si>
  <si>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</si>
  <si>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</si>
  <si>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</si>
  <si>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</si>
  <si>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</si>
  <si>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</si>
  <si>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</si>
  <si>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</si>
  <si>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</si>
  <si>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</si>
  <si>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</si>
  <si>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</si>
  <si>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</si>
  <si>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</si>
  <si>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</si>
  <si>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</si>
  <si>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</si>
  <si>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</si>
  <si>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</si>
  <si>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</si>
  <si>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</si>
  <si>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</si>
  <si>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</si>
  <si>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</si>
  <si>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</si>
  <si>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</si>
  <si>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</si>
  <si>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</si>
  <si>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</si>
  <si>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</si>
  <si>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</si>
  <si>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</si>
  <si>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</si>
  <si>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</si>
  <si>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</si>
  <si>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</si>
  <si>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</si>
  <si>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</si>
  <si>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</si>
  <si>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</si>
  <si>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</si>
  <si>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</si>
  <si>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</si>
  <si>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</si>
  <si>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</si>
  <si>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</si>
  <si>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</si>
  <si>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</si>
  <si>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</si>
  <si>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</si>
  <si>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</si>
  <si>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</si>
  <si>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</si>
  <si>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</si>
  <si>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</si>
  <si>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</si>
  <si>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</si>
  <si>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</si>
  <si>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</si>
  <si>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</si>
  <si>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</si>
  <si>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</si>
  <si>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</si>
  <si>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</si>
  <si>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</si>
  <si>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</si>
  <si>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</si>
  <si>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</si>
  <si>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</si>
  <si>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</si>
  <si>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</si>
  <si>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</si>
  <si>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</si>
  <si>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</si>
  <si>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</si>
  <si>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</si>
  <si>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</si>
  <si>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</si>
  <si>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</si>
  <si>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</si>
  <si>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</si>
  <si>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</si>
  <si>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</si>
  <si>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</si>
  <si>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</si>
  <si>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</si>
  <si>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</si>
  <si>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</si>
  <si>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</si>
  <si>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</si>
  <si>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</si>
  <si>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</si>
  <si>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</si>
  <si>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</si>
  <si>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t>
  </si>
  <si>
    <t>(*) Valor no reportado por Orazul</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</si>
  <si>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</si>
  <si>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</si>
  <si>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</si>
  <si>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</si>
  <si>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</si>
  <si>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</si>
  <si>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</si>
  <si>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</si>
  <si>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</si>
  <si>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</si>
  <si>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</si>
  <si>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</si>
  <si>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</si>
  <si>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</si>
  <si>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</si>
  <si>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</si>
  <si>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</si>
  <si>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</si>
  <si>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</si>
  <si>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</si>
  <si>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</si>
  <si>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</si>
  <si>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</si>
  <si>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</si>
  <si>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</si>
  <si>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</si>
  <si>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</si>
  <si>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</si>
  <si>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</si>
  <si>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</si>
  <si>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</si>
  <si>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</si>
  <si>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</si>
  <si>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</si>
  <si>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</si>
  <si>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</si>
  <si>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</si>
  <si>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</si>
  <si>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</si>
  <si>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</si>
  <si>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</si>
  <si>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</si>
  <si>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</si>
  <si>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</si>
  <si>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</si>
  <si>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</si>
  <si>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</si>
  <si>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</si>
  <si>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</si>
  <si>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</si>
  <si>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</si>
  <si>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</si>
  <si>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</si>
  <si>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</si>
  <si>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</si>
  <si>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</si>
  <si>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</si>
  <si>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</si>
  <si>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</si>
  <si>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</si>
  <si>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</si>
  <si>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</si>
  <si>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</si>
  <si>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</si>
  <si>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</si>
  <si>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</si>
  <si>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</si>
  <si>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</si>
  <si>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</si>
  <si>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</si>
  <si>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</si>
  <si>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</si>
  <si>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</si>
  <si>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</si>
  <si>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</si>
  <si>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</si>
  <si>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</si>
  <si>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</si>
  <si>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</si>
  <si>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</si>
  <si>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C.H. CERRO DEL AGUILA</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</si>
  <si>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</si>
  <si>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</si>
  <si>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</si>
  <si>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</si>
  <si>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</si>
  <si>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</si>
  <si>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</si>
  <si>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</si>
  <si>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</si>
  <si>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</si>
  <si>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</si>
  <si>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</si>
  <si>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</si>
  <si>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</si>
  <si>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</si>
  <si>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</si>
  <si>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</si>
  <si>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</si>
  <si>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</si>
  <si>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</si>
  <si>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</si>
  <si>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</si>
  <si>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</si>
  <si>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</si>
  <si>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</si>
  <si>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</si>
  <si>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</si>
  <si>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</si>
  <si>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</si>
  <si>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</si>
  <si>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</si>
  <si>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</si>
  <si>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</si>
  <si>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</si>
  <si>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</si>
  <si>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</si>
  <si>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</si>
  <si>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</si>
  <si>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</si>
  <si>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</si>
  <si>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</si>
  <si>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</si>
  <si>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</si>
  <si>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</si>
  <si>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</si>
  <si>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</si>
  <si>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</si>
  <si>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Variación</t>
  </si>
  <si>
    <t>%</t>
  </si>
  <si>
    <t>CERRO DEL AGUILA Total</t>
  </si>
  <si>
    <t>ECELIM Total</t>
  </si>
  <si>
    <t>C.T. ILO 1</t>
  </si>
  <si>
    <t>C.H. RUCUY</t>
  </si>
  <si>
    <t>RIO BAÑOS Total</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</si>
  <si>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</si>
  <si>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</si>
  <si>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</si>
  <si>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</si>
  <si>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</si>
  <si>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</si>
  <si>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</si>
  <si>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</si>
  <si>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</si>
  <si>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</si>
  <si>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</si>
  <si>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</si>
  <si>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</si>
  <si>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</si>
  <si>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</si>
  <si>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</si>
  <si>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</si>
  <si>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</si>
  <si>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</si>
  <si>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</si>
  <si>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ETENORTE</t>
  </si>
  <si>
    <t>ELECTRO PUNO</t>
  </si>
  <si>
    <t>HIDRANDINA</t>
  </si>
  <si>
    <t>RED DE ENERGIA DEL PERU</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</si>
  <si>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</si>
  <si>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</si>
  <si>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</si>
  <si>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</si>
  <si>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</si>
  <si>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</si>
  <si>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</si>
  <si>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</si>
  <si>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</si>
  <si>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</si>
  <si>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</si>
  <si>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</si>
  <si>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</si>
  <si>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</si>
  <si>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</si>
  <si>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</si>
  <si>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</si>
  <si>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</si>
  <si>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</si>
  <si>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</si>
  <si>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</si>
  <si>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</si>
  <si>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</si>
  <si>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</si>
  <si>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</si>
  <si>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</si>
  <si>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</si>
  <si>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</si>
  <si>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</si>
  <si>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</si>
  <si>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</si>
  <si>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</si>
  <si>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</si>
  <si>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</si>
  <si>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</si>
  <si>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</si>
  <si>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</si>
  <si>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</si>
  <si>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</si>
  <si>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SANTA ANA</t>
  </si>
  <si>
    <t>BIOCOMBUSTIBLE</t>
  </si>
  <si>
    <t>SANTA ANA Total</t>
  </si>
  <si>
    <t>TOTAL MÁXIMA POTENCIA COINCIDENTE</t>
  </si>
  <si>
    <t>Cuadro N°7 : Máxima potencia coincidente (MW) por tipo de generación en el SEIN.</t>
  </si>
  <si>
    <t>LUZ DEL SUR / INLAND Total</t>
  </si>
  <si>
    <t>25.03.2018</t>
  </si>
  <si>
    <t>C.T. Sto Domingo de los Olleros</t>
  </si>
  <si>
    <t>19:30</t>
  </si>
  <si>
    <t>23:00</t>
  </si>
  <si>
    <t>19:45</t>
  </si>
  <si>
    <t>11:45</t>
  </si>
  <si>
    <t>19:00</t>
  </si>
  <si>
    <t>11:30</t>
  </si>
  <si>
    <t xml:space="preserve">SANTA ANA </t>
  </si>
  <si>
    <t>C.H. RENOVANDES H1</t>
  </si>
  <si>
    <t>C.S. INTIPAMPA</t>
  </si>
  <si>
    <t>C.H. Renovandes H1</t>
  </si>
  <si>
    <t>C.S. Intipampa</t>
  </si>
  <si>
    <t>138 120 
Módulos</t>
  </si>
  <si>
    <t>31.03.2018</t>
  </si>
  <si>
    <t>20.03.2018</t>
  </si>
  <si>
    <t>G1</t>
  </si>
  <si>
    <t>Turbina Pelton</t>
  </si>
  <si>
    <t>Central Hidroeléctrica</t>
  </si>
  <si>
    <t>CELEPSA RENOVABLES Total</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</si>
  <si>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</si>
  <si>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</si>
  <si>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</si>
  <si>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</si>
  <si>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</si>
  <si>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</si>
  <si>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</si>
  <si>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</si>
  <si>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</si>
  <si>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4 eventos corresponde a rechazo manual de carga en la S.S.E.E. Pucallpa por deficit de generación (74,15 MWh)</t>
  </si>
  <si>
    <t>20:00</t>
  </si>
  <si>
    <t>18:45</t>
  </si>
  <si>
    <t xml:space="preserve">Potencia Efectiva  (MW) </t>
  </si>
  <si>
    <t>C.E. WAYRA I</t>
  </si>
  <si>
    <t>(1)  A partir del 29.09.2017 la C.H. Cerro del Águila pasa a ser propiedad de la empresa Kallpa Generación S.A.</t>
  </si>
  <si>
    <t>17:45</t>
  </si>
  <si>
    <t>19:15</t>
  </si>
  <si>
    <t>(*) A partir del 29.09.2017 la C.H. Cerro del Águila pasa a ser propiedad de la empresa Kallpa Generación S.A.</t>
  </si>
  <si>
    <t>KALLPA (*)</t>
  </si>
  <si>
    <t>CERRO DEL AGUILA (*)</t>
  </si>
  <si>
    <t>ENLACE CENTRO - SUR</t>
  </si>
  <si>
    <t>L-2051 L-2052  L-5034  L-5036</t>
  </si>
  <si>
    <t>eólica</t>
  </si>
  <si>
    <t>aerogenerador</t>
  </si>
  <si>
    <t>C.E. Wayra I</t>
  </si>
  <si>
    <t>42 aerogeneradores</t>
  </si>
  <si>
    <t>19.05.2018</t>
  </si>
  <si>
    <t>(1) El valor de potencias efectivas de la C.S. Rubí, C.S. Intipampa y C.E. Wayra I corresponden a la potencia instalada nominal declarada en la fecha de ingreso de operación comercial.</t>
  </si>
  <si>
    <t>Central Eólica</t>
  </si>
  <si>
    <t>Gráfico N°19: Evolución del promedio semanal de caudales de las cuencas CHILI, ARICOTA, VILCANOTA Y SAN GABÁN en los años 2016 - 2018.</t>
  </si>
  <si>
    <t>Gráfico N°18: Evolución del promedio semanal de caudales de los ríos MANTARO, TULUMAYO y TARMA  en los años 2016 - 2018.</t>
  </si>
  <si>
    <t>Gráfico N°17: Evolución del promedio semanal de caudales de los ríos RÍMAC y SANTA EULALIA en los años 2016 - 2018.</t>
  </si>
  <si>
    <t>Gráfico N°16: Evolución del promedio semanal de caudales de los ríos SANTA, CHANCAY y PATIVILCA en los años 2016 - 2018.</t>
  </si>
  <si>
    <t>(***) La empresa LUZ DEL SUR S.A.A. Transfiere la titularidad de sus instalaciones de generación a la empresa INLAND ENERGYS.A.C.</t>
  </si>
  <si>
    <t>(****) La empresa HIDROELÉCTRICA MARAÑON S.R.L. cambia su denominación social a CELEPSA RENOVABLES S.R.L.</t>
  </si>
  <si>
    <t>CELEPSA RENOVABLES (****)</t>
  </si>
  <si>
    <t>LUZ DEL SUR / INLAND (***)</t>
  </si>
  <si>
    <t>ECELIM (**)</t>
  </si>
  <si>
    <t>PETRAMAS (**)</t>
  </si>
  <si>
    <t>ECELIM  (**)</t>
  </si>
  <si>
    <t>(**) A partir del 14.12.2017 la C.T. La Gringa (ECELIM) pasa a ser propiedad de la empresa PETRAMAS S.A.</t>
  </si>
  <si>
    <t>(2) A partir del 14.12.2017 la C.T. La Gringa (ECELIM) pasa a ser propiedad de la empresa PETRAMAS S.A.</t>
  </si>
  <si>
    <t>(3)  Ingreso a operación comercial de la C.S. RUBI propiedad de ENEL GREEN POWER PERU S.A. a partir del 30.01.2018</t>
  </si>
  <si>
    <t>(4) La empresa LUZ DEL SUR S.A.A. Transfiere la titularidad de sus instalaciones de generación a la empresa INLAND ENERGY S.A.C.</t>
  </si>
  <si>
    <t>(5) Ingreso a operación comercial de la C.H. Renovandes H1, propiedad de EMPRESA DE GENERACIÓN ELÉCTRICA SANTA ANA S.A. a partir del 20.03.2018</t>
  </si>
  <si>
    <t>(6) Ingreso a operación comercial de la TV de la C.T. Sto. Domingo de los Olleros propiedad de TERMOCHILCA a partir del 25.03.2018</t>
  </si>
  <si>
    <t>(7)  Ingreso a operación comercial de la de la C.S. Intipampa, propiedad de ENGIE ENERGÍA PERU S.A. a partir del 31.03.2018</t>
  </si>
  <si>
    <t>(8) La empresa HIDROELÉCTRICA MARAÑON S.R.L. cambia su denominación social a CELEPSA RENOVABLES S.R.L.</t>
  </si>
  <si>
    <t>(9) Ingreso a operación comercial de la C.E. Wayra I, propiedad de ENEL GREEN POWER PERU S.A.  A apartir del 19.05.2018</t>
  </si>
  <si>
    <t>CELEPSA RENOVABLES (8)</t>
  </si>
  <si>
    <t>Máxima Demanda:</t>
  </si>
  <si>
    <t>Potencia efectiva al 31/07/2018 (MW)</t>
  </si>
  <si>
    <t>KALLPA</t>
  </si>
  <si>
    <t>PETRAMAS</t>
  </si>
  <si>
    <t>12:00</t>
  </si>
  <si>
    <t>ECELIM</t>
  </si>
  <si>
    <t>ELECTRO SUR ESTE</t>
  </si>
  <si>
    <t>CONCESIONARIA LINEA DE TRANSMISION CCNCM S.A.C.</t>
  </si>
  <si>
    <t>ISA PERU</t>
  </si>
  <si>
    <t>SEAL</t>
  </si>
  <si>
    <t>20:15</t>
  </si>
  <si>
    <t>21:00</t>
  </si>
  <si>
    <t>21:15</t>
  </si>
  <si>
    <t>15:45</t>
  </si>
  <si>
    <t>CELDA</t>
  </si>
  <si>
    <t>TRANSFORMADOR 2D</t>
  </si>
  <si>
    <t>HYDRO PATAPO</t>
  </si>
  <si>
    <t>C.H. ÁNGEL II</t>
  </si>
  <si>
    <t>C.H. ÁNGEL III</t>
  </si>
  <si>
    <t>C.H. ÁNGEL I</t>
  </si>
  <si>
    <t>C.H. HER 1</t>
  </si>
  <si>
    <t>C.T. DOÑA CATALINA</t>
  </si>
  <si>
    <t>C.H. SANTA TERESA</t>
  </si>
  <si>
    <t>HYDRO PATAPO Total</t>
  </si>
  <si>
    <t>(10) Ingreso a operación comercial de la C.T. Doña. Catalina, propiedad de PETRAMAS S.A.  A apartir del 29.08.2018</t>
  </si>
  <si>
    <t>(11) Ingreso a operación comercial de la C.H. Her 1, propiedad de ENEL GENERACIÓN PERU S.A. A apartir del 30.08.2018</t>
  </si>
  <si>
    <t>(12) Ingreso a operación comercial de las C.C.H.H. Angel I, Angel II y Angel III; propiedad de GENERADORA DE ENERGÍA DEL PERU S.A. A apartir del 30.08.2019</t>
  </si>
  <si>
    <r>
      <t xml:space="preserve">C.T. LA GRINGA  </t>
    </r>
    <r>
      <rPr>
        <b/>
        <sz val="6"/>
        <color theme="1"/>
        <rFont val="Arial"/>
        <family val="2"/>
      </rPr>
      <t>(2)</t>
    </r>
  </si>
  <si>
    <r>
      <t xml:space="preserve">C.S. RUBI  </t>
    </r>
    <r>
      <rPr>
        <b/>
        <sz val="6"/>
        <color theme="1"/>
        <rFont val="Arial"/>
        <family val="2"/>
      </rPr>
      <t>(3)</t>
    </r>
  </si>
  <si>
    <t>LUZ DEL SUR / INLAND  (4)</t>
  </si>
  <si>
    <r>
      <t xml:space="preserve">C.T. OLLEROS  </t>
    </r>
    <r>
      <rPr>
        <b/>
        <sz val="6"/>
        <color theme="1"/>
        <rFont val="Arial"/>
        <family val="2"/>
      </rPr>
      <t>(6)</t>
    </r>
  </si>
  <si>
    <r>
      <t xml:space="preserve">C.S. INTIPAMPA  </t>
    </r>
    <r>
      <rPr>
        <b/>
        <sz val="6"/>
        <color theme="1"/>
        <rFont val="Arial"/>
        <family val="2"/>
      </rPr>
      <t>(7)</t>
    </r>
  </si>
  <si>
    <r>
      <t xml:space="preserve">C.E. WAYRA I  </t>
    </r>
    <r>
      <rPr>
        <b/>
        <sz val="6"/>
        <color theme="1"/>
        <rFont val="Arial"/>
        <family val="2"/>
      </rPr>
      <t>(9)</t>
    </r>
  </si>
  <si>
    <r>
      <t xml:space="preserve">C.T. DOÑA CATALINA </t>
    </r>
    <r>
      <rPr>
        <b/>
        <sz val="6"/>
        <color theme="1"/>
        <rFont val="Arial"/>
        <family val="2"/>
      </rPr>
      <t>(10)</t>
    </r>
  </si>
  <si>
    <r>
      <t xml:space="preserve">C.H. HER 1  </t>
    </r>
    <r>
      <rPr>
        <b/>
        <sz val="6"/>
        <color theme="1"/>
        <rFont val="Arial"/>
        <family val="2"/>
      </rPr>
      <t>(11)</t>
    </r>
  </si>
  <si>
    <r>
      <t xml:space="preserve">C.H. ÁNGEL II  </t>
    </r>
    <r>
      <rPr>
        <b/>
        <sz val="6"/>
        <color theme="1"/>
        <rFont val="Arial"/>
        <family val="2"/>
      </rPr>
      <t>(12)</t>
    </r>
  </si>
  <si>
    <r>
      <t xml:space="preserve">C.H. ÁNGEL I </t>
    </r>
    <r>
      <rPr>
        <b/>
        <sz val="6"/>
        <color theme="1"/>
        <rFont val="Arial"/>
        <family val="2"/>
      </rPr>
      <t xml:space="preserve"> (12)</t>
    </r>
  </si>
  <si>
    <r>
      <t xml:space="preserve">C.H. ÁNGEL III  </t>
    </r>
    <r>
      <rPr>
        <b/>
        <sz val="6"/>
        <color theme="1"/>
        <rFont val="Arial"/>
        <family val="2"/>
      </rPr>
      <t>(12)</t>
    </r>
  </si>
  <si>
    <t>LUZ DEL SUR / INLAND  Total</t>
  </si>
  <si>
    <t>Lagunas Rajucolta (ORAZUL)</t>
  </si>
  <si>
    <t>L-2244  L-2245</t>
  </si>
  <si>
    <t>CHAVARRÍA - VENTANILLA</t>
  </si>
  <si>
    <r>
      <t>144,48</t>
    </r>
    <r>
      <rPr>
        <vertAlign val="superscript"/>
        <sz val="6"/>
        <rFont val="Arial"/>
        <family val="2"/>
      </rPr>
      <t>(1)</t>
    </r>
  </si>
  <si>
    <r>
      <t>123,61</t>
    </r>
    <r>
      <rPr>
        <vertAlign val="superscript"/>
        <sz val="6"/>
        <rFont val="Arial"/>
        <family val="2"/>
      </rPr>
      <t>(2)</t>
    </r>
  </si>
  <si>
    <r>
      <t>103,95</t>
    </r>
    <r>
      <rPr>
        <vertAlign val="superscript"/>
        <sz val="6"/>
        <rFont val="Arial"/>
        <family val="2"/>
      </rPr>
      <t>(3)</t>
    </r>
  </si>
  <si>
    <r>
      <t>44,54</t>
    </r>
    <r>
      <rPr>
        <vertAlign val="superscript"/>
        <sz val="6"/>
        <color theme="1"/>
        <rFont val="Arial"/>
        <family val="2"/>
      </rPr>
      <t>(1)</t>
    </r>
  </si>
  <si>
    <r>
      <t>132,30</t>
    </r>
    <r>
      <rPr>
        <vertAlign val="superscript"/>
        <sz val="6"/>
        <rFont val="Arial"/>
        <family val="2"/>
      </rPr>
      <t>(1)</t>
    </r>
  </si>
  <si>
    <t>ENEL GENERACIÓN PERU</t>
  </si>
  <si>
    <t>Viento</t>
  </si>
  <si>
    <t>M.C.I.</t>
  </si>
  <si>
    <t>C.T. Doña Catalina</t>
  </si>
  <si>
    <t>C.H. Her I</t>
  </si>
  <si>
    <t>C.H. Angel I</t>
  </si>
  <si>
    <t>C.H. Angel II</t>
  </si>
  <si>
    <t>C.H. Angel III</t>
  </si>
  <si>
    <t>G3 ; G4</t>
  </si>
  <si>
    <t>G1 ; G2</t>
  </si>
  <si>
    <t>29.08.2018</t>
  </si>
  <si>
    <t>30.08.2018</t>
  </si>
  <si>
    <t>Central a Biogás</t>
  </si>
  <si>
    <t>Turbina de Vapor (*)</t>
  </si>
  <si>
    <t>Turbina StreamDiver</t>
  </si>
  <si>
    <t xml:space="preserve">● Los valores de Potencia Efectiva de las centrales corresponden a la declaración de sus propietarios en los ingresos de operación comercial. </t>
  </si>
  <si>
    <t>1.1. Producción de energía eléctrica en setiembre 2018 en comparación al mismo mes del año anterior</t>
  </si>
  <si>
    <t>COMBAPATA - SICUANI - LINEA L-6001</t>
  </si>
  <si>
    <t>Desconectó la línea L-6001 (Combapata – Sicuani) de 66 kV, por falla monofásica a tierra en la fase “T”. De acuerdo a lo informado por ELECTRO SUR ESTE, titular de la línea, la falla se produjo por contacto de objeto extraño con la linea, provocado por fuertes vientos en la zona. El sistema de protección señalizó la activación de la función de distancia (21). Como consecuencia, se interrumpió el suministro de la S.E. Sicuani con un total de 2,51 MW. A las 17:02 h, se conectó la línea y se inició la normalización del suministro interrumpido.</t>
  </si>
  <si>
    <t>CHARCANI I - ALTO CAYMA - LINEA L-3005</t>
  </si>
  <si>
    <t>Desconectó la línea L-3005 (Charcani I – Alto Cayma) de 33 kV, por falla monofásica a tierra en la fase “S”, cuya causa no fue informada por SEAL, titular de la línea. El sistema de protección señalizo la activación de la protección de sobrecorriente a tierra (51N). Asimismo, desconectaron las líneas L-3103 y L-3104 (Chilina - Charcani IV - Charcani I) de 33 kV en las subestaciones Charcani IV y Charcani I. Como consecuencia se interrumpió el suministro de la S.E. Alto Cayma con un total de 4,22 MW y desconectaron las CC.HH. Charcani I, Charcani II, Charcani III y Charcani IV cuando generaban un total de 17,68 MW. A las 06:02 h, se conectaron las líneas L-3103 y L-3104. A las 06:05 h, 07:15 h, 07:22 h y 07:27 h, sincronizaron las C.C.H.H. Charcani IV, III, I y II, respectivamente. A las 09:42 h, se conectó la línea L-3005 y se inicio la normalización del suministro interrumpido.</t>
  </si>
  <si>
    <t>LUZ DEL SUR</t>
  </si>
  <si>
    <t>SAN JUAN - VILLA MARÍA - LINEA L-643</t>
  </si>
  <si>
    <t>Desconectó la línea L-643 (San Juan - Villa María) de 60 kV, cuya causa no fue informada por LUZ DEL SUR, titular de la línea. Cabe resaltar que, al momento de la desconexión, la línea paralela L-644 (San Juan - Villa María) se encontraba fuera de servicio por mantenimiento programado. Como consecuencia, se interrumpió el suministro de la S.E. Villa María con un total de 44,92 MW. A las 15:28 h, se conectó la línea L-644 y se inició la normalización del suministro interrumpido. A las 17:36 h, se conectó la línea L-643.</t>
  </si>
  <si>
    <t>CEMENTOS PACASMAYO</t>
  </si>
  <si>
    <t>GUADALUPE - PACASMAYO - LINEA L-6652</t>
  </si>
  <si>
    <t>Desconectó la línea L-6652 (Guadalupe – Pacasmayo) de 60 kV, cuya causa no fue informada por CEMENTOS PACASMAYO, titular de la línea. El sistema de protección señalizó la activación de la función de distancia (21) y ubicó la falla a 1,70 km de la S.E. Pacasmayo. No se produjo interrupción de suministros en el SEIN. El usuario libre Cementos Pacasmayo, redujo su carga en 0,73 MW. A las 06:50 h, el CCO-COES coordinó con el CC-CNP normalizar el total de sus suministros reducidos. A las 08:25 h, se conectó la línea.</t>
  </si>
  <si>
    <t>SIHUAS - TAYABAMBA - LINEA L-1133</t>
  </si>
  <si>
    <t>Desconectó la línea L-1133 (Sihuas - Tayabamba) de 138 kV. De acuerdo a lo informado por HIDRANDINA, titular de la línea, la falla se produjo en la línea y L-1134 (Tayabamba -Llacuabamba) de 138 kV de Consorcio Minero Horizonte. Como consecuencia se interrumpió el suministro de las subestaciones Tayabamba y Llacuabamba con un total de 22,07 MW y desconectó la C.H. Pías cuando generaba un total de 6,40 MW. A las 13:10 h, se conectó la línea L-1133 y se inició la normalización del suministro interrumpido. A las 11:40 h, sincronizó la C.H. Pias con el SEIN.</t>
  </si>
  <si>
    <t>CHIMBOTE SUR - NEPEÑA - LINEA L-1112</t>
  </si>
  <si>
    <t>Desconectó la línea L-1112 (Chimbote Sur - Nepeña) de 138 kV, por falla bifásica entre las fases “R” y “S”. De acuerdo con lo informado por HIDRANDINA, titular de la línea, la falla se produjo por quema de caña. El sistema de protección señalizó la activación de la función de distancia (21) y ubicó la falla a 0,70 km de la S.E. Chimbote Sur. Como consecuencia se interrumpió el suministro de las subestaciones San Jacinto, Nepeña y Casma con un total de 10,50 MW. A las 14:51 h, se conectó la línea y se inició la normalización del suministro interrumpido.</t>
  </si>
  <si>
    <t>Desconectó la línea L-1133 (Sihuas - Tayabamba) de 138 kV. De acuerdo a lo informado por HIDRANDINA, titular de la línea, la falla se produjo en la línea y L-1134 (Tayabamba -Llacuabamba) de 138 kV de Consorcio Minero Horizonte. Como consecuencia se interrumpió el suministro de las subestaciones Tayabamba y Llacuabamba con un total de 12,12 MW. A las 16:05 h, se conectó la línea L-1133 y se inició la normalización del suministro interrumpido.</t>
  </si>
  <si>
    <t>Equipo: S.E. HUARAZ OESTE - TRAFO3D TP-A049</t>
  </si>
  <si>
    <t>Desconectó el transformador TR-01 138/66/13.8 kV de la S.E. Huaraz Oeste, por falla del sistema de monitoreo de temperatura, de acuerdo a lo informado por HIDRANDINA, titular del equipo. Como consecuencia, se interrumpió el suministro de las subestaciones Huaraz y Ticapampa, con un total de 21,11 MW, asimismo, desconectó la C.H. Pariac cuando generaba 1,29 MW. El usuario libre Minera Pierina redujo su carga en 4,77 MW. A las 18:57 h, se conectó el transformador y se inició con la normalización del suministro interrumpido.</t>
  </si>
  <si>
    <t>Desconectó el transformador TR-01 138/66/13.8 kV de la S.E. Huaraz Oeste, por falla del sistema de monitoreo de temperatura, de acuerdo a lo informado por HIDRANDINA, titular del equipo. Como consecuencia, se interrumpió el suministro de las subestaciones Huaraz y Ticapampa, con un total de 16,00 MW, cabe resaltar que la C.H. Pariac, se encontraba fuera de servicio. El transformador quedo indisponible para su inspección. A las 19:24 h, se conectó la línea L-6684 (Caraz – Huaraz) de 60 kV y se inicio la recuperación parcial del suministro interrumpido desde la S.E. Huallanca 66 kV. A las 21:01 h, se energizo el transformador por pruebas. A las 22:19 h, se conectó el transformador y se inicio la recuperación total del suministro interrumpido.</t>
  </si>
  <si>
    <t>CHARCANI IV - CHILINA - LINEA L-3103</t>
  </si>
  <si>
    <t>Desconectó la línea L-3104 (Charcani IV – Charcani I – Chilina) de 33 kV, por falla monofásica a tierra en la fase “S”, cuya causa no ha sido informada por EGASA, titular de la línea. Asimismo, desconectaron las líneas L-3103 (Charcani IV – Charcani I – Chilina) y L-3002/3003 (Chilina – Convertidor) de 33 kV. Como consecuencia, se interrumpió el suministro de las subestaciones Alto Cayma, Chilina y San Lázaro con un total de 39,84 MW. Asimismo, desconectaron las centrales hidroeléctricas Charcani I, II, III y IV cuando generaban un total de 1,66 MW, 0,56 MW, 4,53 MW y 13,65 MW, respectivamente. A las 19:35 h, se conectó la línea L-3002. A las 19:50 h, se conectó la línea L-3103.A las 19:41 h, se inició la normalización del suministro interrumpido. A las 20:09 h, se conectó la línea L-3003. A las 19:42 h, 19:57 h, 20:05 h y 20:06 h, sincronizaron las centrales Charcani IV, Charcani III, Charcani I y Charcani II, respectivamente.</t>
  </si>
  <si>
    <t>Equipo: S.E. HUALLANCA - TRAFO3D TR 138/66/5.4</t>
  </si>
  <si>
    <t>El CCO-COES coordinó con el CC-HID ejecutar el rechazo manual de carga de 1,00 MW, debido a la sobrecarga del autotransformador T-11 de 138/66/5,4 kV de la S.E. Huallanca. Cabe resaltar que la carga de la S.E. Huallanca y Ticapampa estaba siendo alimentada desde la S.E. Huallanca por indisponibilidad del transformador TR-01 138/66/13.8 kV de la S.E. Huaraz Oeste. A las 19:43 h, el CCO-COES coordinó con el CC-HID incrementar el rechazo manual de carga en 0,50 MW. A las 19:57 h, el CCO-COES coordinó con CC-HID rechazar la carga del usuario libre Minera Tungsteno. A las 20:16 h, el CCO-COES coordinó con CC-HID rechazar la carga de todos los usuarios libres en las subestaciones Pallasca, Huaraz y Ticapampa. A las 20:25 h, el CCO-COES se coordinó con el CC-EDG rechazar la carga del usuario libre Minera Huinac. A las 21:14 h, se inició la recuperación gradual de la carga regulada rechazada. A las 21:58 h, se recuperó el total de la carga regulada rechazada de la S.E. Huaráz. A las 22:19 h, se conectó el transformador TR-01 de la S.E. Huaraz Oeste y se inicio la recuperación total de la carga rechazada.</t>
  </si>
  <si>
    <t>Desconectó la línea L-6001 (Combapata – Sicuani) de 66 kV, por falla monofásica a tierra en la fase “S”. De acuerdo a lo informado por ELECTRO SUR ESTE, titular de la línea, la falla se produjo por contacto de objeto extraño con la línea, provocado por fuertes vientos en la zona. El sistema de protección señalizó la activación de la función de distancia (21). Como consecuencia, se interrumpió el suministro de la S.E. Sicuani con un total de 2,30 MW. A las 16:29 h, se conectó la línea y se inició la normalización del suministro interrumpido.</t>
  </si>
  <si>
    <t>AZÁNGARO - ANTAUTA - LINEA L-6021</t>
  </si>
  <si>
    <t>Desconectó la línea L-6021 (Azángaro - Antauta) de 60 kV, por falla monofásica a tierra en la fase “S”. De acuerdo con lo informado por ELECTRO PUNO, titular de la línea, la falla se produjo por descargas atmosféricas. El sistema de protección señalizó la activación de la función de sobre corriente a tierra (51N). Como consecuencia se interrumpió el suministro de la S.E. Antauta con un total de 1,26 MW. A las 18:20 h, se conectó la línea y se inició la normalización del suministro interrumpido.</t>
  </si>
  <si>
    <t>GLORIA</t>
  </si>
  <si>
    <t>Equipo: S.E. GLORIA - SUMIN CL1204-GLORIA-60</t>
  </si>
  <si>
    <t>Desconectó la unidad G1 de la C.T. Illapu cuando generaba 9,59 MW, cuya causa no fue informada por GLORIA, titular de la unidad. No se produjo interrupción de suministros en el SEIN. El usuario libre Gloria redujo su carga en 5,99 MW. A las 06:53 h, el CCO-COES coordinó con el CC-GLR normalizar el total de su carga reducida. A las 08:05 h, sincronizó la unidad con el SEIN.</t>
  </si>
  <si>
    <t>ELECTRO NOR OESTE</t>
  </si>
  <si>
    <t>PIURA OESTE - PAITA - LINEA L-6654</t>
  </si>
  <si>
    <t>Desconectaron las líneas L-6654 (Piura Oeste – Paita), L6662B (La Huaca – El Arenal) y L-6660 (Paita – Tablazo) de 60 kV, por falla monofásica a tierra en la fase “T”. De acuerdo con lo informado por ENOSA, titular de las líneas, la falla se produjo por contacto de dos aves de rapiña en la estructura N° 28 de la línea L-6659 (Paita – Tierra Colorada) de 60 kV. Como consecuencia se interrumpió el suministro de las subestaciones Paita, Tierra Colorada y El Arenal con un total de 21,65 MW. Asimismo, desconectó la C.T. Tablazo cuando generaba 28,00 MW. A las 14:10 h, se conectó la línea L-6654 y se inició la normalización del suministro interrumpido de la S.E. Paita. A las 14:17 h y 14:21 h, se conectaron las líneas L-6660 y L-6663, respectivamente, con lo cual se inició la normalización del suministro interrumpido en la S.E. El Arenal. A las 15:21 h, se conectó la línea L-6659 y se inició la normalización del suministro interrumpido en la S.E. Tierra Colorada.</t>
  </si>
  <si>
    <t>Desconectó la línea L-6001 (Combapata – Sicuani) de 66 kV, por falla monofásica a tierra en la fase “S”. De acuerdo a lo informado por ELECTRO SUR ESTE, titular de la línea, la falla se produjo por contacto de objeto extraño con la línea, provocado por fuertes vientos en la zona. El sistema de protección señalizó la activación de la función de distancia (21). Como consecuencia, se interrumpió el suministro de la S.E. Sicuani con un total de 1,90 MW. A las 14:41 h, se conectó la línea y se inició la normalización del suministro interrumpido.</t>
  </si>
  <si>
    <t>AZÁNGARO - PUTINA - LINEA L-6024</t>
  </si>
  <si>
    <t>Desconectó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4,77 MW. A las 16:00 h, se conectó la línea y se inició la normalización del suministro interrumpido.</t>
  </si>
  <si>
    <t>ELECTRO ORIENTE</t>
  </si>
  <si>
    <t>TARAPOTO - PONGO CAYNARACHI - LINEA L-6093</t>
  </si>
  <si>
    <t>Desconectó la línea L-6093 (Tarapoto – Pongo de Caynarachi) de 60 kV, por falla bifásica a tierra en las fases “R” y “T”, cuya causa no fue informada por ELECTRO ORIENTE, titular de la línea. Como consecuencia se interrumpió el suministro de las subestaciones Pongo de Caynarachi y Yurimaguas con un total de 5,76 MW.A las 15:17 h, se conectó la línea y se inició la normalización del suministro interrumpido.</t>
  </si>
  <si>
    <t>Desconectó la línea L-6093 (Tarapoto – Pongo de Caynarachi) de 60 kV, por falla bifásica a tierra en las fases “R” y “T”, cuya causa no fue informada por ELECTRO ORIENTE, titular de la línea. El sistema de protección señalizó la activación de la función de sobre corriente a tierra (50N). Como consecuencia se interrumpió el suministro de las subestaciones Pongo de Caynarachi y Yurimaguas con un total de 6,30 MW. A las 15:44 h, se conectó la línea y se inició la normalización del suministro interrumpido.</t>
  </si>
  <si>
    <t>GUADALUPE - PACASMAYO PUEBLO - LINEA L-6653</t>
  </si>
  <si>
    <t>Desconectó la línea L-6653 (Guadalupe - Pacasmayo) de 60 kV, por falla monofásica a tierra en la fase “R”. De acuerdo con lo informado por HIDRANDINA, titular de la línea, la falla se produjo por contacto de ave (gallinazo) con la línea cerca de la estructura N° 83. El sistema de protección señalizó la activación de la función de distancia (21) y ubicó la falla a 2,30 km de la S.E. Guadalupe. Como consecuencia se interrumpió el suministro de la S.E. Pacasmayo con un total de 4,80 MW. A las 06:10 h, se conectó la línea y se inició la normalización del suministro interrumpido.</t>
  </si>
  <si>
    <t>ADINELSA ADN</t>
  </si>
  <si>
    <t>HUACHO - ANDAHUASI - LINEA L-6670</t>
  </si>
  <si>
    <t>Desconectó la línea L-6670 (Huacho - Andahuasi) de 66 kV, por falla monofásica a tierra en la fase “S”, cuya causa no fue informada por ADINELSA, titular de la línea. El sistema de protección señalizó la activación de la función de distancia (21) y ubicó la falla a 16,70 km de la S.E. Huacho. Como consecuencia se interrumpió el suministro de la S.E. Andahuasi con un total de 1,90 MW. Asimismo, desconectó la C.H. Yarucaya cuando generaba 16,57 MW. A las 08:57 h, se conectó la línea y se inició la normalización del suministro interrumpido.</t>
  </si>
  <si>
    <t>SAN GABÁN II - MAZUCO - LINEA L-1014</t>
  </si>
  <si>
    <t>Desconectó la línea L-1014 (San Gabán - Mazuco) de 138 kV, por falla monofásica a tierra en la fase “S”. De acuerdo con lo informado por ELECTRO SUR ESTE, titular de la línea, la falla se produjo por descargas atmosféricas. El sistema de protección señalizó la activación de la función de la función de distancia (21) y ubicó la falla a 53,96 km de la S.E. San Gabán. Como consecuencia se interrumpió el suministro de las subestaciones Mazuco y Puerto Maldonado con un total de 1,72 MW y 13,96 MW, respectivamente. Asimismo, desconectaron los grupos G1 y G2 de la C.H El Ángel II y los grupos G1 y G2 de la C.H. El Ángel III, con un total de 11,40 MW, por actuación de su protección de sobre frecuencia. A las 09:07 h, se conectó la línea L-1014 y se inició la normalización del suministro interrumpido. A las 10:03 h y 10:27 h, sincronizaron las centrales hidroeléctricas El Ángel II y El Ángel III, respectivamente.</t>
  </si>
  <si>
    <t>Desconectó la línea L-1014 (San Gabán - Mazuco) de 138 kV, por falla bifásica entre las fases “S” y “T”. De acuerdo con lo informado por ELECTRO SUR ESTE, titular de la línea, la falla se produjo por vientos huracanados. El sistema de protección señalizó la activación de la función de la función de distancia (21) y ubicó la falla a 4,39 km de la S.E. San Gabán. Como consecuencia se interrumpió el suministro de las subestaciones Mazuco y Puerto Maldonado con un total de 1,95 MW y 14,87 MW, respectivamente. Asimismo, desconectaron los grupos G1 y G2 de la C.H. Ángel I, los grupos G1 y G2 de la C.H. Ángel II y los grupos G1 y G2 de la C.H. Ángel III, con un total de 17,00 MW, por actuación de su protección de sobre frecuencia. A las 14:35 h, se conectó la línea L-1014 y se inició la normalización del suministro interrumpido. A las 15:05 h, 16:34 h y 16:50 h, sincronizaron las CC.HH. Ángel I, Ángel III y Ángel II, respectivamente.</t>
  </si>
  <si>
    <t>BELAUNDE TERRY - TARAPOTO - LINEA L-1018</t>
  </si>
  <si>
    <t>Desconectó la línea L-1018 (Belaunde Terry - Tarapoto) de 138 kV, por falla bifásica a tierra entre las fases “R” y “S”. De acuerdo con lo informado por ELECTRO ORIENTE, titular de la línea, la falla se produjo por contacto de fibra óptica con la línea en la estructura N° 147. El sistema de protección señalizó la activación de la función de distancia (21). Cabe resaltar que la línea L-1124 (Aucayacu – Tocache) de 138 kV, se encontraba fuera de servicio por mantenimiento. Como consecuencia se interrumpió el suministro de las subestaciones Tocache, Juanjuí, Bellavista, Tarapoto, Pongo de Caynarachi y Yurimaguas con un total de 42,44 MW. A las 11:28 h, se conectó la línea L-1018 y se inició la normalización de suministro interrumpido.</t>
  </si>
  <si>
    <t>Equipo: S.E. TAYABAMBA - TRAFO TP-A044</t>
  </si>
  <si>
    <t>Desconectó el transformador TP-A044 de 138/22.9 kV de la S.E. Tayabamba, por falla bifásica a tierra entre las fases “S” y “T”. De acuerdo con lo informado por HIDRANDINA, titular del equipo, la falla se produjo por descargas atmosféricas. El sistema de protección señalizó la activación de la función de sobre corriente (51). Como consecuencia se interrumpió el suministro de la S.E. Tayambamba con un total de 1,27 MW. A las 13:27 h, se conectó el transformador y se inició la normalización del suministro interrumpido.</t>
  </si>
  <si>
    <t>Desconectó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5,37 MW. A las 16:50 h, se conectó la línea y se inició la normalización del suministro interrumpido.</t>
  </si>
  <si>
    <t>Desconectó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3,59 MW. A las 18:04 h, se conectó la línea y se inició la normalización del suministro interrumpido.</t>
  </si>
  <si>
    <t>PUNO - POMATA - ILAVE - LINEA L-6027</t>
  </si>
  <si>
    <t>Desconectó la línea L-6027 (Puno – Pomata – Ilave) de 60 kV, por falla monofásica a tierra en la fase “R”. De acuerdo con lo informado por ELECTROPUNO, titular de la línea, la falla se produjo por descargas atmosféricas. El sistema de protección señalizó la activación de la función de sobre corriente a tierra (51N). Como consecuencia se interrumpió el suministro de las subestaciones Pomata e Ilave con un total de 5,76 MW. A las 20:02 h, se conectó la línea y se inició la normalización del suministro interrumpido.</t>
  </si>
  <si>
    <t>Equipo: S.E. PARAGSHA 2 - TRAFO3D T37-211</t>
  </si>
  <si>
    <t>Desconectó el transformador T37-211 de 220/138/10 kV de la S.E. Paragsha 2, cuya causa no fue informada por ISA PERÚ, titular del equipo. El sistema de protección señalizó la activación de la función de sobre corriente a tierra (51N). Asimismo, desconectó la línea L-1708 (Óxidos Cerro – Cinco Manantiales) de 138 kV, por descargas atmosféricas, de acuerdo a lo informado por MINERA BROCAL, titular de la línea. Como consecuencia se interrumpió el suministro de las subestaciones Paragsha 2, Amarilis, Huánuco, Piedra Blanca y Óxidos Cerro, con un total de 71,76 MW. A las 20:38 h, se conectó la línea L-1708. A las 20:40 h, se conectó la línea L-1708. A las 20:43 h, se conectó la línea L-1709. A las 20:54 h, se conectó la línea L-1121. A las 21:47 h, se conectó el transformador T37-211 y se inició la normalización del total de suministros interrumpidos.</t>
  </si>
  <si>
    <t>EL BROCAL .S.A.</t>
  </si>
  <si>
    <t>Equipo: S.E. CINCO MANANTIALES - CELDA CL-1708</t>
  </si>
  <si>
    <t>Desconectó la celda de la línea L-1708 (Óxidos Cerro – Cinco Manantiales) de 138 kV en la S.E. Cinco Manantiales, por falla. De acuerdo con lo informado por EL BROCAL, titular del equipo, la falla se produjo por descargas atmosféricas. El sistema de protección señalizó la activación de la función de distancia (21). No se produjo interrupción de suministros en el SEIN. A las 20:38 h, se conectó la línea.</t>
  </si>
  <si>
    <t>CARHUAMAYO - SHELBY - LINEA L-6515</t>
  </si>
  <si>
    <t>Desconectaron las líneas L-6515 (Carhuamayo – Shelby) y L-6517 (Excélsior – Shelby) de 50 kV, por falla monofásica a tierra en la fase “R”, cuya causa no fue informada por STATKRAFT, titular de las líneas. El sistema de protección señalizó la activación de la función de sobre corriente direccional a tierra (67N). Como consecuencia se interrumpió el suministro de las subestaciones Fundición, Shelby y San Juan, con un total de 2,50 MW. A las 17:40 h, se conectaron las líneas y se inició la normalización del suministro interrumpido.</t>
  </si>
  <si>
    <t>Desconectó la línea L-6024 (Azángaro - Putina) de 60 kV, por falla. De acuerdo con lo informado por ELECTRO PUNO, titular de la línea, la falla se produjo por fuertes vientos en la zona. El sistema de protección señalizó la activación de la función diferencial (87). Como consecuencia se interrumpió el suministro de la S.E. Ananea y Huancané con un total de 7,90 MW. A las 14:05 h, se conectó la línea y se inició la normalización del suministro interrumpido.</t>
  </si>
  <si>
    <t>PORVENIR - TRUJILLO SUR - LINEA L-1128</t>
  </si>
  <si>
    <t>Desconectó la línea L-1128 (Porvenir - Trujillo Sur) de 138 kV, por falla monofásica a tierra en la fase “R”. De acuerdo con lo informado por HIDRANDINA, titular de la línea, la falla se produjo por caída de una antena de radio sobre la línea. El sistema de protección señalizó la activación de la función diferencial de línea (87) y ubicó la falla a una distancia de 1,30 km de la S.E. Trujillo Sur. Como consecuencia se interrumpió el suministro de la S.E. Trujillo Sur con un total de 60,40 MW. Cabe resaltar que la línea L-1150 (Trujillo Noroeste – Trujillo Sur) de 138 kV fuera de servicio al momento de la falla. A las 23:26 h, se conectó la línea L-1150 (Trujillo Noroeste - Trujillo Sur) de 138 kV y se inició la normalización del suministro interrumpido.La línea L-1128 quedó fuera de servicio para su mantenimiento correctivo. A las 07:23 h del 20.09.2018, se conectó la línea L-1128, luego de su mantenimiento correctivo y se desconectó la línea L-1150.</t>
  </si>
  <si>
    <t>ARICOTA 2 - TOMASIRI - LINEA L-6620</t>
  </si>
  <si>
    <t>Desconectó las líneas L-6620 (Aricota II - Tomasiri) y L-6637 (Tomasiri - Los Héroes) de 66 kV, por falla monofásica a tierra en la fase “T”, cuya causa no ha sido informada por EGESUR, titular de la línea. El sistema de protección señalizo la activación de la función de distancia (21) en el lado de la S.E. Aricota 2 y sobrecorriente direccional a tierra (67N) en el lado de la S.E. Los Héroes. El sistema de protección detecto la falla a una distancia de 57,00 km de la S.E. Aricota 2. Como consecuencia se interrumpió el suministro de la S.E. Tomasiri con un total de 0,75 MW. A las 00:17 h del 20.09.2018, se conectó la línea L-6620 y se inició la normalización del suministro interrumpido. A las 00:29 h del 20.09.2018 se conectó la línea L-6637.</t>
  </si>
  <si>
    <t>PARAGSHA I - GOYLLAR - LINEA L-6524</t>
  </si>
  <si>
    <t>Desconectó la línea L-6524B (Pasco – Huicra – Antagasha – Goyllarisquizga) de 50 kV, por falla trifásica. De acuerdo a lo informado por STATKRAFT, titular de la línea, la falla se produjo por fuertes vientos en la zona. Como consecuencia se interrumpió el suministro de las subestaciones Huicra y Goyllarisquizga con 1.00 MW. A las 14:03 h, se conectó la línea y se inicio la normalización del suministro interrumpido.</t>
  </si>
  <si>
    <t>Desconectó de la línea L-6001 (Combapata - Sicuani) de 66 kV por falla monofásica a tierra fase "T", cuya causa no fue informada por ELECTRO SUR ESTE, titular de la línea. El sistema de protección señalizo la activación de la función de distancia (21). Como consecuencia se interrumpió el suministro de la S.E. Sicuani con un total de 0,70 MW. A la 15:47 h, se conectó la línea y se inició la normalización del suministro interrumpido.</t>
  </si>
  <si>
    <t>Desconectó la línea L-6021 (Azángaro - Antauta) de 60 kV por falla monofásica a tierra en la fase "R". De acuerdo a lo informado por ELECTRO PUNO, titular de la línea, la falla se produjo por fuertes vientos en la zona. Como consecuencia se interrumpió el suministro de la S.E. Antauta con un total de 1,36 MW. A las 18:03 h, se conectó la línea y se inició la normalización del suministro interrumpido.</t>
  </si>
  <si>
    <t>TRUJILLO NORTE - CHIMBOTE 1 - LINEA L-2233</t>
  </si>
  <si>
    <t>Desconectó la línea L-2233 (Chimbote 1 - Trujillo Norte) de 220 kV, por falla bifásica entre las fases “R” y “T”. De acuerdo a lo informado por REP, titular de la línea, la falla se produjo por quema de caña entre las estructuras N° 329 a 329. El sistema de protección señalizo la activación de la función de distancia (21). El sistema de protección detecto la falla a una distancia de 119,00 km de la S.E. Chimbote 1. No se produjo interrupción de suministros en el SEIN. Los usuarios libres Minera Yanacocha y Cementos Pacasmayo reportaron la reducción de su carga en 13,44 MW y 2,41 MW, respectivamente. A las 11:00 h y 11:01 h, el CCO-COES coordinó con el CC-CNP y CC-YAN recuperar el total de su carga reducida, respectivamente. La línea quedó indisponible para su inspección. A las 11:26 h, se conectó la línea.</t>
  </si>
  <si>
    <t>Desconectó la línea L-6001 (Combapata – Sicuani) de 66 kV, por falla monofásica a tierra en la fase “T”. De acuerdo a lo informado por ELECTRO SUR ESTE, titular de la línea, la falla se produjo por descargas atmosféricas. El sistema de protección señalizó la activación de la función de distancia (21). El sistema de protección detecto la falla a una distancia de 13,40 km de la S.E. Combapata. Como consecuencia, se interrumpió el suministro de la S.E. Sicuani con un total de 2,15 MW. A las 14:29 h, se conectó la línea y se inició la normalización del suministro interrumpido.</t>
  </si>
  <si>
    <t>Desconectó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6,57 MW. A las 15:29 h, se conectó la línea y se inició la normalización del suministro interrumpido.</t>
  </si>
  <si>
    <t>Desconectó las líneas L-6620 (Aricota II - Tomasiri) y L-6637 (Tomasiri - Los Héroes) de 66 kV, por falla monofásica a tierra en la fase “T”. De acuerdo a lo informado por EGESUR, titular de la línea, la falla se produjo por perdida de aislamiento por humedad en la zona. El sistema de protección señalizo la activación de la función de distancia (21) en el lado de la S.E. Aricota 2 y sobrecorriente direccional a tierra (67N) en el lado de la S.E. Los Héroes. El sistema de protección detecto la falla a una distancia de 78,50 km de la S.E. Aricota 2. Como consecuencia se interrumpió el suministro de la S.E. Tomasiri con un total de 1,20 MW. A las 19:00 h, se conectó la línea L-6620 y se inició la normalización del suministro interrumpido. La línea L-6637 quedó indisponible para su inspección. A las 10:26 h del 26.10.2018, se conectó la línea L-6637.</t>
  </si>
  <si>
    <t>Desconectó de la línea L-6001 (Combapata - Sicuani) de 66 kV por falla monofásica a tierra fase "T”. De acuerdo a lo informado por ELECTRO SUR ESTE, titular de la línea, la falla se produjo por fuertes vientos en la zona. El sistema de protección señalizo la activación de la función de distancia (21). El sistema de protección detecto la falla a una distancia de 6,00 km de la S.E. Sicuani. Como consecuencia se interrumpió el suministro de la S.E. Sicuani con un total de 2,37 MW. A la 16:53 h, se conectó la línea y se inició la normalización del suministro interrumpido.</t>
  </si>
  <si>
    <t>TARAPOTO - MOYOBAMBA - LINEA L-1018</t>
  </si>
  <si>
    <t>Desconectó la línea L-1018 (Belaunde Terry - Tarapoto) de 138 kV por falla monofásica a tierra en la fase “R”, cuya causa no fue informada por ELECTRO ORIENTE, titular de la línea. Como consecuencia desconectaron las líneas L-6090 (Moyobamba – Gera I) de 60 kV y L-3301 (Pongo Caynarachi – Yurimaguas) de 33 kV, por su protección de mínima tensión, interrumpiéndose un total de 5,61 MW. A las 14:20 h, El CC-EOR declaró al CCO-COES disponible la línea L-1018. 
A las 14:27 h, se realizo un intento de energización de la línea L-1018 desde la S.E. Tarapoto, sin éxito. A las 14:29 h, el CC-COES coordinó con el CC-EOR, normalizar las cargas interrumpidas. A las 14:32 h, se conectó la línea L-6090. A las 15:28 h, el CC-EOR sincronizó la unidad Wartsila 2 de la C.T. Tarapoto a requerimiento propio para mejorar los perfiles de tensión en la S.E. Tarapoto. A las 15:37 h, el CC-EOR declaró al CCO-COES disponible por segunda vez la línea L-1018. A las 15:40 h, se energizó la línea L-1018 desde la S.E. Tarapoto en vacío y se intentó conectar en el extremo de la S.E. Belaunde Terry con resultado negativo, de acuerdo a lo informado por el CC-CCN el equipo de mando sincronizado no estaba operando de forma correcta por lo cual se tuvo que desconectar la línea L-1018 en la S.E. Tarapoto. A las 15:47 h, se energizó la línea L-1018 desde la S.E. Belaunde Terry. A las 15:49 h, se conectó la línea L-1018 en la S.E. Tarapoto. A las 15:50 h, el CC-EOR desconectó la unidad Wartsila 2 de la C.T. Tarapoto.</t>
  </si>
  <si>
    <t>Desconectó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8,28 MW. A las 13:22 h, se conectó la línea y se inició la normalización del suministro interrumpido.</t>
  </si>
  <si>
    <t>MINERA ARUNTANI</t>
  </si>
  <si>
    <t>PUNO - TUCARI - LINEA L-6007</t>
  </si>
  <si>
    <t>Desconectó la línea L-6007 (Puno - Tucari) de 60 kV, por falla monofásica a tierra en la fase “S”. De acuerdo con lo informado por MINERA ARUNTANI, titular de la línea, la falla se produjo por descargas atmosféricas. El sistema de protección señalizó la activación de la función de distancia (21). El sistema de protección detecto la falla a una distancia de 3,00 km de la S.E. Puno. Como consecuencia se interrumpió el suministro de la S.E. Tucari con un total de 5,45 MW aproximadamente. A las 14:54 h, se conectó la línea y se inició la normalización del suministro interrumpido.</t>
  </si>
  <si>
    <t>Desconectó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10,26 MW. A las 16:52 h, se conectó la línea y se inició la normalización del suministro interrumpido.</t>
  </si>
  <si>
    <t>Equipo: S.E. ABANCAY - TRAFO3D TA-TR-1001</t>
  </si>
  <si>
    <t>Desconectó el transformador T1 de la S.E. Abancay de 138/60/13,2 kV, cuya causa no fue informada por ELECTRO SUR ESTE, titular del equipo. Asimismo, desconectó la línea L-1039 (Abancay Nueva – Abancay) de 138 kV, por actuación de su protección de sobre corriente a tierra (67N), en la S.E. Abancay Nueva. Como consecuencia se interrumpió el suministro de las subestaciones Tamburco, Andahuaylas, Chacapuente y Chuquibambilla con un total de 15,89 MW. El transformador quedo indisponible. A las 15:47 h, el CC-REP declaro al CCO-COES disponible la línea L-1039, pero quedo fuera de servicio a solicitud de Electro Sur Este. A las 17:25 h, el CC-ELS inicio la recuperación de carga de la S.E. Chacapuente con generacion propia.</t>
  </si>
  <si>
    <t xml:space="preserve">MINERA VOLCAN </t>
  </si>
  <si>
    <t>POMACOCHA - SAN CRISTOBAL - LINEA L-6545</t>
  </si>
  <si>
    <t>Desconexión de la línea L-6527E (San Cristóbal - Andaychagua) de 50 kV por falla monofásica a tierra en la fase “S”. De acuerdo a lo informado por MINERA VOLCÁN titular de la linea, la falla se produjo por descargas atmosféricas. El sistema de protección señalizo la activación de la función de distancia (21). Como consecuencia se interrumpió el suministro de las subestaciones San Cristóbal y Andaychagua con un total de 14,19 MW. A las 17:40 h, se conectó la línea y se inicio la normalización del suministro interrumpido.</t>
  </si>
  <si>
    <t>setiembre</t>
  </si>
  <si>
    <t>01/09/2018</t>
  </si>
  <si>
    <t>02/09/2018</t>
  </si>
  <si>
    <t>03/09/2018</t>
  </si>
  <si>
    <t>04/09/2018</t>
  </si>
  <si>
    <t>05/09/2018</t>
  </si>
  <si>
    <t>06/09/2018</t>
  </si>
  <si>
    <t>07/09/2018</t>
  </si>
  <si>
    <t>08/09/2018</t>
  </si>
  <si>
    <t>09/09/2018</t>
  </si>
  <si>
    <t>10/09/2018</t>
  </si>
  <si>
    <t>11/09/2018</t>
  </si>
  <si>
    <t>11:15</t>
  </si>
  <si>
    <t>12/09/2018</t>
  </si>
  <si>
    <t>13/09/2018</t>
  </si>
  <si>
    <t>14/09/2018</t>
  </si>
  <si>
    <t>15/09/2018</t>
  </si>
  <si>
    <t>16/09/2018</t>
  </si>
  <si>
    <t>00:15</t>
  </si>
  <si>
    <t>17/09/2018</t>
  </si>
  <si>
    <t>18/09/2018</t>
  </si>
  <si>
    <t>19/09/2018</t>
  </si>
  <si>
    <t>20/09/2018</t>
  </si>
  <si>
    <t>21/09/2018</t>
  </si>
  <si>
    <t>22/09/2018</t>
  </si>
  <si>
    <t>23/09/2018</t>
  </si>
  <si>
    <t>24/09/2018</t>
  </si>
  <si>
    <t>25/09/2018</t>
  </si>
  <si>
    <t>26/09/2018</t>
  </si>
  <si>
    <t>27/09/2018</t>
  </si>
  <si>
    <t>28/09/2018</t>
  </si>
  <si>
    <t>29/09/2018</t>
  </si>
  <si>
    <t>12:15</t>
  </si>
  <si>
    <t>30/09/2018</t>
  </si>
  <si>
    <t>6 554,195 MW</t>
  </si>
  <si>
    <t>VOLUMEN  UTIL
30-09-2018</t>
  </si>
  <si>
    <t>VOLUMEN UTIL
30-09-2017</t>
  </si>
  <si>
    <t>T-30  T3-261  T4-261</t>
  </si>
  <si>
    <t>T37-211</t>
  </si>
  <si>
    <t>L-2213 L-2279</t>
  </si>
  <si>
    <t>TINGO MARÍA</t>
  </si>
  <si>
    <t>INDEPENDENCIA</t>
  </si>
  <si>
    <t>PARAGSHA 2</t>
  </si>
  <si>
    <t>HUACHO - PARAMONGA NUEVA</t>
  </si>
  <si>
    <t>AT82-211</t>
  </si>
  <si>
    <t>TRANSFORMADOR 3D</t>
  </si>
  <si>
    <t>SUMINISTRO</t>
  </si>
  <si>
    <t>El total de la producción de energía eléctrica de la empresas generadoras integrantes del COES en el mes de setiembre 2018 fue de 4 143,36  GWh, lo que representa un incremento de 130,23 GWh (3,24%) en comparación con el año 2017.</t>
  </si>
  <si>
    <t>La producción de electricidad con centrales hidroeléctricas durante el mes de setiembre 2018 fue de 1 656,44 GWh (10,48% menor al registrado durante setiembre del año 2017).</t>
  </si>
  <si>
    <t xml:space="preserve">La producción de electricidad con centrales termoeléctricas durante el mes de setiembre 2018 fue de 2 273,55 GWh, 11,91% mayor al registrado durante setiembre del año 2017. La participación del gas natural de Camisea fue de 50,57%, mientras que las del gas que proviene de los yacimientos de Aguaytía y Malacas fue del 3,82%, la producción con diesel, residual, carbón, biogás y bagazo tuvieron una intervención del 0,15%, 0,00%, 0,00%, 0,12%, 0,20% respectivamente.								</t>
  </si>
  <si>
    <r>
      <t xml:space="preserve">C.S. RUBI </t>
    </r>
    <r>
      <rPr>
        <b/>
        <sz val="6"/>
        <color theme="1"/>
        <rFont val="Arial"/>
        <family val="2"/>
      </rPr>
      <t xml:space="preserve"> (3)</t>
    </r>
  </si>
  <si>
    <r>
      <t xml:space="preserve">C.E. WAYRA I </t>
    </r>
    <r>
      <rPr>
        <b/>
        <sz val="6"/>
        <color theme="1"/>
        <rFont val="Arial"/>
        <family val="2"/>
      </rPr>
      <t xml:space="preserve"> (9)</t>
    </r>
  </si>
  <si>
    <r>
      <t xml:space="preserve">C.H. HER 1 </t>
    </r>
    <r>
      <rPr>
        <b/>
        <sz val="6"/>
        <color theme="1"/>
        <rFont val="Arial"/>
        <family val="2"/>
      </rPr>
      <t xml:space="preserve"> (11)</t>
    </r>
  </si>
  <si>
    <r>
      <t xml:space="preserve">C.H. ÁNGEL II </t>
    </r>
    <r>
      <rPr>
        <b/>
        <sz val="6"/>
        <color theme="1"/>
        <rFont val="Arial"/>
        <family val="2"/>
      </rPr>
      <t xml:space="preserve"> (12)</t>
    </r>
  </si>
  <si>
    <r>
      <t>C.H. CERRO DEL AGUILA</t>
    </r>
    <r>
      <rPr>
        <b/>
        <sz val="6"/>
        <color theme="1"/>
        <rFont val="Arial"/>
        <family val="2"/>
      </rPr>
      <t xml:space="preserve"> (1)</t>
    </r>
  </si>
  <si>
    <r>
      <t>C.T. LA GRINGA</t>
    </r>
    <r>
      <rPr>
        <b/>
        <sz val="6"/>
        <color theme="1"/>
        <rFont val="Arial"/>
        <family val="2"/>
      </rPr>
      <t xml:space="preserve">  (2)</t>
    </r>
  </si>
  <si>
    <r>
      <t xml:space="preserve">C.H. RENOVANDES H1 </t>
    </r>
    <r>
      <rPr>
        <b/>
        <sz val="6"/>
        <color theme="1"/>
        <rFont val="Arial"/>
        <family val="2"/>
      </rPr>
      <t xml:space="preserve"> (5)</t>
    </r>
  </si>
  <si>
    <t>(13) Se incluye la operación por puebas de la C.H. Patapo</t>
  </si>
  <si>
    <r>
      <t xml:space="preserve">C.H. PATAPO  </t>
    </r>
    <r>
      <rPr>
        <b/>
        <sz val="6"/>
        <color theme="1"/>
        <rFont val="Arial"/>
        <family val="2"/>
      </rPr>
      <t>(13)</t>
    </r>
  </si>
  <si>
    <t>C.H. CERRO DEL AGUILA  (1)</t>
  </si>
  <si>
    <r>
      <t>C.S. INTIPAMPA</t>
    </r>
    <r>
      <rPr>
        <b/>
        <sz val="6"/>
        <color theme="1"/>
        <rFont val="Arial"/>
        <family val="2"/>
      </rPr>
      <t xml:space="preserve"> (7)</t>
    </r>
  </si>
  <si>
    <r>
      <t xml:space="preserve">C.T. DOÑA CATALINA  </t>
    </r>
    <r>
      <rPr>
        <b/>
        <sz val="6"/>
        <color theme="1"/>
        <rFont val="Arial"/>
        <family val="2"/>
      </rPr>
      <t>(10)</t>
    </r>
  </si>
  <si>
    <t xml:space="preserve">La producción de energía eléctrica con centrales eólicas fue de 112,36 GWh y con centrales solares fue de 18,93 GWh, los cuales tuvieron una participación de 3,42% y 1,73% respectivamente.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</si>
</sst>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s>
  <fonts count="82">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5"/>
      <color rgb="FFA3A3A3"/>
      <name val="Arial"/>
      <family val="2"/>
    </font>
    <font>
      <sz val="8"/>
      <color rgb="FFA3A3A3"/>
      <name val="Arial"/>
      <family val="2"/>
    </font>
    <font>
      <b/>
      <sz val="5"/>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vertAlign val="superscript"/>
      <sz val="6"/>
      <name val="Arial"/>
      <family val="2"/>
    </font>
    <font>
      <vertAlign val="superscript"/>
      <sz val="6"/>
      <color theme="1"/>
      <name val="Arial"/>
      <family val="2"/>
    </font>
    <font>
      <b/>
      <sz val="12"/>
      <color rgb="FF1F2532"/>
      <name val="Calibri"/>
      <family val="2"/>
    </font>
  </fonts>
  <fills count="13">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theme="4" tint="-0.24997711111789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44">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tint="0.39997558519241921"/>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70" fontId="5" fillId="0" borderId="0"/>
    <xf numFmtId="172" fontId="35" fillId="0" borderId="0"/>
    <xf numFmtId="0" fontId="39" fillId="0" borderId="0"/>
    <xf numFmtId="0" fontId="39" fillId="0" borderId="0"/>
  </cellStyleXfs>
  <cellXfs count="1000">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166"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4"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4" fontId="13" fillId="0" borderId="1" xfId="0" applyNumberFormat="1" applyFont="1" applyFill="1" applyBorder="1" applyAlignment="1">
      <alignment horizontal="right"/>
    </xf>
    <xf numFmtId="0" fontId="13" fillId="0" borderId="0" xfId="0" applyFont="1" applyBorder="1" applyAlignment="1"/>
    <xf numFmtId="166" fontId="13" fillId="0" borderId="0" xfId="2" applyNumberFormat="1" applyFont="1" applyFill="1" applyBorder="1" applyAlignment="1">
      <alignment horizontal="right"/>
    </xf>
    <xf numFmtId="164"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4" fontId="13" fillId="0" borderId="0" xfId="0" applyNumberFormat="1" applyFont="1" applyFill="1" applyBorder="1" applyAlignment="1">
      <alignment horizontal="left"/>
    </xf>
    <xf numFmtId="1" fontId="13" fillId="0" borderId="1" xfId="0" applyNumberFormat="1" applyFont="1" applyFill="1" applyBorder="1"/>
    <xf numFmtId="165"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5"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7"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8"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7" fontId="4" fillId="0" borderId="0"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69"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7" fontId="21" fillId="0" borderId="0" xfId="0" applyNumberFormat="1" applyFont="1" applyFill="1" applyBorder="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7" fontId="21" fillId="2" borderId="0" xfId="0" applyNumberFormat="1" applyFont="1" applyFill="1" applyBorder="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67" fontId="13" fillId="0" borderId="24" xfId="0" applyNumberFormat="1" applyFont="1" applyFill="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Fill="1" applyBorder="1" applyAlignment="1">
      <alignment horizontal="left" vertical="center"/>
    </xf>
    <xf numFmtId="166"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7" fontId="21" fillId="4" borderId="23" xfId="0" applyNumberFormat="1" applyFont="1" applyFill="1" applyBorder="1" applyAlignment="1">
      <alignment horizontal="lef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6" fontId="21" fillId="2" borderId="0" xfId="2" applyNumberFormat="1" applyFont="1" applyFill="1" applyBorder="1"/>
    <xf numFmtId="169" fontId="13" fillId="4" borderId="3" xfId="0" applyNumberFormat="1" applyFont="1" applyFill="1" applyBorder="1" applyAlignment="1">
      <alignment horizontal="left" vertical="center"/>
    </xf>
    <xf numFmtId="169" fontId="13" fillId="0" borderId="3" xfId="0" applyNumberFormat="1" applyFont="1" applyFill="1" applyBorder="1" applyAlignment="1">
      <alignment horizontal="left" vertical="center"/>
    </xf>
    <xf numFmtId="169" fontId="13" fillId="4" borderId="41" xfId="0" applyNumberFormat="1" applyFont="1" applyFill="1" applyBorder="1" applyAlignment="1">
      <alignment horizontal="left" vertical="center"/>
    </xf>
    <xf numFmtId="169" fontId="21" fillId="0" borderId="55" xfId="0" applyNumberFormat="1" applyFont="1" applyFill="1" applyBorder="1" applyAlignment="1">
      <alignment horizontal="left" vertical="center"/>
    </xf>
    <xf numFmtId="0" fontId="13" fillId="2" borderId="0" xfId="0" applyNumberFormat="1" applyFont="1" applyFill="1" applyBorder="1"/>
    <xf numFmtId="0" fontId="21" fillId="2" borderId="0" xfId="0" applyNumberFormat="1" applyFont="1" applyFill="1" applyBorder="1" applyAlignment="1">
      <alignment horizontal="right"/>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Border="1" applyAlignment="1">
      <alignment vertical="center"/>
    </xf>
    <xf numFmtId="0" fontId="8" fillId="0" borderId="0" xfId="0" applyFont="1" applyAlignment="1">
      <alignment vertical="center"/>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69" xfId="0" applyNumberFormat="1" applyFont="1" applyBorder="1" applyAlignment="1">
      <alignment vertical="center"/>
    </xf>
    <xf numFmtId="4" fontId="0" fillId="0" borderId="70" xfId="0" applyNumberFormat="1" applyFont="1" applyBorder="1" applyAlignment="1">
      <alignment vertical="center"/>
    </xf>
    <xf numFmtId="166" fontId="0" fillId="0" borderId="71" xfId="2" applyNumberFormat="1" applyFont="1" applyBorder="1" applyAlignment="1">
      <alignment vertical="center"/>
    </xf>
    <xf numFmtId="4" fontId="0" fillId="4" borderId="72" xfId="0" applyNumberFormat="1" applyFont="1" applyFill="1" applyBorder="1" applyAlignment="1">
      <alignment vertical="center"/>
    </xf>
    <xf numFmtId="4" fontId="0" fillId="4" borderId="73" xfId="0" applyNumberFormat="1" applyFont="1" applyFill="1" applyBorder="1" applyAlignment="1">
      <alignment vertical="center"/>
    </xf>
    <xf numFmtId="166" fontId="0" fillId="4" borderId="74"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0" fontId="13" fillId="2" borderId="0" xfId="0" quotePrefix="1" applyNumberFormat="1" applyFont="1" applyFill="1" applyBorder="1" applyAlignment="1">
      <alignment horizontal="right" vertical="top"/>
    </xf>
    <xf numFmtId="4" fontId="0" fillId="0" borderId="70" xfId="0" applyNumberFormat="1" applyFont="1" applyBorder="1" applyAlignment="1">
      <alignment horizontal="right"/>
    </xf>
    <xf numFmtId="166" fontId="0" fillId="0" borderId="71" xfId="2" applyNumberFormat="1" applyFont="1" applyBorder="1"/>
    <xf numFmtId="4" fontId="0" fillId="4" borderId="73" xfId="0" applyNumberFormat="1" applyFont="1" applyFill="1" applyBorder="1" applyAlignment="1">
      <alignment horizontal="right"/>
    </xf>
    <xf numFmtId="166" fontId="0" fillId="4" borderId="74" xfId="2" applyNumberFormat="1" applyFont="1" applyFill="1" applyBorder="1"/>
    <xf numFmtId="4" fontId="0" fillId="4" borderId="72" xfId="0" applyNumberFormat="1" applyFont="1" applyFill="1" applyBorder="1"/>
    <xf numFmtId="4" fontId="0" fillId="0" borderId="69"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6" xfId="0" applyNumberFormat="1" applyFont="1" applyFill="1" applyBorder="1"/>
    <xf numFmtId="4" fontId="0" fillId="4" borderId="77" xfId="0" applyNumberFormat="1" applyFont="1" applyFill="1" applyBorder="1" applyAlignment="1">
      <alignment horizontal="right"/>
    </xf>
    <xf numFmtId="166" fontId="0" fillId="4" borderId="78"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0" fontId="0" fillId="0" borderId="0" xfId="0" applyFont="1" applyFill="1" applyBorder="1" applyAlignment="1">
      <alignment horizontal="center"/>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2" fontId="13" fillId="0" borderId="0" xfId="0" applyNumberFormat="1" applyFont="1" applyFill="1" applyAlignment="1">
      <alignment vertical="center"/>
    </xf>
    <xf numFmtId="4" fontId="13" fillId="0"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49" fontId="13" fillId="0" borderId="0" xfId="0" applyNumberFormat="1" applyFont="1" applyBorder="1" applyAlignment="1">
      <alignment horizontal="right" vertical="center"/>
    </xf>
    <xf numFmtId="0" fontId="13"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21" fillId="2" borderId="0" xfId="0" applyNumberFormat="1" applyFont="1" applyFill="1"/>
    <xf numFmtId="169" fontId="13" fillId="2" borderId="0" xfId="0" applyNumberFormat="1" applyFont="1" applyFill="1"/>
    <xf numFmtId="0" fontId="13" fillId="2" borderId="0" xfId="0" applyNumberFormat="1" applyFont="1" applyFill="1" applyAlignment="1">
      <alignment horizontal="right"/>
    </xf>
    <xf numFmtId="1" fontId="13" fillId="0" borderId="0" xfId="0" applyNumberFormat="1" applyFont="1" applyFill="1" applyBorder="1" applyAlignment="1">
      <alignment horizontal="right" vertical="center" wrapText="1"/>
    </xf>
    <xf numFmtId="0" fontId="12" fillId="2" borderId="0" xfId="0" applyNumberFormat="1"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29"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0" fontId="23" fillId="2" borderId="0" xfId="0" applyNumberFormat="1" applyFont="1" applyFill="1"/>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7" fontId="13" fillId="0" borderId="25" xfId="0" applyNumberFormat="1" applyFont="1" applyFill="1" applyBorder="1" applyAlignment="1">
      <alignment horizontal="left"/>
    </xf>
    <xf numFmtId="167"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0" fillId="0" borderId="0" xfId="0" applyNumberFormat="1" applyFont="1"/>
    <xf numFmtId="169" fontId="13" fillId="0" borderId="3" xfId="0" applyNumberFormat="1" applyFont="1" applyFill="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Fill="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82" xfId="0" applyNumberFormat="1" applyFont="1" applyFill="1" applyBorder="1" applyAlignment="1">
      <alignment horizontal="center" vertical="center" wrapText="1"/>
    </xf>
    <xf numFmtId="166" fontId="13" fillId="0" borderId="88" xfId="2" applyNumberFormat="1" applyFont="1" applyBorder="1" applyAlignment="1">
      <alignment horizontal="center" vertical="center"/>
    </xf>
    <xf numFmtId="0" fontId="37" fillId="2" borderId="0" xfId="0" applyNumberFormat="1" applyFont="1" applyFill="1" applyBorder="1" applyAlignment="1"/>
    <xf numFmtId="0" fontId="37" fillId="2" borderId="0" xfId="0" applyNumberFormat="1" applyFont="1" applyFill="1" applyBorder="1"/>
    <xf numFmtId="0" fontId="33" fillId="2" borderId="0" xfId="0" applyNumberFormat="1" applyFont="1" applyFill="1" applyAlignment="1"/>
    <xf numFmtId="0" fontId="21" fillId="2" borderId="0" xfId="0" quotePrefix="1" applyNumberFormat="1" applyFont="1" applyFill="1" applyAlignment="1">
      <alignment vertical="center"/>
    </xf>
    <xf numFmtId="0" fontId="30" fillId="0" borderId="0" xfId="0" applyFont="1" applyFill="1"/>
    <xf numFmtId="0" fontId="30" fillId="0" borderId="0" xfId="0" applyFont="1"/>
    <xf numFmtId="0" fontId="33" fillId="0" borderId="0" xfId="0" applyFont="1" applyFill="1" applyBorder="1" applyAlignment="1">
      <alignment vertical="center"/>
    </xf>
    <xf numFmtId="0" fontId="33" fillId="0" borderId="0" xfId="0" applyNumberFormat="1" applyFont="1" applyFill="1" applyAlignment="1">
      <alignment vertical="center" wrapText="1"/>
    </xf>
    <xf numFmtId="0" fontId="33" fillId="0" borderId="0" xfId="0" applyNumberFormat="1" applyFont="1" applyFill="1" applyAlignment="1">
      <alignment horizontal="left" vertical="center" wrapText="1"/>
    </xf>
    <xf numFmtId="2" fontId="33" fillId="0" borderId="0" xfId="0" applyNumberFormat="1" applyFont="1" applyFill="1" applyAlignment="1">
      <alignment vertical="center" wrapText="1"/>
    </xf>
    <xf numFmtId="4" fontId="27" fillId="0" borderId="137" xfId="0" applyNumberFormat="1" applyFont="1" applyBorder="1" applyAlignment="1">
      <alignment vertical="center"/>
    </xf>
    <xf numFmtId="4" fontId="27" fillId="0" borderId="137" xfId="0" applyNumberFormat="1" applyFont="1" applyBorder="1"/>
    <xf numFmtId="4" fontId="27" fillId="6" borderId="137" xfId="0" applyNumberFormat="1" applyFont="1" applyFill="1" applyBorder="1"/>
    <xf numFmtId="173" fontId="0" fillId="0" borderId="0" xfId="0" applyNumberFormat="1" applyFont="1"/>
    <xf numFmtId="0" fontId="3" fillId="0" borderId="0" xfId="0" applyNumberFormat="1" applyFont="1"/>
    <xf numFmtId="0" fontId="4" fillId="0" borderId="0" xfId="0" applyNumberFormat="1" applyFont="1"/>
    <xf numFmtId="0" fontId="33" fillId="2" borderId="0" xfId="0" applyNumberFormat="1" applyFont="1" applyFill="1" applyAlignment="1">
      <alignment horizontal="left" vertical="center"/>
    </xf>
    <xf numFmtId="0" fontId="33" fillId="2" borderId="0" xfId="0" applyNumberFormat="1" applyFont="1" applyFill="1" applyAlignment="1">
      <alignment vertical="center"/>
    </xf>
    <xf numFmtId="0" fontId="30" fillId="0" borderId="0" xfId="0" applyFont="1" applyFill="1" applyAlignment="1">
      <alignment vertical="center"/>
    </xf>
    <xf numFmtId="0" fontId="33"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vertical="center"/>
    </xf>
    <xf numFmtId="0" fontId="30" fillId="0" borderId="0" xfId="0" applyFont="1" applyAlignment="1">
      <alignment vertical="center"/>
    </xf>
    <xf numFmtId="0" fontId="30" fillId="0" borderId="0" xfId="0" applyFont="1" applyFill="1" applyAlignment="1">
      <alignment horizontal="center" vertical="center"/>
    </xf>
    <xf numFmtId="0" fontId="36" fillId="8" borderId="82" xfId="0" applyFont="1" applyFill="1" applyBorder="1" applyAlignment="1">
      <alignment horizontal="center" vertical="center"/>
    </xf>
    <xf numFmtId="43" fontId="36" fillId="8" borderId="82" xfId="1" applyFont="1" applyFill="1" applyBorder="1" applyAlignment="1">
      <alignment horizontal="center" vertical="center"/>
    </xf>
    <xf numFmtId="4" fontId="36" fillId="8" borderId="82" xfId="0" applyNumberFormat="1" applyFont="1" applyFill="1" applyBorder="1" applyAlignment="1">
      <alignment horizontal="center" vertical="center"/>
    </xf>
    <xf numFmtId="0" fontId="36" fillId="8" borderId="82" xfId="0" applyNumberFormat="1" applyFont="1" applyFill="1" applyBorder="1" applyAlignment="1">
      <alignment horizontal="center" vertical="center" wrapText="1"/>
    </xf>
    <xf numFmtId="0" fontId="31" fillId="0" borderId="82" xfId="0" applyNumberFormat="1" applyFont="1" applyFill="1" applyBorder="1" applyAlignment="1">
      <alignment vertical="center" wrapText="1"/>
    </xf>
    <xf numFmtId="22" fontId="31" fillId="0" borderId="82" xfId="0" applyNumberFormat="1" applyFont="1" applyFill="1" applyBorder="1" applyAlignment="1">
      <alignment horizontal="center" vertical="center" wrapText="1"/>
    </xf>
    <xf numFmtId="0" fontId="31" fillId="0" borderId="82" xfId="0" applyNumberFormat="1" applyFont="1" applyFill="1" applyBorder="1" applyAlignment="1">
      <alignment horizontal="center" vertical="center" wrapText="1"/>
    </xf>
    <xf numFmtId="0" fontId="13" fillId="0" borderId="0" xfId="0" applyFont="1" applyFill="1" applyAlignment="1"/>
    <xf numFmtId="43" fontId="13" fillId="0" borderId="0" xfId="1" applyFont="1" applyFill="1" applyAlignment="1"/>
    <xf numFmtId="0" fontId="43" fillId="0" borderId="0" xfId="0" applyFont="1" applyFill="1" applyAlignment="1"/>
    <xf numFmtId="0" fontId="44" fillId="0" borderId="0" xfId="0" applyFont="1" applyFill="1" applyBorder="1" applyAlignment="1">
      <alignment vertical="center"/>
    </xf>
    <xf numFmtId="0" fontId="45" fillId="0" borderId="0" xfId="0" applyFont="1" applyFill="1" applyAlignment="1">
      <alignment vertical="center"/>
    </xf>
    <xf numFmtId="0" fontId="44" fillId="0" borderId="0" xfId="0" applyNumberFormat="1" applyFont="1" applyFill="1" applyBorder="1" applyAlignment="1">
      <alignment vertical="center"/>
    </xf>
    <xf numFmtId="0" fontId="46" fillId="0" borderId="0" xfId="0" applyFont="1" applyFill="1" applyBorder="1" applyAlignment="1">
      <alignment vertical="center"/>
    </xf>
    <xf numFmtId="0" fontId="44" fillId="0" borderId="0" xfId="0" applyFont="1" applyFill="1" applyBorder="1" applyAlignment="1">
      <alignment horizontal="center" vertical="center"/>
    </xf>
    <xf numFmtId="0" fontId="46" fillId="0" borderId="0" xfId="0" applyFont="1" applyFill="1" applyBorder="1" applyAlignment="1">
      <alignment horizontal="justify" vertical="center"/>
    </xf>
    <xf numFmtId="0" fontId="47" fillId="0" borderId="0" xfId="0" applyFont="1" applyFill="1" applyBorder="1" applyAlignment="1">
      <alignment vertical="center"/>
    </xf>
    <xf numFmtId="0" fontId="45" fillId="0" borderId="0" xfId="0" applyFont="1"/>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48" fillId="0" borderId="0" xfId="0"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0" fillId="0" borderId="0" xfId="0" applyFont="1" applyFill="1" applyBorder="1" applyAlignment="1">
      <alignment vertical="center"/>
    </xf>
    <xf numFmtId="0" fontId="51" fillId="0" borderId="0" xfId="0" applyFont="1" applyFill="1" applyAlignment="1">
      <alignment vertical="center"/>
    </xf>
    <xf numFmtId="0" fontId="50" fillId="0" borderId="0" xfId="0" applyNumberFormat="1" applyFont="1" applyFill="1" applyBorder="1" applyAlignment="1">
      <alignment vertical="center"/>
    </xf>
    <xf numFmtId="0" fontId="51" fillId="0" borderId="0" xfId="0" applyFont="1" applyFill="1" applyBorder="1" applyAlignment="1">
      <alignment vertical="center"/>
    </xf>
    <xf numFmtId="0" fontId="52" fillId="0" borderId="0" xfId="0" applyFont="1" applyFill="1" applyBorder="1" applyAlignment="1">
      <alignment vertical="center"/>
    </xf>
    <xf numFmtId="0" fontId="52" fillId="0" borderId="0" xfId="0" applyFont="1" applyFill="1" applyBorder="1" applyAlignment="1">
      <alignment horizontal="right" vertical="center"/>
    </xf>
    <xf numFmtId="0" fontId="50" fillId="0" borderId="0" xfId="0" applyFont="1" applyFill="1" applyBorder="1" applyAlignment="1">
      <alignment horizontal="center" vertical="center"/>
    </xf>
    <xf numFmtId="0" fontId="52" fillId="0" borderId="0" xfId="0" applyFont="1" applyFill="1" applyBorder="1" applyAlignment="1">
      <alignment horizontal="justify" vertical="center"/>
    </xf>
    <xf numFmtId="17" fontId="53" fillId="0" borderId="0" xfId="0" applyNumberFormat="1" applyFont="1" applyFill="1" applyBorder="1" applyAlignment="1">
      <alignment vertical="center"/>
    </xf>
    <xf numFmtId="2" fontId="53" fillId="0" borderId="0" xfId="0" applyNumberFormat="1" applyFont="1" applyFill="1" applyBorder="1" applyAlignment="1">
      <alignment vertical="center"/>
    </xf>
    <xf numFmtId="0" fontId="53" fillId="0" borderId="0" xfId="0" quotePrefix="1" applyNumberFormat="1" applyFont="1" applyFill="1" applyBorder="1" applyAlignment="1">
      <alignment vertical="center" wrapText="1"/>
    </xf>
    <xf numFmtId="2" fontId="53" fillId="0" borderId="0" xfId="0" quotePrefix="1" applyNumberFormat="1" applyFont="1" applyFill="1" applyBorder="1" applyAlignment="1">
      <alignment vertical="center" wrapText="1"/>
    </xf>
    <xf numFmtId="0" fontId="53" fillId="0" borderId="0" xfId="0" applyFont="1" applyFill="1" applyBorder="1" applyAlignment="1">
      <alignment vertical="center"/>
    </xf>
    <xf numFmtId="0" fontId="53" fillId="0" borderId="0" xfId="0" applyFont="1" applyFill="1" applyAlignment="1">
      <alignment vertical="center"/>
    </xf>
    <xf numFmtId="14" fontId="50" fillId="0" borderId="0" xfId="0" applyNumberFormat="1" applyFont="1" applyFill="1" applyBorder="1" applyAlignment="1">
      <alignment vertical="center"/>
    </xf>
    <xf numFmtId="0" fontId="51" fillId="0" borderId="0" xfId="0" applyFont="1" applyAlignment="1">
      <alignment vertical="center"/>
    </xf>
    <xf numFmtId="0" fontId="49" fillId="0" borderId="0" xfId="0" applyFont="1" applyBorder="1" applyAlignment="1">
      <alignment vertical="center"/>
    </xf>
    <xf numFmtId="1" fontId="54" fillId="0" borderId="0" xfId="0" applyNumberFormat="1" applyFont="1" applyFill="1" applyBorder="1" applyAlignment="1">
      <alignment horizontal="center" vertical="center"/>
    </xf>
    <xf numFmtId="170" fontId="55" fillId="7" borderId="0" xfId="3" applyFont="1" applyFill="1" applyBorder="1"/>
    <xf numFmtId="0" fontId="51" fillId="0" borderId="0" xfId="0" applyNumberFormat="1" applyFont="1" applyFill="1"/>
    <xf numFmtId="1" fontId="56" fillId="0" borderId="0" xfId="3" applyNumberFormat="1" applyFont="1" applyFill="1" applyBorder="1" applyAlignment="1">
      <alignment horizontal="center"/>
    </xf>
    <xf numFmtId="171" fontId="56" fillId="0" borderId="0" xfId="3" applyNumberFormat="1" applyFont="1" applyBorder="1" applyAlignment="1">
      <alignment horizontal="center"/>
    </xf>
    <xf numFmtId="2" fontId="57" fillId="0" borderId="0" xfId="3" applyNumberFormat="1" applyFont="1" applyFill="1"/>
    <xf numFmtId="0" fontId="51" fillId="0" borderId="0" xfId="0" applyNumberFormat="1" applyFont="1" applyFill="1" applyAlignment="1">
      <alignment vertical="center"/>
    </xf>
    <xf numFmtId="164" fontId="54" fillId="0" borderId="0" xfId="0" applyNumberFormat="1" applyFont="1" applyFill="1" applyBorder="1" applyAlignment="1">
      <alignment horizontal="right" vertical="center"/>
    </xf>
    <xf numFmtId="165" fontId="54" fillId="0" borderId="0" xfId="0" applyNumberFormat="1" applyFont="1" applyFill="1" applyBorder="1" applyAlignment="1">
      <alignment horizontal="right" vertical="center"/>
    </xf>
    <xf numFmtId="166" fontId="54" fillId="0" borderId="0" xfId="2" applyNumberFormat="1" applyFont="1" applyFill="1" applyBorder="1" applyAlignment="1">
      <alignment horizontal="right" vertical="center"/>
    </xf>
    <xf numFmtId="2" fontId="57" fillId="2" borderId="0" xfId="3" applyNumberFormat="1" applyFont="1" applyFill="1"/>
    <xf numFmtId="0" fontId="54" fillId="0" borderId="0" xfId="0" applyFont="1" applyBorder="1" applyAlignment="1">
      <alignment vertical="center"/>
    </xf>
    <xf numFmtId="0" fontId="54" fillId="0" borderId="0" xfId="0" applyFont="1" applyAlignment="1">
      <alignment vertical="center"/>
    </xf>
    <xf numFmtId="2" fontId="58" fillId="0" borderId="0" xfId="0" applyNumberFormat="1" applyFont="1"/>
    <xf numFmtId="2" fontId="57" fillId="0" borderId="0" xfId="3" applyNumberFormat="1" applyFont="1" applyFill="1" applyAlignment="1">
      <alignment horizontal="center"/>
    </xf>
    <xf numFmtId="0" fontId="59" fillId="0" borderId="0" xfId="0" applyFont="1" applyBorder="1" applyAlignment="1">
      <alignment vertical="center"/>
    </xf>
    <xf numFmtId="49" fontId="31" fillId="0" borderId="0" xfId="0" applyNumberFormat="1" applyFont="1" applyFill="1" applyBorder="1" applyAlignment="1">
      <alignment horizontal="center"/>
    </xf>
    <xf numFmtId="0" fontId="31" fillId="0" borderId="0" xfId="0" applyFont="1"/>
    <xf numFmtId="1" fontId="0" fillId="0" borderId="0" xfId="0" applyNumberFormat="1" applyFont="1" applyFill="1" applyBorder="1"/>
    <xf numFmtId="1" fontId="31" fillId="0" borderId="0" xfId="0" applyNumberFormat="1" applyFont="1" applyFill="1" applyBorder="1" applyAlignment="1">
      <alignment horizontal="right"/>
    </xf>
    <xf numFmtId="0" fontId="31" fillId="0" borderId="0" xfId="0" applyFont="1" applyAlignment="1">
      <alignment horizontal="right"/>
    </xf>
    <xf numFmtId="164" fontId="0" fillId="0" borderId="0" xfId="0" applyNumberFormat="1" applyFont="1" applyFill="1" applyBorder="1" applyAlignment="1">
      <alignment horizontal="right"/>
    </xf>
    <xf numFmtId="49" fontId="31" fillId="0" borderId="0" xfId="0" applyNumberFormat="1" applyFont="1" applyBorder="1" applyAlignment="1">
      <alignment horizontal="right"/>
    </xf>
    <xf numFmtId="49" fontId="31" fillId="0" borderId="0" xfId="0" applyNumberFormat="1" applyFont="1" applyFill="1" applyBorder="1" applyAlignment="1">
      <alignment horizontal="right"/>
    </xf>
    <xf numFmtId="164" fontId="31" fillId="0" borderId="0" xfId="0" applyNumberFormat="1" applyFont="1" applyFill="1" applyBorder="1" applyAlignment="1">
      <alignment horizontal="right"/>
    </xf>
    <xf numFmtId="166" fontId="0" fillId="0" borderId="0" xfId="2" applyNumberFormat="1" applyFont="1" applyFill="1" applyBorder="1" applyAlignment="1">
      <alignment horizontal="right"/>
    </xf>
    <xf numFmtId="0" fontId="31" fillId="0" borderId="0" xfId="0" applyFont="1" applyBorder="1" applyAlignment="1">
      <alignment horizontal="right"/>
    </xf>
    <xf numFmtId="165" fontId="0" fillId="0" borderId="0" xfId="0" applyNumberFormat="1" applyFont="1" applyFill="1" applyBorder="1" applyAlignment="1">
      <alignment horizontal="right"/>
    </xf>
    <xf numFmtId="14" fontId="27" fillId="0" borderId="137" xfId="0" applyNumberFormat="1" applyFont="1" applyBorder="1"/>
    <xf numFmtId="20" fontId="27" fillId="0" borderId="137" xfId="0" applyNumberFormat="1" applyFont="1" applyBorder="1" applyAlignment="1">
      <alignment horizontal="center" vertical="center"/>
    </xf>
    <xf numFmtId="20" fontId="27" fillId="0" borderId="137" xfId="0" applyNumberFormat="1" applyFont="1" applyBorder="1" applyAlignment="1">
      <alignment horizontal="center"/>
    </xf>
    <xf numFmtId="0" fontId="60" fillId="0" borderId="0" xfId="0" applyFont="1" applyFill="1" applyBorder="1" applyAlignment="1">
      <alignment vertical="center"/>
    </xf>
    <xf numFmtId="0" fontId="60" fillId="0" borderId="0" xfId="0" quotePrefix="1" applyNumberFormat="1" applyFont="1" applyFill="1" applyBorder="1" applyAlignment="1">
      <alignment vertical="center" wrapText="1"/>
    </xf>
    <xf numFmtId="0" fontId="60" fillId="0" borderId="0" xfId="0" applyNumberFormat="1" applyFont="1" applyFill="1" applyBorder="1" applyAlignment="1">
      <alignment vertical="center"/>
    </xf>
    <xf numFmtId="0" fontId="60"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43" fontId="0" fillId="0" borderId="0" xfId="0" applyNumberFormat="1" applyFont="1" applyFill="1"/>
    <xf numFmtId="2" fontId="51" fillId="0" borderId="0" xfId="0" applyNumberFormat="1" applyFont="1" applyFill="1" applyAlignment="1">
      <alignment vertical="center"/>
    </xf>
    <xf numFmtId="2" fontId="52" fillId="0" borderId="0" xfId="0" applyNumberFormat="1" applyFont="1" applyFill="1" applyBorder="1" applyAlignment="1">
      <alignment vertical="center"/>
    </xf>
    <xf numFmtId="0" fontId="61" fillId="0" borderId="82" xfId="0" applyFont="1" applyFill="1" applyBorder="1" applyAlignment="1">
      <alignment vertical="center" wrapText="1"/>
    </xf>
    <xf numFmtId="22" fontId="61" fillId="0" borderId="82" xfId="0" applyNumberFormat="1" applyFont="1" applyFill="1" applyBorder="1" applyAlignment="1">
      <alignment horizontal="center" vertical="center"/>
    </xf>
    <xf numFmtId="0" fontId="61" fillId="0" borderId="82" xfId="0" applyFont="1" applyFill="1" applyBorder="1" applyAlignment="1">
      <alignment horizontal="justify" vertical="center"/>
    </xf>
    <xf numFmtId="0" fontId="61" fillId="0" borderId="82" xfId="0" applyFont="1" applyFill="1" applyBorder="1" applyAlignment="1">
      <alignment horizontal="center" vertical="center"/>
    </xf>
    <xf numFmtId="0" fontId="61" fillId="0" borderId="82" xfId="0" applyNumberFormat="1" applyFont="1" applyFill="1" applyBorder="1" applyAlignment="1">
      <alignment vertical="center" wrapText="1"/>
    </xf>
    <xf numFmtId="22" fontId="61" fillId="0" borderId="82" xfId="0" applyNumberFormat="1" applyFont="1" applyFill="1" applyBorder="1" applyAlignment="1">
      <alignment horizontal="center" vertical="center" wrapText="1"/>
    </xf>
    <xf numFmtId="0" fontId="61" fillId="0" borderId="82" xfId="0" applyNumberFormat="1" applyFont="1" applyFill="1" applyBorder="1" applyAlignment="1">
      <alignment horizontal="justify" vertical="center" wrapText="1"/>
    </xf>
    <xf numFmtId="0" fontId="61" fillId="0" borderId="82" xfId="0" applyNumberFormat="1" applyFont="1" applyFill="1" applyBorder="1" applyAlignment="1">
      <alignment horizontal="center" vertical="center" wrapText="1"/>
    </xf>
    <xf numFmtId="0" fontId="23" fillId="2" borderId="0"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32" fillId="3" borderId="46" xfId="0" applyFont="1" applyFill="1" applyBorder="1" applyAlignment="1">
      <alignment vertical="center"/>
    </xf>
    <xf numFmtId="10" fontId="32"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5" fontId="27" fillId="0" borderId="63" xfId="0" applyNumberFormat="1" applyFont="1" applyFill="1" applyBorder="1" applyAlignment="1">
      <alignment vertical="center"/>
    </xf>
    <xf numFmtId="0" fontId="32" fillId="3" borderId="0" xfId="0" applyFont="1" applyFill="1" applyBorder="1" applyAlignment="1">
      <alignment vertical="center"/>
    </xf>
    <xf numFmtId="4" fontId="32" fillId="3" borderId="0" xfId="0" applyNumberFormat="1" applyFont="1" applyFill="1" applyBorder="1" applyAlignment="1">
      <alignment vertical="center"/>
    </xf>
    <xf numFmtId="10" fontId="32" fillId="3" borderId="0" xfId="2" applyNumberFormat="1" applyFont="1" applyFill="1" applyBorder="1" applyAlignment="1">
      <alignment vertical="center"/>
    </xf>
    <xf numFmtId="0" fontId="27" fillId="2" borderId="62" xfId="0" applyFont="1" applyFill="1" applyBorder="1" applyAlignment="1">
      <alignment vertical="center"/>
    </xf>
    <xf numFmtId="169" fontId="27" fillId="2" borderId="62" xfId="0" applyNumberFormat="1" applyFont="1" applyFill="1" applyBorder="1" applyAlignment="1">
      <alignment vertical="center"/>
    </xf>
    <xf numFmtId="166" fontId="33" fillId="2" borderId="62" xfId="2" applyNumberFormat="1" applyFont="1" applyFill="1" applyBorder="1" applyAlignment="1">
      <alignment vertical="center"/>
    </xf>
    <xf numFmtId="0" fontId="27" fillId="4" borderId="63" xfId="0" applyFont="1" applyFill="1" applyBorder="1" applyAlignment="1">
      <alignment vertical="center"/>
    </xf>
    <xf numFmtId="169" fontId="27" fillId="4" borderId="63" xfId="0" applyNumberFormat="1" applyFont="1" applyFill="1" applyBorder="1" applyAlignment="1">
      <alignment vertical="center"/>
    </xf>
    <xf numFmtId="166" fontId="33" fillId="4" borderId="63" xfId="2" applyNumberFormat="1" applyFont="1" applyFill="1" applyBorder="1" applyAlignment="1">
      <alignment vertical="center"/>
    </xf>
    <xf numFmtId="0" fontId="27" fillId="2" borderId="63" xfId="0" applyFont="1" applyFill="1" applyBorder="1" applyAlignment="1">
      <alignment vertical="center"/>
    </xf>
    <xf numFmtId="169" fontId="27" fillId="2" borderId="63" xfId="0" applyNumberFormat="1" applyFont="1" applyFill="1" applyBorder="1" applyAlignment="1">
      <alignment vertical="center"/>
    </xf>
    <xf numFmtId="166" fontId="33" fillId="2" borderId="63" xfId="2" applyNumberFormat="1" applyFont="1" applyFill="1" applyBorder="1" applyAlignment="1">
      <alignment vertical="center"/>
    </xf>
    <xf numFmtId="0" fontId="27" fillId="2" borderId="64" xfId="0" applyFont="1" applyFill="1" applyBorder="1" applyAlignment="1">
      <alignment vertical="center"/>
    </xf>
    <xf numFmtId="169" fontId="27" fillId="2" borderId="64" xfId="0" applyNumberFormat="1" applyFont="1" applyFill="1" applyBorder="1" applyAlignment="1">
      <alignment vertical="center"/>
    </xf>
    <xf numFmtId="166" fontId="33" fillId="2" borderId="64" xfId="2" applyNumberFormat="1" applyFont="1" applyFill="1" applyBorder="1" applyAlignment="1">
      <alignment vertical="center"/>
    </xf>
    <xf numFmtId="0" fontId="27" fillId="4" borderId="65" xfId="0" applyFont="1" applyFill="1" applyBorder="1" applyAlignment="1">
      <alignment vertical="center"/>
    </xf>
    <xf numFmtId="169" fontId="27" fillId="4" borderId="65" xfId="0" applyNumberFormat="1" applyFont="1" applyFill="1" applyBorder="1" applyAlignment="1">
      <alignment vertical="center"/>
    </xf>
    <xf numFmtId="166" fontId="33" fillId="4" borderId="65" xfId="2" applyNumberFormat="1" applyFont="1" applyFill="1" applyBorder="1" applyAlignment="1">
      <alignment vertical="center"/>
    </xf>
    <xf numFmtId="0" fontId="27" fillId="2" borderId="65" xfId="0" applyFont="1" applyFill="1" applyBorder="1" applyAlignment="1">
      <alignment vertical="center"/>
    </xf>
    <xf numFmtId="169" fontId="27" fillId="2" borderId="65" xfId="0" applyNumberFormat="1" applyFont="1" applyFill="1" applyBorder="1" applyAlignment="1">
      <alignment vertical="center"/>
    </xf>
    <xf numFmtId="166" fontId="33" fillId="2" borderId="65" xfId="2" applyNumberFormat="1" applyFont="1" applyFill="1" applyBorder="1" applyAlignment="1">
      <alignment vertical="center"/>
    </xf>
    <xf numFmtId="0" fontId="27" fillId="4" borderId="142" xfId="0" applyFont="1" applyFill="1" applyBorder="1" applyAlignment="1">
      <alignment vertical="center"/>
    </xf>
    <xf numFmtId="169" fontId="27" fillId="4" borderId="142" xfId="0" applyNumberFormat="1" applyFont="1" applyFill="1" applyBorder="1" applyAlignment="1">
      <alignment vertical="center"/>
    </xf>
    <xf numFmtId="166" fontId="33" fillId="4" borderId="142" xfId="2" applyNumberFormat="1" applyFont="1" applyFill="1" applyBorder="1" applyAlignment="1">
      <alignment vertical="center"/>
    </xf>
    <xf numFmtId="0" fontId="27" fillId="2" borderId="0" xfId="0" applyFont="1" applyFill="1" applyBorder="1" applyAlignment="1">
      <alignment vertical="center"/>
    </xf>
    <xf numFmtId="166" fontId="33" fillId="2" borderId="48" xfId="2" applyNumberFormat="1" applyFont="1" applyFill="1" applyBorder="1" applyAlignment="1">
      <alignment vertical="center"/>
    </xf>
    <xf numFmtId="0" fontId="27" fillId="4" borderId="0" xfId="0" applyFont="1" applyFill="1" applyBorder="1" applyAlignment="1">
      <alignment vertical="center"/>
    </xf>
    <xf numFmtId="166" fontId="33" fillId="4" borderId="48" xfId="2" applyNumberFormat="1" applyFont="1" applyFill="1" applyBorder="1" applyAlignment="1">
      <alignment vertical="center"/>
    </xf>
    <xf numFmtId="166" fontId="40"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6" fontId="33" fillId="2" borderId="52" xfId="2" applyNumberFormat="1" applyFont="1" applyFill="1" applyBorder="1" applyAlignment="1">
      <alignment vertical="center"/>
    </xf>
    <xf numFmtId="0" fontId="27" fillId="4" borderId="53" xfId="0" applyFont="1" applyFill="1" applyBorder="1" applyAlignment="1">
      <alignment vertical="center"/>
    </xf>
    <xf numFmtId="0" fontId="63" fillId="2" borderId="92" xfId="0" applyNumberFormat="1" applyFont="1" applyFill="1" applyBorder="1" applyAlignment="1">
      <alignment horizontal="center" vertical="center" wrapText="1"/>
    </xf>
    <xf numFmtId="0" fontId="63" fillId="2" borderId="92" xfId="0" applyNumberFormat="1" applyFont="1" applyFill="1" applyBorder="1" applyAlignment="1">
      <alignment horizontal="center" vertical="center"/>
    </xf>
    <xf numFmtId="0" fontId="63" fillId="2" borderId="92" xfId="2" applyNumberFormat="1" applyFont="1" applyFill="1" applyBorder="1" applyAlignment="1">
      <alignment horizontal="center" vertical="center"/>
    </xf>
    <xf numFmtId="0" fontId="62" fillId="0" borderId="92" xfId="0" applyNumberFormat="1" applyFont="1" applyFill="1" applyBorder="1" applyAlignment="1">
      <alignment horizontal="center" vertical="center"/>
    </xf>
    <xf numFmtId="4" fontId="63" fillId="0" borderId="92" xfId="0" applyNumberFormat="1" applyFont="1" applyFill="1" applyBorder="1" applyAlignment="1">
      <alignment horizontal="center" vertical="center"/>
    </xf>
    <xf numFmtId="0" fontId="62" fillId="4" borderId="92" xfId="0" applyFont="1" applyFill="1" applyBorder="1" applyAlignment="1">
      <alignment vertical="center"/>
    </xf>
    <xf numFmtId="0" fontId="63" fillId="4" borderId="92" xfId="0" applyNumberFormat="1" applyFont="1" applyFill="1" applyBorder="1" applyAlignment="1">
      <alignment horizontal="center" vertical="center"/>
    </xf>
    <xf numFmtId="0" fontId="63" fillId="4" borderId="92" xfId="2" applyNumberFormat="1" applyFont="1" applyFill="1" applyBorder="1" applyAlignment="1">
      <alignment horizontal="center" vertical="center"/>
    </xf>
    <xf numFmtId="0" fontId="62" fillId="4" borderId="92" xfId="0" applyNumberFormat="1" applyFont="1" applyFill="1" applyBorder="1" applyAlignment="1">
      <alignment horizontal="center" vertical="center"/>
    </xf>
    <xf numFmtId="4" fontId="63" fillId="4" borderId="92" xfId="0" applyNumberFormat="1" applyFont="1" applyFill="1" applyBorder="1" applyAlignment="1">
      <alignment horizontal="center" vertical="center"/>
    </xf>
    <xf numFmtId="0" fontId="31" fillId="0" borderId="0" xfId="0" applyNumberFormat="1" applyFont="1" applyFill="1" applyBorder="1" applyAlignment="1">
      <alignment vertical="center" wrapText="1"/>
    </xf>
    <xf numFmtId="22" fontId="31" fillId="0" borderId="0" xfId="0" applyNumberFormat="1" applyFont="1" applyFill="1" applyBorder="1" applyAlignment="1">
      <alignment horizontal="center" vertical="center" wrapText="1"/>
    </xf>
    <xf numFmtId="0" fontId="61" fillId="0" borderId="0" xfId="0" applyNumberFormat="1" applyFont="1" applyFill="1" applyBorder="1" applyAlignment="1">
      <alignment horizontal="justify" vertical="center" wrapText="1"/>
    </xf>
    <xf numFmtId="0" fontId="31" fillId="0" borderId="0" xfId="0" applyNumberFormat="1" applyFont="1" applyFill="1" applyBorder="1" applyAlignment="1">
      <alignment horizontal="center" vertical="center" wrapText="1"/>
    </xf>
    <xf numFmtId="0" fontId="37" fillId="2" borderId="0" xfId="0" applyNumberFormat="1" applyFont="1" applyFill="1"/>
    <xf numFmtId="0" fontId="37" fillId="2" borderId="0" xfId="0" applyNumberFormat="1" applyFont="1" applyFill="1" applyAlignment="1">
      <alignment horizontal="left" vertical="center"/>
    </xf>
    <xf numFmtId="4" fontId="27" fillId="0" borderId="137" xfId="0" applyNumberFormat="1" applyFont="1" applyFill="1" applyBorder="1"/>
    <xf numFmtId="20" fontId="27" fillId="0" borderId="137" xfId="0" applyNumberFormat="1" applyFont="1" applyFill="1" applyBorder="1" applyAlignment="1">
      <alignment horizontal="center"/>
    </xf>
    <xf numFmtId="4" fontId="0" fillId="0" borderId="0" xfId="0" applyNumberFormat="1" applyFont="1" applyAlignment="1">
      <alignment vertical="center"/>
    </xf>
    <xf numFmtId="4" fontId="0" fillId="0" borderId="0" xfId="0" applyNumberFormat="1" applyFont="1" applyAlignment="1">
      <alignment vertical="center" wrapText="1"/>
    </xf>
    <xf numFmtId="169" fontId="0" fillId="0" borderId="0" xfId="0" applyNumberFormat="1" applyFont="1" applyAlignment="1">
      <alignment horizontal="center" vertical="center"/>
    </xf>
    <xf numFmtId="10" fontId="21" fillId="4" borderId="57" xfId="2" applyNumberFormat="1" applyFont="1" applyFill="1" applyBorder="1" applyAlignment="1">
      <alignment horizontal="right" vertical="center"/>
    </xf>
    <xf numFmtId="0" fontId="63" fillId="2" borderId="0" xfId="0" quotePrefix="1" applyNumberFormat="1" applyFont="1" applyFill="1" applyBorder="1" applyAlignment="1">
      <alignment horizontal="left" vertical="center"/>
    </xf>
    <xf numFmtId="0" fontId="62" fillId="2" borderId="92" xfId="0" applyFont="1" applyFill="1" applyBorder="1" applyAlignment="1">
      <alignment vertical="center" wrapText="1"/>
    </xf>
    <xf numFmtId="169" fontId="13" fillId="2" borderId="0" xfId="0" applyNumberFormat="1" applyFont="1" applyFill="1" applyBorder="1" applyAlignment="1">
      <alignment horizontal="right"/>
    </xf>
    <xf numFmtId="43" fontId="0" fillId="0" borderId="0" xfId="1" applyFont="1" applyAlignment="1">
      <alignment horizontal="left"/>
    </xf>
    <xf numFmtId="10" fontId="21" fillId="0" borderId="31" xfId="2" applyNumberFormat="1" applyFont="1" applyFill="1" applyBorder="1" applyAlignment="1">
      <alignment horizontal="right" vertical="center"/>
    </xf>
    <xf numFmtId="10" fontId="21" fillId="4" borderId="40" xfId="2" applyNumberFormat="1" applyFont="1" applyFill="1" applyBorder="1" applyAlignment="1">
      <alignment horizontal="right" vertical="center"/>
    </xf>
    <xf numFmtId="49" fontId="64" fillId="0" borderId="0" xfId="0" applyNumberFormat="1" applyFont="1" applyFill="1" applyBorder="1" applyAlignment="1">
      <alignment horizontal="center"/>
    </xf>
    <xf numFmtId="0" fontId="64" fillId="0" borderId="0" xfId="0" applyFont="1" applyFill="1"/>
    <xf numFmtId="0" fontId="64" fillId="0" borderId="0" xfId="0" applyFont="1"/>
    <xf numFmtId="2" fontId="21" fillId="4" borderId="16" xfId="0" applyNumberFormat="1" applyFont="1" applyFill="1" applyBorder="1" applyAlignment="1">
      <alignment horizontal="right" vertical="center"/>
    </xf>
    <xf numFmtId="0" fontId="63" fillId="0" borderId="88" xfId="0" applyFont="1" applyFill="1" applyBorder="1" applyAlignment="1">
      <alignment vertical="center" wrapText="1"/>
    </xf>
    <xf numFmtId="4" fontId="32" fillId="3" borderId="46" xfId="0" applyNumberFormat="1" applyFont="1" applyFill="1" applyBorder="1" applyAlignment="1">
      <alignment vertical="center"/>
    </xf>
    <xf numFmtId="43" fontId="27" fillId="2" borderId="47" xfId="1" applyNumberFormat="1" applyFont="1" applyFill="1" applyBorder="1" applyAlignment="1">
      <alignment vertical="center"/>
    </xf>
    <xf numFmtId="43" fontId="27" fillId="2" borderId="47" xfId="0" applyNumberFormat="1" applyFont="1" applyFill="1" applyBorder="1" applyAlignment="1">
      <alignment vertical="center"/>
    </xf>
    <xf numFmtId="43" fontId="27" fillId="4" borderId="47" xfId="0" applyNumberFormat="1" applyFont="1" applyFill="1" applyBorder="1" applyAlignment="1">
      <alignment vertical="center"/>
    </xf>
    <xf numFmtId="43" fontId="27" fillId="2" borderId="51" xfId="0" applyNumberFormat="1" applyFont="1" applyFill="1" applyBorder="1" applyAlignment="1">
      <alignment vertical="center"/>
    </xf>
    <xf numFmtId="0" fontId="30" fillId="9" borderId="0" xfId="0" applyFont="1" applyFill="1"/>
    <xf numFmtId="0" fontId="0" fillId="9" borderId="0" xfId="0" applyFont="1" applyFill="1"/>
    <xf numFmtId="0" fontId="65" fillId="0" borderId="0" xfId="0" applyFont="1"/>
    <xf numFmtId="0" fontId="66" fillId="0" borderId="0" xfId="0" applyFont="1"/>
    <xf numFmtId="0" fontId="66" fillId="0" borderId="0" xfId="0" applyFont="1" applyAlignment="1">
      <alignment horizontal="center" vertical="center"/>
    </xf>
    <xf numFmtId="0" fontId="67" fillId="2" borderId="0" xfId="0" applyNumberFormat="1" applyFont="1" applyFill="1" applyAlignment="1">
      <alignment horizontal="left" vertical="center" wrapText="1"/>
    </xf>
    <xf numFmtId="0" fontId="65" fillId="0" borderId="0" xfId="0" applyFont="1" applyAlignment="1">
      <alignment vertical="center"/>
    </xf>
    <xf numFmtId="43" fontId="21" fillId="2" borderId="0" xfId="1" applyFont="1" applyFill="1" applyBorder="1" applyAlignment="1">
      <alignment horizontal="right"/>
    </xf>
    <xf numFmtId="43" fontId="21" fillId="0" borderId="38" xfId="1" applyFont="1" applyFill="1" applyBorder="1" applyAlignment="1">
      <alignment horizontal="right" vertical="center"/>
    </xf>
    <xf numFmtId="43" fontId="21" fillId="0" borderId="39" xfId="1" applyFont="1" applyFill="1" applyBorder="1" applyAlignment="1">
      <alignment horizontal="right" vertical="center"/>
    </xf>
    <xf numFmtId="43" fontId="13" fillId="0" borderId="30" xfId="1" applyFont="1" applyFill="1" applyBorder="1" applyAlignment="1">
      <alignment horizontal="right"/>
    </xf>
    <xf numFmtId="43" fontId="13" fillId="0" borderId="31" xfId="1" applyFont="1" applyFill="1" applyBorder="1" applyAlignment="1">
      <alignment horizontal="right"/>
    </xf>
    <xf numFmtId="43" fontId="13" fillId="0" borderId="32" xfId="1" applyFont="1" applyFill="1" applyBorder="1" applyAlignment="1">
      <alignment horizontal="right"/>
    </xf>
    <xf numFmtId="43" fontId="13" fillId="0" borderId="33" xfId="1" applyFont="1" applyFill="1" applyBorder="1" applyAlignment="1">
      <alignment horizontal="right"/>
    </xf>
    <xf numFmtId="43" fontId="13" fillId="0" borderId="34" xfId="1" applyFont="1" applyFill="1" applyBorder="1" applyAlignment="1">
      <alignment horizontal="right"/>
    </xf>
    <xf numFmtId="4" fontId="27" fillId="6" borderId="137" xfId="0" applyNumberFormat="1" applyFont="1" applyFill="1" applyBorder="1" applyAlignment="1">
      <alignment horizontal="center"/>
    </xf>
    <xf numFmtId="166" fontId="13" fillId="0" borderId="88" xfId="2" applyNumberFormat="1" applyFont="1" applyFill="1" applyBorder="1" applyAlignment="1">
      <alignment horizontal="center" vertical="center"/>
    </xf>
    <xf numFmtId="0" fontId="68" fillId="0" borderId="0" xfId="0" applyFont="1" applyFill="1" applyBorder="1"/>
    <xf numFmtId="0" fontId="68" fillId="0" borderId="0" xfId="0" applyFont="1"/>
    <xf numFmtId="2" fontId="68" fillId="0" borderId="0" xfId="0" applyNumberFormat="1" applyFont="1" applyFill="1" applyBorder="1" applyAlignment="1">
      <alignment horizontal="center" vertical="center" wrapText="1"/>
    </xf>
    <xf numFmtId="2" fontId="68" fillId="0" borderId="0" xfId="0" quotePrefix="1" applyNumberFormat="1" applyFont="1" applyFill="1" applyBorder="1" applyAlignment="1">
      <alignment horizontal="center" vertical="center" wrapText="1"/>
    </xf>
    <xf numFmtId="17" fontId="68" fillId="0" borderId="0" xfId="0" quotePrefix="1" applyNumberFormat="1" applyFont="1" applyFill="1" applyBorder="1" applyAlignment="1">
      <alignment horizontal="center" vertical="center" wrapText="1"/>
    </xf>
    <xf numFmtId="0" fontId="68" fillId="0" borderId="0" xfId="0" quotePrefix="1" applyNumberFormat="1" applyFont="1" applyFill="1" applyBorder="1" applyAlignment="1">
      <alignment horizontal="center" vertical="center" wrapText="1"/>
    </xf>
    <xf numFmtId="2" fontId="68" fillId="0" borderId="0" xfId="0" applyNumberFormat="1" applyFont="1" applyFill="1" applyBorder="1" applyAlignment="1">
      <alignment horizontal="left"/>
    </xf>
    <xf numFmtId="2" fontId="68" fillId="0" borderId="0" xfId="0" applyNumberFormat="1" applyFont="1" applyFill="1" applyBorder="1" applyAlignment="1">
      <alignment horizontal="center"/>
    </xf>
    <xf numFmtId="2" fontId="69" fillId="0" borderId="0" xfId="0" applyNumberFormat="1" applyFont="1" applyFill="1" applyBorder="1" applyAlignment="1">
      <alignment horizontal="center"/>
    </xf>
    <xf numFmtId="174" fontId="68" fillId="0" borderId="0" xfId="0" applyNumberFormat="1" applyFont="1"/>
    <xf numFmtId="0" fontId="68" fillId="0" borderId="0" xfId="0" applyNumberFormat="1" applyFont="1" applyFill="1" applyBorder="1" applyAlignment="1">
      <alignment vertical="top" wrapText="1"/>
    </xf>
    <xf numFmtId="0" fontId="70" fillId="0" borderId="0" xfId="0" applyFont="1"/>
    <xf numFmtId="0" fontId="70" fillId="0" borderId="0" xfId="0" applyFont="1" applyAlignment="1">
      <alignment horizontal="center"/>
    </xf>
    <xf numFmtId="165" fontId="70" fillId="0" borderId="0" xfId="0" applyNumberFormat="1" applyFont="1"/>
    <xf numFmtId="0" fontId="23" fillId="2" borderId="0" xfId="0" applyNumberFormat="1" applyFont="1" applyFill="1" applyBorder="1" applyAlignment="1">
      <alignment vertical="center"/>
    </xf>
    <xf numFmtId="0" fontId="13" fillId="2" borderId="0" xfId="0" applyNumberFormat="1" applyFont="1" applyFill="1" applyBorder="1" applyAlignment="1">
      <alignment vertical="center"/>
    </xf>
    <xf numFmtId="170" fontId="71" fillId="7" borderId="0" xfId="3" applyFont="1" applyFill="1" applyBorder="1"/>
    <xf numFmtId="0" fontId="70" fillId="0" borderId="0" xfId="0" applyNumberFormat="1" applyFont="1" applyFill="1"/>
    <xf numFmtId="171" fontId="71" fillId="7" borderId="0" xfId="3" applyNumberFormat="1" applyFont="1" applyFill="1" applyBorder="1"/>
    <xf numFmtId="1" fontId="72" fillId="0" borderId="0" xfId="3" applyNumberFormat="1" applyFont="1" applyFill="1" applyBorder="1" applyAlignment="1">
      <alignment horizontal="center"/>
    </xf>
    <xf numFmtId="171" fontId="72" fillId="0" borderId="0" xfId="3" applyNumberFormat="1" applyFont="1" applyBorder="1" applyAlignment="1">
      <alignment horizontal="center"/>
    </xf>
    <xf numFmtId="2" fontId="73" fillId="0" borderId="0" xfId="3" applyNumberFormat="1" applyFont="1" applyFill="1"/>
    <xf numFmtId="2" fontId="73" fillId="0" borderId="0" xfId="3" applyNumberFormat="1" applyFont="1" applyFill="1" applyAlignment="1">
      <alignment horizontal="center"/>
    </xf>
    <xf numFmtId="2" fontId="73" fillId="0" borderId="0" xfId="3" applyNumberFormat="1" applyFont="1" applyBorder="1"/>
    <xf numFmtId="2" fontId="73" fillId="0" borderId="0" xfId="3" applyNumberFormat="1" applyFont="1"/>
    <xf numFmtId="2" fontId="73" fillId="0" borderId="0" xfId="3" applyNumberFormat="1" applyFont="1" applyAlignment="1">
      <alignment horizontal="center"/>
    </xf>
    <xf numFmtId="0" fontId="70" fillId="0" borderId="0" xfId="0" applyNumberFormat="1" applyFont="1" applyFill="1" applyAlignment="1">
      <alignment vertical="center"/>
    </xf>
    <xf numFmtId="2" fontId="73" fillId="2" borderId="0" xfId="3" applyNumberFormat="1" applyFont="1" applyFill="1"/>
    <xf numFmtId="2" fontId="74" fillId="0" borderId="0" xfId="0" applyNumberFormat="1" applyFont="1"/>
    <xf numFmtId="2" fontId="75" fillId="0" borderId="0" xfId="4" applyNumberFormat="1" applyFont="1"/>
    <xf numFmtId="43" fontId="63" fillId="0" borderId="88" xfId="1" applyFont="1" applyFill="1" applyBorder="1" applyAlignment="1">
      <alignment vertical="center" wrapText="1"/>
    </xf>
    <xf numFmtId="14" fontId="0" fillId="0" borderId="0" xfId="0" applyNumberFormat="1" applyFont="1" applyAlignment="1">
      <alignment horizontal="left"/>
    </xf>
    <xf numFmtId="20" fontId="0" fillId="0" borderId="0" xfId="0" applyNumberFormat="1" applyFont="1" applyAlignment="1">
      <alignment horizontal="left"/>
    </xf>
    <xf numFmtId="0" fontId="62" fillId="2" borderId="92" xfId="0" applyNumberFormat="1" applyFont="1" applyFill="1" applyBorder="1" applyAlignment="1">
      <alignment horizontal="center" vertical="center" wrapText="1"/>
    </xf>
    <xf numFmtId="0" fontId="62" fillId="2" borderId="92" xfId="0" applyNumberFormat="1" applyFont="1" applyFill="1" applyBorder="1" applyAlignment="1">
      <alignment horizontal="center" vertical="center"/>
    </xf>
    <xf numFmtId="0" fontId="62" fillId="2" borderId="92" xfId="2" applyNumberFormat="1" applyFont="1" applyFill="1" applyBorder="1" applyAlignment="1">
      <alignment horizontal="center" vertical="center"/>
    </xf>
    <xf numFmtId="0" fontId="63" fillId="0" borderId="102" xfId="0" applyFont="1" applyFill="1" applyBorder="1" applyAlignment="1">
      <alignment horizontal="center" vertical="center"/>
    </xf>
    <xf numFmtId="0" fontId="76" fillId="0" borderId="111" xfId="0" applyFont="1" applyBorder="1"/>
    <xf numFmtId="0" fontId="31" fillId="0" borderId="106" xfId="0" applyNumberFormat="1" applyFont="1" applyFill="1" applyBorder="1"/>
    <xf numFmtId="43" fontId="31" fillId="0" borderId="106" xfId="1" applyNumberFormat="1" applyFont="1" applyFill="1" applyBorder="1"/>
    <xf numFmtId="43" fontId="31" fillId="0" borderId="106" xfId="1" applyFont="1" applyFill="1" applyBorder="1"/>
    <xf numFmtId="43" fontId="31" fillId="0" borderId="107" xfId="1" applyFont="1" applyFill="1" applyBorder="1"/>
    <xf numFmtId="0" fontId="76" fillId="0" borderId="108" xfId="0" applyFont="1" applyBorder="1"/>
    <xf numFmtId="0" fontId="31" fillId="0" borderId="0" xfId="0" applyNumberFormat="1" applyFont="1" applyFill="1" applyBorder="1"/>
    <xf numFmtId="43" fontId="31" fillId="0" borderId="0" xfId="1" applyNumberFormat="1" applyFont="1" applyFill="1" applyBorder="1"/>
    <xf numFmtId="43" fontId="31" fillId="0" borderId="0" xfId="1" applyFont="1" applyFill="1" applyBorder="1"/>
    <xf numFmtId="43" fontId="31" fillId="0" borderId="109" xfId="1" applyFont="1" applyFill="1" applyBorder="1"/>
    <xf numFmtId="0" fontId="76" fillId="0" borderId="110" xfId="0" applyFont="1" applyBorder="1"/>
    <xf numFmtId="0" fontId="31" fillId="0" borderId="0" xfId="0" applyFont="1" applyFill="1"/>
    <xf numFmtId="43" fontId="31" fillId="0" borderId="0" xfId="0" applyNumberFormat="1" applyFont="1" applyFill="1"/>
    <xf numFmtId="0" fontId="31" fillId="0" borderId="0" xfId="0" applyFont="1" applyFill="1" applyBorder="1"/>
    <xf numFmtId="43" fontId="31" fillId="0" borderId="0" xfId="0" applyNumberFormat="1" applyFont="1" applyFill="1" applyBorder="1"/>
    <xf numFmtId="0" fontId="31" fillId="0" borderId="109" xfId="0" applyFont="1" applyFill="1" applyBorder="1"/>
    <xf numFmtId="0" fontId="76" fillId="0" borderId="110" xfId="0" applyFont="1" applyFill="1" applyBorder="1"/>
    <xf numFmtId="0" fontId="62" fillId="0" borderId="0" xfId="0" applyNumberFormat="1" applyFont="1" applyFill="1" applyAlignment="1">
      <alignment vertical="center"/>
    </xf>
    <xf numFmtId="0" fontId="62" fillId="0" borderId="0" xfId="0" applyNumberFormat="1" applyFont="1" applyFill="1" applyAlignment="1">
      <alignment horizontal="center"/>
    </xf>
    <xf numFmtId="0" fontId="62" fillId="0" borderId="0" xfId="0" applyFont="1" applyFill="1" applyBorder="1" applyAlignment="1">
      <alignment vertical="center"/>
    </xf>
    <xf numFmtId="0" fontId="62" fillId="0" borderId="0" xfId="0" applyNumberFormat="1" applyFont="1" applyFill="1" applyAlignment="1">
      <alignment vertical="center" wrapText="1"/>
    </xf>
    <xf numFmtId="0" fontId="62" fillId="0" borderId="0" xfId="0" applyNumberFormat="1" applyFont="1" applyFill="1" applyAlignment="1">
      <alignment horizontal="left" vertical="center" wrapText="1"/>
    </xf>
    <xf numFmtId="49" fontId="63" fillId="0" borderId="0" xfId="0" applyNumberFormat="1" applyFont="1" applyFill="1" applyBorder="1" applyAlignment="1">
      <alignment horizontal="right"/>
    </xf>
    <xf numFmtId="0" fontId="31" fillId="0" borderId="106" xfId="0" applyNumberFormat="1" applyFont="1" applyBorder="1"/>
    <xf numFmtId="43" fontId="31" fillId="0" borderId="106" xfId="0" applyNumberFormat="1" applyFont="1" applyBorder="1"/>
    <xf numFmtId="9" fontId="31" fillId="0" borderId="107" xfId="2" applyFont="1" applyBorder="1"/>
    <xf numFmtId="1" fontId="63" fillId="0" borderId="0" xfId="0" applyNumberFormat="1" applyFont="1" applyFill="1" applyBorder="1" applyAlignment="1">
      <alignment horizontal="right"/>
    </xf>
    <xf numFmtId="49" fontId="63" fillId="0" borderId="0" xfId="0" applyNumberFormat="1" applyFont="1" applyFill="1" applyBorder="1" applyAlignment="1">
      <alignment horizontal="center"/>
    </xf>
    <xf numFmtId="0" fontId="31" fillId="0" borderId="0" xfId="0" applyNumberFormat="1" applyFont="1" applyBorder="1"/>
    <xf numFmtId="43" fontId="31" fillId="0" borderId="0" xfId="0" applyNumberFormat="1" applyFont="1" applyBorder="1"/>
    <xf numFmtId="10" fontId="31" fillId="0" borderId="109" xfId="2" applyNumberFormat="1" applyFont="1" applyBorder="1"/>
    <xf numFmtId="1" fontId="63" fillId="0" borderId="0" xfId="0" applyNumberFormat="1" applyFont="1" applyFill="1" applyBorder="1" applyAlignment="1">
      <alignment horizontal="center"/>
    </xf>
    <xf numFmtId="164" fontId="63" fillId="0" borderId="0" xfId="0" applyNumberFormat="1" applyFont="1" applyFill="1" applyBorder="1" applyAlignment="1">
      <alignment horizontal="center"/>
    </xf>
    <xf numFmtId="2" fontId="62" fillId="0" borderId="0" xfId="0" applyNumberFormat="1" applyFont="1" applyFill="1" applyAlignment="1">
      <alignment vertical="center" wrapText="1"/>
    </xf>
    <xf numFmtId="0" fontId="31" fillId="0" borderId="0" xfId="0" applyFont="1" applyFill="1" applyBorder="1" applyAlignment="1">
      <alignment horizontal="center"/>
    </xf>
    <xf numFmtId="0" fontId="63" fillId="0" borderId="0" xfId="0" applyNumberFormat="1" applyFont="1" applyFill="1" applyAlignment="1">
      <alignment vertical="center"/>
    </xf>
    <xf numFmtId="0" fontId="63" fillId="0" borderId="0" xfId="0" quotePrefix="1" applyNumberFormat="1" applyFont="1" applyFill="1" applyBorder="1" applyAlignment="1">
      <alignment horizontal="left" vertical="top"/>
    </xf>
    <xf numFmtId="10" fontId="31" fillId="0" borderId="107" xfId="2" applyNumberFormat="1" applyFont="1" applyBorder="1"/>
    <xf numFmtId="0" fontId="76" fillId="0" borderId="0" xfId="0" applyFont="1" applyFill="1"/>
    <xf numFmtId="0" fontId="31" fillId="0" borderId="0" xfId="0" applyNumberFormat="1" applyFont="1" applyBorder="1" applyAlignment="1">
      <alignment vertical="center"/>
    </xf>
    <xf numFmtId="0" fontId="76" fillId="0" borderId="110" xfId="0" applyFont="1" applyBorder="1" applyAlignment="1">
      <alignment vertical="center"/>
    </xf>
    <xf numFmtId="43" fontId="31" fillId="0" borderId="0" xfId="0" applyNumberFormat="1" applyFont="1" applyBorder="1" applyAlignment="1">
      <alignment vertical="center"/>
    </xf>
    <xf numFmtId="10" fontId="31" fillId="0" borderId="109" xfId="2" applyNumberFormat="1" applyFont="1" applyBorder="1" applyAlignment="1">
      <alignment vertical="center"/>
    </xf>
    <xf numFmtId="0" fontId="31" fillId="0" borderId="0" xfId="0" applyFont="1" applyFill="1" applyAlignment="1">
      <alignment vertical="center"/>
    </xf>
    <xf numFmtId="165" fontId="70" fillId="0" borderId="0" xfId="0" applyNumberFormat="1" applyFont="1" applyAlignment="1">
      <alignment horizontal="right"/>
    </xf>
    <xf numFmtId="0" fontId="78" fillId="0" borderId="0" xfId="0" applyFont="1" applyAlignment="1">
      <alignment horizontal="right"/>
    </xf>
    <xf numFmtId="0" fontId="66" fillId="0" borderId="0" xfId="0" applyFont="1" applyAlignment="1">
      <alignment horizontal="right"/>
    </xf>
    <xf numFmtId="0" fontId="63" fillId="4" borderId="95" xfId="0" quotePrefix="1" applyNumberFormat="1" applyFont="1" applyFill="1" applyBorder="1" applyAlignment="1">
      <alignment vertical="center" wrapText="1"/>
    </xf>
    <xf numFmtId="167" fontId="63" fillId="4" borderId="95" xfId="0" applyNumberFormat="1" applyFont="1" applyFill="1" applyBorder="1" applyAlignment="1">
      <alignment horizontal="center" vertical="center" wrapText="1"/>
    </xf>
    <xf numFmtId="0" fontId="63" fillId="4" borderId="95" xfId="2" applyNumberFormat="1" applyFont="1" applyFill="1" applyBorder="1" applyAlignment="1">
      <alignment horizontal="center" vertical="center" wrapText="1"/>
    </xf>
    <xf numFmtId="2" fontId="63" fillId="4" borderId="95" xfId="2" applyNumberFormat="1" applyFont="1" applyFill="1" applyBorder="1" applyAlignment="1">
      <alignment horizontal="center" vertical="center" wrapText="1"/>
    </xf>
    <xf numFmtId="4" fontId="63" fillId="4" borderId="95" xfId="0" applyNumberFormat="1" applyFont="1" applyFill="1" applyBorder="1" applyAlignment="1">
      <alignment horizontal="center" vertical="center" wrapText="1"/>
    </xf>
    <xf numFmtId="173" fontId="63" fillId="4" borderId="95" xfId="0" applyNumberFormat="1" applyFont="1" applyFill="1" applyBorder="1" applyAlignment="1">
      <alignment horizontal="center" vertical="center" wrapText="1"/>
    </xf>
    <xf numFmtId="0" fontId="63" fillId="4" borderId="95" xfId="0" applyNumberFormat="1" applyFont="1" applyFill="1" applyBorder="1" applyAlignment="1">
      <alignment horizontal="center" vertical="center" wrapText="1"/>
    </xf>
    <xf numFmtId="0" fontId="31" fillId="2" borderId="95" xfId="0" quotePrefix="1" applyNumberFormat="1" applyFont="1" applyFill="1" applyBorder="1" applyAlignment="1">
      <alignment vertical="center" wrapText="1"/>
    </xf>
    <xf numFmtId="167" fontId="31" fillId="2" borderId="95" xfId="0" applyNumberFormat="1" applyFont="1" applyFill="1" applyBorder="1" applyAlignment="1">
      <alignment horizontal="center" vertical="center" wrapText="1"/>
    </xf>
    <xf numFmtId="0" fontId="31" fillId="2" borderId="95" xfId="2" applyNumberFormat="1" applyFont="1" applyFill="1" applyBorder="1" applyAlignment="1">
      <alignment horizontal="center" vertical="center" wrapText="1"/>
    </xf>
    <xf numFmtId="2" fontId="31" fillId="2" borderId="95" xfId="2" applyNumberFormat="1" applyFont="1" applyFill="1" applyBorder="1" applyAlignment="1">
      <alignment horizontal="center" vertical="center" wrapText="1"/>
    </xf>
    <xf numFmtId="4" fontId="31" fillId="2" borderId="95" xfId="0" applyNumberFormat="1" applyFont="1" applyFill="1" applyBorder="1" applyAlignment="1">
      <alignment horizontal="center" vertical="center" wrapText="1"/>
    </xf>
    <xf numFmtId="0" fontId="31" fillId="2" borderId="95" xfId="0" applyNumberFormat="1" applyFont="1" applyFill="1" applyBorder="1" applyAlignment="1">
      <alignment horizontal="center" vertical="center" wrapText="1"/>
    </xf>
    <xf numFmtId="169" fontId="31" fillId="5" borderId="24" xfId="0" applyNumberFormat="1" applyFont="1" applyFill="1" applyBorder="1" applyAlignment="1">
      <alignment horizontal="center" vertical="center"/>
    </xf>
    <xf numFmtId="169" fontId="63" fillId="5" borderId="29" xfId="0" applyNumberFormat="1" applyFont="1" applyFill="1" applyBorder="1" applyAlignment="1">
      <alignment horizontal="center" vertical="center"/>
    </xf>
    <xf numFmtId="166" fontId="63" fillId="5" borderId="24" xfId="2" applyNumberFormat="1" applyFont="1" applyFill="1" applyBorder="1" applyAlignment="1">
      <alignment horizontal="center" vertical="center"/>
    </xf>
    <xf numFmtId="169" fontId="31" fillId="2" borderId="25" xfId="0" applyNumberFormat="1" applyFont="1" applyFill="1" applyBorder="1" applyAlignment="1">
      <alignment horizontal="center" vertical="center"/>
    </xf>
    <xf numFmtId="169" fontId="63" fillId="2" borderId="31" xfId="0" applyNumberFormat="1" applyFont="1" applyFill="1" applyBorder="1" applyAlignment="1">
      <alignment horizontal="center" vertical="center"/>
    </xf>
    <xf numFmtId="166" fontId="63" fillId="2" borderId="25" xfId="2" applyNumberFormat="1" applyFont="1" applyFill="1" applyBorder="1" applyAlignment="1">
      <alignment horizontal="center" vertical="center"/>
    </xf>
    <xf numFmtId="169" fontId="31" fillId="5" borderId="25" xfId="0" applyNumberFormat="1" applyFont="1" applyFill="1" applyBorder="1" applyAlignment="1">
      <alignment horizontal="center" vertical="center"/>
    </xf>
    <xf numFmtId="169" fontId="63" fillId="5" borderId="31" xfId="0" applyNumberFormat="1" applyFont="1" applyFill="1" applyBorder="1" applyAlignment="1">
      <alignment horizontal="center" vertical="center"/>
    </xf>
    <xf numFmtId="166" fontId="63" fillId="5" borderId="25" xfId="2" applyNumberFormat="1" applyFont="1" applyFill="1" applyBorder="1" applyAlignment="1">
      <alignment horizontal="center" vertical="center"/>
    </xf>
    <xf numFmtId="169" fontId="31" fillId="2" borderId="26" xfId="0" applyNumberFormat="1" applyFont="1" applyFill="1" applyBorder="1" applyAlignment="1">
      <alignment horizontal="center" vertical="center"/>
    </xf>
    <xf numFmtId="169" fontId="63" fillId="2" borderId="34" xfId="0" applyNumberFormat="1" applyFont="1" applyFill="1" applyBorder="1" applyAlignment="1">
      <alignment horizontal="center" vertical="center"/>
    </xf>
    <xf numFmtId="166" fontId="63" fillId="2" borderId="26" xfId="2" applyNumberFormat="1" applyFont="1" applyFill="1" applyBorder="1" applyAlignment="1">
      <alignment horizontal="center" vertical="center"/>
    </xf>
    <xf numFmtId="169" fontId="76" fillId="5" borderId="23" xfId="0" applyNumberFormat="1" applyFont="1" applyFill="1" applyBorder="1" applyAlignment="1">
      <alignment horizontal="center" vertical="center"/>
    </xf>
    <xf numFmtId="169" fontId="76" fillId="5" borderId="40" xfId="0" applyNumberFormat="1" applyFont="1" applyFill="1" applyBorder="1" applyAlignment="1">
      <alignment horizontal="center" vertical="center"/>
    </xf>
    <xf numFmtId="166" fontId="62" fillId="5" borderId="23" xfId="2" applyNumberFormat="1" applyFont="1" applyFill="1" applyBorder="1" applyAlignment="1">
      <alignment horizontal="center" vertical="center"/>
    </xf>
    <xf numFmtId="0" fontId="81" fillId="0" borderId="0" xfId="0" applyFont="1" applyAlignment="1">
      <alignment horizontal="right" vertical="center"/>
    </xf>
    <xf numFmtId="0" fontId="36" fillId="10" borderId="0" xfId="0" quotePrefix="1" applyNumberFormat="1" applyFont="1" applyFill="1" applyBorder="1" applyAlignment="1">
      <alignment horizontal="center" vertical="center" wrapText="1"/>
    </xf>
    <xf numFmtId="17" fontId="36" fillId="10" borderId="93" xfId="0" applyNumberFormat="1" applyFont="1" applyFill="1" applyBorder="1" applyAlignment="1">
      <alignment horizontal="center" vertical="center" wrapText="1"/>
    </xf>
    <xf numFmtId="168" fontId="36" fillId="10" borderId="93" xfId="0" applyNumberFormat="1" applyFont="1" applyFill="1" applyBorder="1" applyAlignment="1">
      <alignment horizontal="center" vertical="center" wrapText="1"/>
    </xf>
    <xf numFmtId="0" fontId="36" fillId="10" borderId="93" xfId="0" applyNumberFormat="1" applyFont="1" applyFill="1" applyBorder="1" applyAlignment="1">
      <alignment horizontal="center" vertical="center" wrapText="1"/>
    </xf>
    <xf numFmtId="0" fontId="36" fillId="10" borderId="94" xfId="0" applyNumberFormat="1" applyFont="1" applyFill="1" applyBorder="1" applyAlignment="1">
      <alignment horizontal="center" vertical="center" wrapText="1"/>
    </xf>
    <xf numFmtId="0" fontId="36" fillId="10" borderId="139" xfId="0" quotePrefix="1" applyNumberFormat="1" applyFont="1" applyFill="1" applyBorder="1" applyAlignment="1">
      <alignment horizontal="left" vertical="center"/>
    </xf>
    <xf numFmtId="167" fontId="36" fillId="10" borderId="140" xfId="0" applyNumberFormat="1" applyFont="1" applyFill="1" applyBorder="1" applyAlignment="1">
      <alignment horizontal="right" vertical="center"/>
    </xf>
    <xf numFmtId="167" fontId="36" fillId="10" borderId="140" xfId="0" applyNumberFormat="1" applyFont="1" applyFill="1" applyBorder="1" applyAlignment="1">
      <alignment horizontal="left" vertical="center"/>
    </xf>
    <xf numFmtId="0" fontId="36" fillId="10" borderId="140" xfId="2" applyNumberFormat="1" applyFont="1" applyFill="1" applyBorder="1" applyAlignment="1">
      <alignment horizontal="left" vertical="center"/>
    </xf>
    <xf numFmtId="0" fontId="36" fillId="10" borderId="141" xfId="2" applyNumberFormat="1" applyFont="1" applyFill="1" applyBorder="1" applyAlignment="1">
      <alignment horizontal="center" vertical="center"/>
    </xf>
    <xf numFmtId="4" fontId="36" fillId="10" borderId="95" xfId="0" applyNumberFormat="1" applyFont="1" applyFill="1" applyBorder="1" applyAlignment="1">
      <alignment horizontal="center" vertical="center"/>
    </xf>
    <xf numFmtId="0" fontId="36" fillId="10" borderId="95" xfId="0" applyNumberFormat="1" applyFont="1" applyFill="1" applyBorder="1" applyAlignment="1">
      <alignment horizontal="center" vertical="center"/>
    </xf>
    <xf numFmtId="17" fontId="36" fillId="10" borderId="26" xfId="0" quotePrefix="1" applyNumberFormat="1" applyFont="1" applyFill="1" applyBorder="1" applyAlignment="1">
      <alignment horizontal="center" vertical="center" wrapText="1"/>
    </xf>
    <xf numFmtId="17" fontId="36" fillId="10" borderId="32" xfId="0" quotePrefix="1" applyNumberFormat="1" applyFont="1" applyFill="1" applyBorder="1" applyAlignment="1">
      <alignment horizontal="center" vertical="center" wrapText="1"/>
    </xf>
    <xf numFmtId="17" fontId="2" fillId="10" borderId="21" xfId="0" applyNumberFormat="1" applyFont="1" applyFill="1" applyBorder="1" applyAlignment="1">
      <alignment horizontal="center" vertical="center"/>
    </xf>
    <xf numFmtId="17" fontId="2" fillId="10" borderId="21" xfId="0" applyNumberFormat="1" applyFont="1" applyFill="1" applyBorder="1" applyAlignment="1">
      <alignment horizontal="center" vertical="center" wrapText="1"/>
    </xf>
    <xf numFmtId="0" fontId="2" fillId="10" borderId="21" xfId="0" applyNumberFormat="1" applyFont="1" applyFill="1" applyBorder="1" applyAlignment="1">
      <alignment horizontal="center" vertical="center" wrapText="1"/>
    </xf>
    <xf numFmtId="17" fontId="2" fillId="10" borderId="22" xfId="0" applyNumberFormat="1" applyFont="1" applyFill="1" applyBorder="1" applyAlignment="1">
      <alignment horizontal="center" vertical="center" wrapText="1"/>
    </xf>
    <xf numFmtId="17" fontId="2" fillId="10" borderId="23" xfId="0" applyNumberFormat="1" applyFont="1" applyFill="1" applyBorder="1" applyAlignment="1">
      <alignment horizontal="center" vertical="center"/>
    </xf>
    <xf numFmtId="17" fontId="2" fillId="10" borderId="23" xfId="0" applyNumberFormat="1" applyFont="1" applyFill="1" applyBorder="1" applyAlignment="1">
      <alignment horizontal="center" vertical="center" wrapText="1"/>
    </xf>
    <xf numFmtId="0" fontId="2" fillId="10" borderId="23" xfId="0" applyNumberFormat="1" applyFont="1" applyFill="1" applyBorder="1" applyAlignment="1">
      <alignment horizontal="center" vertical="center" wrapText="1"/>
    </xf>
    <xf numFmtId="0" fontId="2" fillId="10" borderId="46" xfId="1" applyNumberFormat="1" applyFont="1" applyFill="1" applyBorder="1" applyAlignment="1">
      <alignment horizontal="center" vertical="center"/>
    </xf>
    <xf numFmtId="0" fontId="2" fillId="10" borderId="46" xfId="0" applyFont="1" applyFill="1" applyBorder="1" applyAlignment="1">
      <alignment horizontal="center" vertical="center"/>
    </xf>
    <xf numFmtId="17" fontId="2" fillId="10" borderId="23" xfId="0" applyNumberFormat="1" applyFont="1" applyFill="1" applyBorder="1" applyAlignment="1">
      <alignment horizontal="center"/>
    </xf>
    <xf numFmtId="0" fontId="2" fillId="10" borderId="23" xfId="0" applyNumberFormat="1" applyFont="1" applyFill="1" applyBorder="1" applyAlignment="1">
      <alignment horizontal="center" wrapText="1"/>
    </xf>
    <xf numFmtId="16" fontId="2" fillId="10" borderId="24" xfId="0" applyNumberFormat="1" applyFont="1" applyFill="1" applyBorder="1" applyAlignment="1">
      <alignment horizontal="center" vertical="center"/>
    </xf>
    <xf numFmtId="16" fontId="2" fillId="10" borderId="24" xfId="0" applyNumberFormat="1" applyFont="1" applyFill="1" applyBorder="1" applyAlignment="1">
      <alignment horizontal="center" wrapText="1"/>
    </xf>
    <xf numFmtId="20" fontId="2" fillId="10" borderId="26" xfId="0" quotePrefix="1" applyNumberFormat="1" applyFont="1" applyFill="1" applyBorder="1" applyAlignment="1">
      <alignment horizontal="center" vertical="center"/>
    </xf>
    <xf numFmtId="20" fontId="2" fillId="10" borderId="26" xfId="0" applyNumberFormat="1" applyFont="1" applyFill="1" applyBorder="1" applyAlignment="1">
      <alignment horizontal="center"/>
    </xf>
    <xf numFmtId="20" fontId="2" fillId="10" borderId="23" xfId="0" applyNumberFormat="1" applyFont="1" applyFill="1" applyBorder="1" applyAlignment="1">
      <alignment horizontal="center"/>
    </xf>
    <xf numFmtId="0" fontId="2" fillId="10" borderId="58" xfId="1" applyNumberFormat="1" applyFont="1" applyFill="1" applyBorder="1" applyAlignment="1">
      <alignment horizontal="center" vertical="center"/>
    </xf>
    <xf numFmtId="0" fontId="2" fillId="10" borderId="58" xfId="0" applyNumberFormat="1" applyFont="1" applyFill="1" applyBorder="1" applyAlignment="1">
      <alignment horizontal="center" vertical="center"/>
    </xf>
    <xf numFmtId="14" fontId="2" fillId="10" borderId="58" xfId="0" applyNumberFormat="1" applyFont="1" applyFill="1" applyBorder="1" applyAlignment="1">
      <alignment horizontal="center" vertical="center" wrapText="1"/>
    </xf>
    <xf numFmtId="20" fontId="2" fillId="10" borderId="58" xfId="0" applyNumberFormat="1" applyFont="1" applyFill="1" applyBorder="1" applyAlignment="1">
      <alignment horizontal="center" vertical="center" wrapText="1"/>
    </xf>
    <xf numFmtId="0" fontId="2" fillId="10" borderId="66" xfId="0" applyFont="1" applyFill="1" applyBorder="1" applyAlignment="1">
      <alignment horizontal="center" vertical="center" wrapText="1"/>
    </xf>
    <xf numFmtId="0" fontId="2" fillId="10" borderId="67" xfId="0" applyFont="1" applyFill="1" applyBorder="1" applyAlignment="1">
      <alignment horizontal="center" vertical="center" wrapText="1"/>
    </xf>
    <xf numFmtId="0" fontId="2" fillId="10" borderId="68" xfId="0" applyFont="1" applyFill="1" applyBorder="1" applyAlignment="1">
      <alignment horizontal="center" vertical="center" wrapText="1"/>
    </xf>
    <xf numFmtId="17" fontId="2" fillId="10" borderId="67" xfId="0" quotePrefix="1" applyNumberFormat="1" applyFont="1" applyFill="1" applyBorder="1" applyAlignment="1">
      <alignment horizontal="center" vertical="center" wrapText="1"/>
    </xf>
    <xf numFmtId="17" fontId="2" fillId="10" borderId="68" xfId="0" quotePrefix="1" applyNumberFormat="1" applyFont="1" applyFill="1" applyBorder="1" applyAlignment="1">
      <alignment horizontal="center" vertical="center" wrapText="1"/>
    </xf>
    <xf numFmtId="0" fontId="2" fillId="10" borderId="75" xfId="0" applyFont="1" applyFill="1" applyBorder="1" applyAlignment="1">
      <alignment horizontal="center" vertical="center" wrapText="1"/>
    </xf>
    <xf numFmtId="43" fontId="36" fillId="10" borderId="79" xfId="1" applyFont="1" applyFill="1" applyBorder="1" applyAlignment="1">
      <alignment horizontal="center" vertical="center" wrapText="1"/>
    </xf>
    <xf numFmtId="0" fontId="36" fillId="10" borderId="80" xfId="0" applyNumberFormat="1" applyFont="1" applyFill="1" applyBorder="1" applyAlignment="1">
      <alignment horizontal="center" vertical="center" wrapText="1"/>
    </xf>
    <xf numFmtId="0" fontId="36" fillId="10" borderId="81" xfId="0" applyNumberFormat="1" applyFont="1" applyFill="1" applyBorder="1" applyAlignment="1">
      <alignment horizontal="center" vertical="center" wrapText="1"/>
    </xf>
    <xf numFmtId="0" fontId="36" fillId="10" borderId="82" xfId="0" applyNumberFormat="1" applyFont="1" applyFill="1" applyBorder="1" applyAlignment="1">
      <alignment vertical="center" wrapText="1"/>
    </xf>
    <xf numFmtId="0" fontId="36" fillId="10" borderId="83" xfId="0" applyNumberFormat="1" applyFont="1" applyFill="1" applyBorder="1" applyAlignment="1">
      <alignment horizontal="center" vertical="center" wrapText="1"/>
    </xf>
    <xf numFmtId="0" fontId="36" fillId="10" borderId="84" xfId="0" applyNumberFormat="1" applyFont="1" applyFill="1" applyBorder="1" applyAlignment="1">
      <alignment vertical="center" wrapText="1"/>
    </xf>
    <xf numFmtId="0" fontId="36" fillId="10" borderId="92" xfId="0" applyFont="1" applyFill="1" applyBorder="1" applyAlignment="1">
      <alignment horizontal="center" vertical="center" wrapText="1"/>
    </xf>
    <xf numFmtId="0" fontId="36" fillId="10" borderId="96" xfId="0" applyFont="1" applyFill="1" applyBorder="1" applyAlignment="1">
      <alignment horizontal="center" vertical="center" wrapText="1"/>
    </xf>
    <xf numFmtId="0" fontId="36" fillId="10" borderId="97" xfId="0" applyFont="1" applyFill="1" applyBorder="1" applyAlignment="1">
      <alignment horizontal="center" vertical="center" wrapText="1"/>
    </xf>
    <xf numFmtId="17" fontId="36" fillId="10" borderId="117" xfId="0" applyNumberFormat="1" applyFont="1" applyFill="1" applyBorder="1" applyAlignment="1">
      <alignment horizontal="center" vertical="center"/>
    </xf>
    <xf numFmtId="0" fontId="36" fillId="10" borderId="119" xfId="5" applyFont="1" applyFill="1" applyBorder="1" applyAlignment="1">
      <alignment horizontal="center" vertical="center"/>
    </xf>
    <xf numFmtId="0" fontId="36" fillId="10" borderId="103" xfId="5" applyFont="1" applyFill="1" applyBorder="1" applyAlignment="1">
      <alignment horizontal="center" vertical="center"/>
    </xf>
    <xf numFmtId="0" fontId="36" fillId="10" borderId="121" xfId="5" applyFont="1" applyFill="1" applyBorder="1" applyAlignment="1">
      <alignment horizontal="center" vertical="center"/>
    </xf>
    <xf numFmtId="0" fontId="36" fillId="10" borderId="122" xfId="5" applyFont="1" applyFill="1" applyBorder="1" applyAlignment="1">
      <alignment horizontal="center" vertical="center"/>
    </xf>
    <xf numFmtId="0" fontId="36" fillId="10" borderId="123" xfId="0" applyNumberFormat="1" applyFont="1" applyFill="1" applyBorder="1" applyAlignment="1">
      <alignment vertical="center"/>
    </xf>
    <xf numFmtId="0" fontId="77" fillId="10" borderId="124" xfId="0" applyNumberFormat="1" applyFont="1" applyFill="1" applyBorder="1" applyAlignment="1">
      <alignment vertical="center"/>
    </xf>
    <xf numFmtId="4" fontId="36" fillId="10" borderId="58" xfId="0" applyNumberFormat="1" applyFont="1" applyFill="1" applyBorder="1" applyAlignment="1">
      <alignment vertical="center"/>
    </xf>
    <xf numFmtId="0" fontId="77" fillId="10" borderId="123" xfId="0" applyNumberFormat="1" applyFont="1" applyFill="1" applyBorder="1" applyAlignment="1">
      <alignment vertical="center"/>
    </xf>
    <xf numFmtId="0" fontId="36" fillId="10" borderId="125" xfId="0" applyNumberFormat="1" applyFont="1" applyFill="1" applyBorder="1" applyAlignment="1">
      <alignment vertical="center"/>
    </xf>
    <xf numFmtId="4" fontId="36" fillId="10" borderId="125" xfId="0" applyNumberFormat="1" applyFont="1" applyFill="1" applyBorder="1" applyAlignment="1">
      <alignment vertical="center"/>
    </xf>
    <xf numFmtId="4" fontId="77" fillId="10" borderId="124" xfId="0" applyNumberFormat="1" applyFont="1" applyFill="1" applyBorder="1" applyAlignment="1">
      <alignment vertical="center"/>
    </xf>
    <xf numFmtId="4" fontId="77" fillId="10" borderId="58" xfId="0" applyNumberFormat="1" applyFont="1" applyFill="1" applyBorder="1" applyAlignment="1">
      <alignment vertical="center"/>
    </xf>
    <xf numFmtId="0" fontId="77" fillId="10" borderId="126" xfId="0" applyNumberFormat="1" applyFont="1" applyFill="1" applyBorder="1" applyAlignment="1">
      <alignment vertical="center"/>
    </xf>
    <xf numFmtId="0" fontId="77" fillId="10" borderId="127" xfId="0" applyNumberFormat="1" applyFont="1" applyFill="1" applyBorder="1" applyAlignment="1">
      <alignment vertical="center"/>
    </xf>
    <xf numFmtId="4" fontId="77" fillId="10" borderId="127" xfId="0" applyNumberFormat="1" applyFont="1" applyFill="1" applyBorder="1" applyAlignment="1">
      <alignment vertical="center"/>
    </xf>
    <xf numFmtId="4" fontId="77" fillId="10" borderId="128" xfId="0" applyNumberFormat="1" applyFont="1" applyFill="1" applyBorder="1" applyAlignment="1">
      <alignment vertical="center"/>
    </xf>
    <xf numFmtId="17" fontId="36" fillId="12" borderId="46" xfId="6" quotePrefix="1" applyNumberFormat="1" applyFont="1" applyFill="1" applyBorder="1" applyAlignment="1">
      <alignment horizontal="center" vertical="center" wrapText="1"/>
    </xf>
    <xf numFmtId="0" fontId="36" fillId="12" borderId="46" xfId="6" quotePrefix="1" applyNumberFormat="1" applyFont="1" applyFill="1" applyBorder="1" applyAlignment="1">
      <alignment horizontal="center" vertical="center" wrapText="1"/>
    </xf>
    <xf numFmtId="0" fontId="36" fillId="12" borderId="46" xfId="6" applyNumberFormat="1" applyFont="1" applyFill="1" applyBorder="1" applyAlignment="1">
      <alignment horizontal="center" vertical="center" wrapText="1"/>
    </xf>
    <xf numFmtId="0" fontId="36" fillId="12" borderId="130" xfId="6" applyNumberFormat="1" applyFont="1" applyFill="1" applyBorder="1" applyAlignment="1">
      <alignment horizontal="center" vertical="center" wrapText="1"/>
    </xf>
    <xf numFmtId="14" fontId="36" fillId="12" borderId="46" xfId="6" applyNumberFormat="1" applyFont="1" applyFill="1" applyBorder="1" applyAlignment="1">
      <alignment horizontal="center" vertical="center"/>
    </xf>
    <xf numFmtId="0" fontId="36" fillId="12" borderId="130" xfId="6" applyNumberFormat="1" applyFont="1" applyFill="1" applyBorder="1" applyAlignment="1">
      <alignment horizontal="center" vertical="center"/>
    </xf>
    <xf numFmtId="20" fontId="36" fillId="12" borderId="132" xfId="6" applyNumberFormat="1" applyFont="1" applyFill="1" applyBorder="1" applyAlignment="1">
      <alignment horizontal="center" vertical="center"/>
    </xf>
    <xf numFmtId="0" fontId="36" fillId="12" borderId="133" xfId="6" applyNumberFormat="1" applyFont="1" applyFill="1" applyBorder="1" applyAlignment="1">
      <alignment horizontal="center" vertical="center"/>
    </xf>
    <xf numFmtId="173" fontId="42" fillId="10" borderId="137" xfId="0" applyNumberFormat="1" applyFont="1" applyFill="1" applyBorder="1" applyAlignment="1">
      <alignment horizontal="center" vertical="center"/>
    </xf>
    <xf numFmtId="173" fontId="42" fillId="10" borderId="137" xfId="0" applyNumberFormat="1" applyFont="1" applyFill="1" applyBorder="1" applyAlignment="1">
      <alignment horizontal="center" vertical="center" wrapText="1"/>
    </xf>
    <xf numFmtId="0" fontId="36" fillId="10" borderId="82" xfId="0" applyFont="1" applyFill="1" applyBorder="1" applyAlignment="1">
      <alignment horizontal="center" vertical="center"/>
    </xf>
    <xf numFmtId="43" fontId="36" fillId="10" borderId="82" xfId="1" applyFont="1" applyFill="1" applyBorder="1" applyAlignment="1">
      <alignment horizontal="center" vertical="center"/>
    </xf>
    <xf numFmtId="4" fontId="36" fillId="10" borderId="82" xfId="0" applyNumberFormat="1" applyFont="1" applyFill="1" applyBorder="1" applyAlignment="1">
      <alignment horizontal="center" vertical="center"/>
    </xf>
    <xf numFmtId="0" fontId="36" fillId="10" borderId="82" xfId="0" applyNumberFormat="1" applyFont="1" applyFill="1" applyBorder="1" applyAlignment="1">
      <alignment horizontal="center" vertical="center" wrapText="1"/>
    </xf>
    <xf numFmtId="0" fontId="77" fillId="10" borderId="125" xfId="0" applyNumberFormat="1" applyFont="1" applyFill="1" applyBorder="1" applyAlignment="1">
      <alignment vertical="center"/>
    </xf>
    <xf numFmtId="10" fontId="36" fillId="10" borderId="58" xfId="2" applyNumberFormat="1" applyFont="1" applyFill="1" applyBorder="1" applyAlignment="1">
      <alignment vertical="center"/>
    </xf>
    <xf numFmtId="10" fontId="77" fillId="10" borderId="58" xfId="2" applyNumberFormat="1" applyFont="1" applyFill="1" applyBorder="1" applyAlignment="1">
      <alignment vertical="center"/>
    </xf>
    <xf numFmtId="0" fontId="21" fillId="4" borderId="89" xfId="0" applyFont="1" applyFill="1" applyBorder="1" applyAlignment="1">
      <alignment vertical="center"/>
    </xf>
    <xf numFmtId="0" fontId="21" fillId="4" borderId="90" xfId="0" applyFont="1" applyFill="1" applyBorder="1" applyAlignment="1">
      <alignment vertical="center"/>
    </xf>
    <xf numFmtId="0" fontId="21" fillId="4" borderId="91" xfId="0" applyFont="1" applyFill="1" applyBorder="1" applyAlignment="1">
      <alignment vertical="center"/>
    </xf>
    <xf numFmtId="4" fontId="21" fillId="4" borderId="88" xfId="0" applyNumberFormat="1" applyFont="1" applyFill="1" applyBorder="1" applyAlignment="1">
      <alignment horizontal="center" vertical="center"/>
    </xf>
    <xf numFmtId="166" fontId="21" fillId="4" borderId="88" xfId="2" applyNumberFormat="1" applyFont="1" applyFill="1" applyBorder="1" applyAlignment="1">
      <alignment horizontal="center" vertical="center"/>
    </xf>
    <xf numFmtId="0" fontId="76" fillId="4" borderId="112" xfId="0" applyFont="1" applyFill="1" applyBorder="1"/>
    <xf numFmtId="0" fontId="76" fillId="4" borderId="113" xfId="0" applyFont="1" applyFill="1" applyBorder="1"/>
    <xf numFmtId="43" fontId="76" fillId="4" borderId="113" xfId="1" applyNumberFormat="1" applyFont="1" applyFill="1" applyBorder="1"/>
    <xf numFmtId="43" fontId="76" fillId="4" borderId="113" xfId="1" applyFont="1" applyFill="1" applyBorder="1"/>
    <xf numFmtId="43" fontId="76" fillId="4" borderId="114" xfId="1" applyFont="1" applyFill="1" applyBorder="1"/>
    <xf numFmtId="43" fontId="76" fillId="4" borderId="113" xfId="0" applyNumberFormat="1" applyFont="1" applyFill="1" applyBorder="1"/>
    <xf numFmtId="10" fontId="76" fillId="4" borderId="114" xfId="2" applyNumberFormat="1" applyFont="1" applyFill="1" applyBorder="1"/>
    <xf numFmtId="0" fontId="76" fillId="4" borderId="112" xfId="0" applyFont="1" applyFill="1" applyBorder="1" applyAlignment="1">
      <alignment vertical="center"/>
    </xf>
    <xf numFmtId="0" fontId="76" fillId="4" borderId="113" xfId="0" applyFont="1" applyFill="1" applyBorder="1" applyAlignment="1">
      <alignment vertical="center"/>
    </xf>
    <xf numFmtId="43" fontId="76" fillId="4" borderId="113" xfId="0" applyNumberFormat="1" applyFont="1" applyFill="1" applyBorder="1" applyAlignment="1">
      <alignment vertical="center"/>
    </xf>
    <xf numFmtId="10" fontId="76" fillId="4" borderId="114" xfId="2" applyNumberFormat="1" applyFont="1" applyFill="1" applyBorder="1" applyAlignment="1">
      <alignment vertical="center"/>
    </xf>
    <xf numFmtId="4" fontId="0" fillId="0" borderId="70" xfId="0" quotePrefix="1" applyNumberFormat="1" applyFont="1" applyBorder="1" applyAlignment="1">
      <alignment horizontal="right" vertical="center"/>
    </xf>
    <xf numFmtId="0" fontId="76" fillId="0" borderId="111" xfId="0" applyFont="1" applyFill="1" applyBorder="1"/>
    <xf numFmtId="0" fontId="76" fillId="0" borderId="106" xfId="0" applyFont="1" applyFill="1" applyBorder="1"/>
    <xf numFmtId="43" fontId="76" fillId="0" borderId="106" xfId="0" applyNumberFormat="1" applyFont="1" applyFill="1" applyBorder="1"/>
    <xf numFmtId="10" fontId="76" fillId="0" borderId="107" xfId="2" applyNumberFormat="1" applyFont="1" applyFill="1" applyBorder="1"/>
    <xf numFmtId="43" fontId="68" fillId="0" borderId="0" xfId="1" applyFont="1" applyFill="1" applyBorder="1" applyAlignment="1">
      <alignment horizontal="left"/>
    </xf>
    <xf numFmtId="0" fontId="68" fillId="0" borderId="0" xfId="0" applyNumberFormat="1" applyFont="1" applyFill="1" applyBorder="1" applyAlignment="1">
      <alignment horizontal="left" vertical="top" wrapText="1"/>
    </xf>
    <xf numFmtId="0" fontId="68" fillId="0" borderId="0" xfId="0" applyFont="1" applyFill="1" applyBorder="1" applyAlignment="1">
      <alignment horizontal="left"/>
    </xf>
    <xf numFmtId="0" fontId="32" fillId="10" borderId="86" xfId="0" quotePrefix="1" applyNumberFormat="1" applyFont="1" applyFill="1" applyBorder="1" applyAlignment="1">
      <alignment horizontal="center" vertical="center" wrapText="1"/>
    </xf>
    <xf numFmtId="0" fontId="32" fillId="10" borderId="86" xfId="0" applyFont="1" applyFill="1" applyBorder="1" applyAlignment="1">
      <alignment horizontal="center" vertical="center" wrapText="1"/>
    </xf>
    <xf numFmtId="0" fontId="32" fillId="10" borderId="87" xfId="0" applyFont="1" applyFill="1" applyBorder="1" applyAlignment="1">
      <alignment horizontal="center" vertical="center" wrapText="1"/>
    </xf>
    <xf numFmtId="0" fontId="32" fillId="10" borderId="85" xfId="0" applyFont="1" applyFill="1" applyBorder="1" applyAlignment="1">
      <alignment horizontal="center" vertical="center" wrapText="1"/>
    </xf>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right"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62" fillId="5" borderId="38" xfId="0" applyNumberFormat="1" applyFont="1" applyFill="1" applyBorder="1" applyAlignment="1">
      <alignment horizontal="left" vertical="center"/>
    </xf>
    <xf numFmtId="0" fontId="62" fillId="5" borderId="40" xfId="0" applyNumberFormat="1" applyFont="1" applyFill="1" applyBorder="1" applyAlignment="1">
      <alignment horizontal="left" vertical="center"/>
    </xf>
    <xf numFmtId="0" fontId="36" fillId="10" borderId="34" xfId="0" applyNumberFormat="1" applyFont="1" applyFill="1" applyBorder="1" applyAlignment="1">
      <alignment horizontal="center" vertical="center" wrapText="1"/>
    </xf>
    <xf numFmtId="0" fontId="36" fillId="10" borderId="26" xfId="0" applyNumberFormat="1" applyFont="1" applyFill="1" applyBorder="1" applyAlignment="1">
      <alignment horizontal="center" vertical="center" wrapText="1"/>
    </xf>
    <xf numFmtId="0" fontId="37"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62" fillId="5" borderId="27" xfId="0" applyNumberFormat="1" applyFont="1" applyFill="1" applyBorder="1" applyAlignment="1">
      <alignment horizontal="left" vertical="center"/>
    </xf>
    <xf numFmtId="0" fontId="62" fillId="5" borderId="29" xfId="0" applyNumberFormat="1" applyFont="1" applyFill="1" applyBorder="1" applyAlignment="1">
      <alignment horizontal="left" vertical="center"/>
    </xf>
    <xf numFmtId="0" fontId="62" fillId="2" borderId="30" xfId="0" applyNumberFormat="1" applyFont="1" applyFill="1" applyBorder="1" applyAlignment="1">
      <alignment horizontal="left" vertical="center"/>
    </xf>
    <xf numFmtId="0" fontId="62" fillId="2" borderId="31" xfId="0" applyNumberFormat="1" applyFont="1" applyFill="1" applyBorder="1" applyAlignment="1">
      <alignment horizontal="left" vertical="center"/>
    </xf>
    <xf numFmtId="0" fontId="62" fillId="5" borderId="30" xfId="0" applyNumberFormat="1" applyFont="1" applyFill="1" applyBorder="1" applyAlignment="1">
      <alignment horizontal="left" vertical="center"/>
    </xf>
    <xf numFmtId="0" fontId="62" fillId="5" borderId="31" xfId="0" applyNumberFormat="1" applyFont="1" applyFill="1" applyBorder="1" applyAlignment="1">
      <alignment horizontal="left" vertical="center"/>
    </xf>
    <xf numFmtId="0" fontId="62" fillId="2" borderId="32" xfId="0" applyNumberFormat="1" applyFont="1" applyFill="1" applyBorder="1" applyAlignment="1">
      <alignment horizontal="left" vertical="center"/>
    </xf>
    <xf numFmtId="0" fontId="62" fillId="2" borderId="34" xfId="0"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10" borderId="17" xfId="0" quotePrefix="1" applyNumberFormat="1" applyFont="1" applyFill="1" applyBorder="1" applyAlignment="1">
      <alignment horizontal="left" vertical="center" wrapText="1"/>
    </xf>
    <xf numFmtId="0" fontId="2" fillId="10"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10" borderId="18" xfId="1" applyFont="1" applyFill="1" applyBorder="1" applyAlignment="1">
      <alignment horizontal="center" vertical="center"/>
    </xf>
    <xf numFmtId="17" fontId="2" fillId="10" borderId="18" xfId="0" applyNumberFormat="1" applyFont="1" applyFill="1" applyBorder="1" applyAlignment="1">
      <alignment horizontal="center" vertical="center"/>
    </xf>
    <xf numFmtId="0" fontId="2" fillId="10" borderId="18" xfId="0" applyNumberFormat="1" applyFont="1" applyFill="1" applyBorder="1" applyAlignment="1">
      <alignment horizontal="center" vertical="center"/>
    </xf>
    <xf numFmtId="0" fontId="2" fillId="10"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10" borderId="23" xfId="1" applyFont="1" applyFill="1" applyBorder="1" applyAlignment="1">
      <alignment horizontal="center" vertical="center"/>
    </xf>
    <xf numFmtId="17" fontId="2" fillId="10" borderId="23" xfId="0" applyNumberFormat="1" applyFont="1" applyFill="1" applyBorder="1" applyAlignment="1">
      <alignment horizontal="center" vertical="center"/>
    </xf>
    <xf numFmtId="0" fontId="2" fillId="10" borderId="23" xfId="0" applyNumberFormat="1" applyFont="1" applyFill="1" applyBorder="1" applyAlignment="1">
      <alignment horizontal="center" vertical="center"/>
    </xf>
    <xf numFmtId="0" fontId="2" fillId="10"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11" borderId="46" xfId="0" applyFont="1" applyFill="1" applyBorder="1" applyAlignment="1">
      <alignment horizontal="left" vertical="center"/>
    </xf>
    <xf numFmtId="43" fontId="2" fillId="10" borderId="46" xfId="1" applyFont="1" applyFill="1" applyBorder="1" applyAlignment="1">
      <alignment horizontal="center" vertical="center"/>
    </xf>
    <xf numFmtId="0" fontId="2" fillId="10"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8" xfId="0" applyNumberFormat="1" applyFont="1" applyFill="1" applyBorder="1" applyAlignment="1">
      <alignment horizontal="left" vertical="center" wrapText="1"/>
    </xf>
    <xf numFmtId="0" fontId="13" fillId="2" borderId="0" xfId="0" applyNumberFormat="1" applyFont="1" applyFill="1" applyAlignment="1">
      <alignment horizontal="left" vertical="center"/>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6" fontId="2" fillId="10" borderId="23" xfId="2" applyNumberFormat="1" applyFont="1" applyFill="1" applyBorder="1" applyAlignment="1">
      <alignment horizontal="center" vertical="center" wrapText="1"/>
    </xf>
    <xf numFmtId="166" fontId="2" fillId="10" borderId="23" xfId="2" applyNumberFormat="1"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2" fillId="11" borderId="58" xfId="0" applyFont="1" applyFill="1" applyBorder="1" applyAlignment="1">
      <alignment horizontal="center" vertical="center" wrapText="1"/>
    </xf>
    <xf numFmtId="0" fontId="2" fillId="11" borderId="60" xfId="0" applyFont="1" applyFill="1" applyBorder="1" applyAlignment="1">
      <alignment horizontal="center" vertical="center" wrapText="1"/>
    </xf>
    <xf numFmtId="43" fontId="2" fillId="10" borderId="58" xfId="1" applyFont="1" applyFill="1" applyBorder="1" applyAlignment="1">
      <alignment horizontal="center" vertical="center" wrapText="1"/>
    </xf>
    <xf numFmtId="0" fontId="2" fillId="10" borderId="58" xfId="0" applyNumberFormat="1" applyFont="1" applyFill="1" applyBorder="1" applyAlignment="1">
      <alignment horizontal="center" vertical="center"/>
    </xf>
    <xf numFmtId="0" fontId="2" fillId="10"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10" borderId="59" xfId="0" applyFont="1" applyFill="1" applyBorder="1" applyAlignment="1">
      <alignment horizontal="center" vertical="center"/>
    </xf>
    <xf numFmtId="0" fontId="2" fillId="10" borderId="61" xfId="0" applyFont="1" applyFill="1" applyBorder="1" applyAlignment="1">
      <alignment horizontal="center" vertical="center"/>
    </xf>
    <xf numFmtId="0" fontId="4" fillId="2" borderId="0" xfId="0" applyNumberFormat="1" applyFont="1" applyFill="1" applyAlignment="1">
      <alignment horizontal="left" vertical="center"/>
    </xf>
    <xf numFmtId="0" fontId="34"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43" xfId="0" applyNumberFormat="1" applyFont="1" applyFill="1" applyBorder="1" applyAlignment="1">
      <alignment horizontal="left" vertical="center" wrapText="1"/>
    </xf>
    <xf numFmtId="0" fontId="11" fillId="2" borderId="0" xfId="0" applyNumberFormat="1" applyFont="1" applyFill="1" applyAlignment="1">
      <alignment horizontal="left" vertical="center"/>
    </xf>
    <xf numFmtId="0" fontId="63" fillId="0" borderId="100" xfId="0" applyFont="1" applyFill="1" applyBorder="1" applyAlignment="1">
      <alignment horizontal="center" vertical="center"/>
    </xf>
    <xf numFmtId="0" fontId="63" fillId="0" borderId="101" xfId="0" applyFont="1" applyFill="1" applyBorder="1" applyAlignment="1">
      <alignment horizontal="center" vertical="center"/>
    </xf>
    <xf numFmtId="0" fontId="63" fillId="0" borderId="102" xfId="0" applyFont="1" applyFill="1" applyBorder="1" applyAlignment="1">
      <alignment horizontal="center" vertical="center"/>
    </xf>
    <xf numFmtId="0" fontId="27" fillId="0" borderId="0" xfId="0" applyNumberFormat="1" applyFont="1" applyFill="1" applyAlignment="1">
      <alignment horizontal="left" vertical="center" wrapText="1"/>
    </xf>
    <xf numFmtId="0" fontId="27" fillId="2" borderId="0" xfId="0" applyNumberFormat="1" applyFont="1" applyFill="1" applyAlignment="1">
      <alignment horizontal="left" vertical="center" wrapText="1"/>
    </xf>
    <xf numFmtId="0" fontId="37" fillId="2" borderId="0" xfId="0" applyNumberFormat="1" applyFont="1" applyFill="1" applyBorder="1" applyAlignment="1">
      <alignment wrapText="1"/>
    </xf>
    <xf numFmtId="0" fontId="38" fillId="2" borderId="0" xfId="0" quotePrefix="1" applyNumberFormat="1" applyFont="1" applyFill="1" applyBorder="1" applyAlignment="1">
      <alignment horizontal="center" vertical="center" wrapText="1"/>
    </xf>
    <xf numFmtId="0" fontId="38" fillId="2" borderId="0" xfId="0" applyNumberFormat="1" applyFont="1" applyFill="1" applyBorder="1" applyAlignment="1">
      <alignment horizontal="center"/>
    </xf>
    <xf numFmtId="0" fontId="37" fillId="2" borderId="0" xfId="0" applyNumberFormat="1" applyFont="1" applyFill="1" applyBorder="1" applyAlignment="1">
      <alignment vertical="center" wrapText="1"/>
    </xf>
    <xf numFmtId="43" fontId="36" fillId="10" borderId="96" xfId="1" applyFont="1" applyFill="1" applyBorder="1" applyAlignment="1">
      <alignment horizontal="center" vertical="center" wrapText="1"/>
    </xf>
    <xf numFmtId="43" fontId="36" fillId="10" borderId="97"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8" xfId="0" applyNumberFormat="1" applyFont="1" applyFill="1" applyBorder="1" applyAlignment="1">
      <alignment horizontal="left" vertical="center"/>
    </xf>
    <xf numFmtId="0" fontId="41" fillId="2" borderId="0" xfId="0" quotePrefix="1" applyNumberFormat="1" applyFont="1" applyFill="1" applyBorder="1" applyAlignment="1">
      <alignment horizontal="left" vertical="center" wrapText="1"/>
    </xf>
    <xf numFmtId="0" fontId="37" fillId="2" borderId="99" xfId="0" quotePrefix="1" applyNumberFormat="1" applyFont="1" applyFill="1" applyBorder="1" applyAlignment="1">
      <alignment horizontal="left"/>
    </xf>
    <xf numFmtId="0" fontId="36" fillId="10" borderId="115" xfId="5" applyNumberFormat="1" applyFont="1" applyFill="1" applyBorder="1" applyAlignment="1">
      <alignment horizontal="center" vertical="center"/>
    </xf>
    <xf numFmtId="0" fontId="36" fillId="10" borderId="118" xfId="5" applyNumberFormat="1" applyFont="1" applyFill="1" applyBorder="1" applyAlignment="1">
      <alignment horizontal="center" vertical="center"/>
    </xf>
    <xf numFmtId="0" fontId="36" fillId="10" borderId="120" xfId="5" applyNumberFormat="1" applyFont="1" applyFill="1" applyBorder="1" applyAlignment="1">
      <alignment horizontal="center" vertical="center"/>
    </xf>
    <xf numFmtId="0" fontId="36" fillId="10" borderId="116" xfId="5" applyNumberFormat="1" applyFont="1" applyFill="1" applyBorder="1" applyAlignment="1">
      <alignment horizontal="center" vertical="center"/>
    </xf>
    <xf numFmtId="0" fontId="36" fillId="10" borderId="103" xfId="5" applyNumberFormat="1" applyFont="1" applyFill="1" applyBorder="1" applyAlignment="1">
      <alignment horizontal="center" vertical="center"/>
    </xf>
    <xf numFmtId="0" fontId="36" fillId="10" borderId="121" xfId="5" applyNumberFormat="1" applyFont="1" applyFill="1" applyBorder="1" applyAlignment="1">
      <alignment horizontal="center" vertical="center"/>
    </xf>
    <xf numFmtId="17" fontId="36" fillId="10" borderId="116" xfId="0" applyNumberFormat="1" applyFont="1" applyFill="1" applyBorder="1" applyAlignment="1">
      <alignment horizontal="center" vertical="center"/>
    </xf>
    <xf numFmtId="0" fontId="36" fillId="10" borderId="103" xfId="0" applyNumberFormat="1" applyFont="1" applyFill="1" applyBorder="1" applyAlignment="1">
      <alignment horizontal="center" vertical="center"/>
    </xf>
    <xf numFmtId="0" fontId="36" fillId="10" borderId="44" xfId="5" applyFont="1" applyFill="1" applyBorder="1" applyAlignment="1">
      <alignment horizontal="center" vertical="center" wrapText="1"/>
    </xf>
    <xf numFmtId="0" fontId="36" fillId="10" borderId="104" xfId="5" applyFont="1" applyFill="1" applyBorder="1" applyAlignment="1">
      <alignment horizontal="center" vertical="center" wrapText="1"/>
    </xf>
    <xf numFmtId="0" fontId="36" fillId="10" borderId="45" xfId="5" applyNumberFormat="1" applyFont="1" applyFill="1" applyBorder="1" applyAlignment="1">
      <alignment horizontal="center" vertical="center"/>
    </xf>
    <xf numFmtId="0" fontId="36" fillId="10" borderId="105" xfId="5" applyNumberFormat="1" applyFont="1" applyFill="1" applyBorder="1" applyAlignment="1">
      <alignment horizontal="center" vertical="center"/>
    </xf>
    <xf numFmtId="0" fontId="36" fillId="10"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6" fillId="12" borderId="134" xfId="6" applyNumberFormat="1" applyFont="1" applyFill="1" applyBorder="1" applyAlignment="1">
      <alignment horizontal="center" vertical="center"/>
    </xf>
    <xf numFmtId="0" fontId="36" fillId="12" borderId="129" xfId="6" applyNumberFormat="1" applyFont="1" applyFill="1" applyBorder="1" applyAlignment="1">
      <alignment horizontal="center" vertical="center"/>
    </xf>
    <xf numFmtId="0" fontId="36" fillId="12" borderId="131" xfId="6" applyNumberFormat="1" applyFont="1" applyFill="1" applyBorder="1" applyAlignment="1">
      <alignment horizontal="center" vertical="center"/>
    </xf>
    <xf numFmtId="0" fontId="36" fillId="12" borderId="135" xfId="6" applyNumberFormat="1" applyFont="1" applyFill="1" applyBorder="1" applyAlignment="1">
      <alignment horizontal="center" vertical="center"/>
    </xf>
    <xf numFmtId="0" fontId="36" fillId="12" borderId="46" xfId="6" applyNumberFormat="1" applyFont="1" applyFill="1" applyBorder="1" applyAlignment="1">
      <alignment horizontal="center" vertical="center"/>
    </xf>
    <xf numFmtId="0" fontId="36" fillId="12" borderId="132" xfId="6" applyNumberFormat="1" applyFont="1" applyFill="1" applyBorder="1" applyAlignment="1">
      <alignment horizontal="center" vertical="center"/>
    </xf>
    <xf numFmtId="0" fontId="36" fillId="12" borderId="136" xfId="6" applyNumberFormat="1" applyFont="1" applyFill="1" applyBorder="1" applyAlignment="1">
      <alignment horizontal="center" vertical="center"/>
    </xf>
    <xf numFmtId="0" fontId="42" fillId="10" borderId="137" xfId="0" applyNumberFormat="1" applyFont="1" applyFill="1" applyBorder="1" applyAlignment="1">
      <alignment horizontal="center" vertical="center"/>
    </xf>
    <xf numFmtId="173" fontId="42" fillId="10" borderId="137" xfId="0" applyNumberFormat="1" applyFont="1" applyFill="1" applyBorder="1" applyAlignment="1">
      <alignment horizontal="center"/>
    </xf>
  </cellXfs>
  <cellStyles count="7">
    <cellStyle name="Comma" xfId="1" builtinId="3"/>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1656.4380512150008</c:v>
                </c:pt>
                <c:pt idx="1">
                  <c:v>2253.6528189324995</c:v>
                </c:pt>
                <c:pt idx="2">
                  <c:v>0</c:v>
                </c:pt>
                <c:pt idx="3">
                  <c:v>6.3454784125000003</c:v>
                </c:pt>
                <c:pt idx="4">
                  <c:v>13.548058922500001</c:v>
                </c:pt>
                <c:pt idx="5">
                  <c:v>141.62182448750002</c:v>
                </c:pt>
                <c:pt idx="6">
                  <c:v>71.752520337500002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2253.6528189324995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6.3454784125000003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13.548058922500001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141.62182448750002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71.752520337500002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RER'!$L$29:$L$33</c:f>
              <c:strCache>
                <c:ptCount val="5"/>
                <c:pt idx="0">
                  <c:v>C.E. WAYRA I</c:v>
                </c:pt>
                <c:pt idx="1">
                  <c:v>C.E. TRES HERMANAS</c:v>
                </c:pt>
                <c:pt idx="2">
                  <c:v>C.E. CUPISNIQUE</c:v>
                </c:pt>
                <c:pt idx="3">
                  <c:v>C.E. MARCONA</c:v>
                </c:pt>
                <c:pt idx="4">
                  <c:v>C.E. TALARA</c:v>
                </c:pt>
              </c:strCache>
            </c:strRef>
          </c:cat>
          <c:val>
            <c:numRef>
              <c:f>'6. FP RER'!$O$29:$O$33</c:f>
              <c:numCache>
                <c:formatCode>0.00</c:formatCode>
                <c:ptCount val="5"/>
                <c:pt idx="0">
                  <c:v>50.189089787500002</c:v>
                </c:pt>
                <c:pt idx="1">
                  <c:v>39.327510820000001</c:v>
                </c:pt>
                <c:pt idx="2">
                  <c:v>27.27548891</c:v>
                </c:pt>
                <c:pt idx="3">
                  <c:v>13.180229862500001</c:v>
                </c:pt>
                <c:pt idx="4">
                  <c:v>11.6495051075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RER'!$L$29:$L$33</c:f>
              <c:strCache>
                <c:ptCount val="5"/>
                <c:pt idx="0">
                  <c:v>C.E. WAYRA I</c:v>
                </c:pt>
                <c:pt idx="1">
                  <c:v>C.E. TRES HERMANAS</c:v>
                </c:pt>
                <c:pt idx="2">
                  <c:v>C.E. CUPISNIQUE</c:v>
                </c:pt>
                <c:pt idx="3">
                  <c:v>C.E. MARCONA</c:v>
                </c:pt>
                <c:pt idx="4">
                  <c:v>C.E. TALARA</c:v>
                </c:pt>
              </c:strCache>
            </c:strRef>
          </c:cat>
          <c:val>
            <c:numRef>
              <c:f>'6. FP RER'!$P$29:$P$33</c:f>
              <c:numCache>
                <c:formatCode>0.00</c:formatCode>
                <c:ptCount val="5"/>
                <c:pt idx="0">
                  <c:v>0.52688638812778188</c:v>
                </c:pt>
                <c:pt idx="1">
                  <c:v>0.56223924658317603</c:v>
                </c:pt>
                <c:pt idx="2">
                  <c:v>0.45559378816730134</c:v>
                </c:pt>
                <c:pt idx="3">
                  <c:v>0.57205858778211804</c:v>
                </c:pt>
                <c:pt idx="4">
                  <c:v>0.52429903450619275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RER'!$L$34:$L$40</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RER'!$O$34:$O$40</c:f>
              <c:numCache>
                <c:formatCode>0.00</c:formatCode>
                <c:ptCount val="7"/>
                <c:pt idx="0">
                  <c:v>39.740338997500004</c:v>
                </c:pt>
                <c:pt idx="1">
                  <c:v>10.036928847499999</c:v>
                </c:pt>
                <c:pt idx="2">
                  <c:v>4.9280429450000005</c:v>
                </c:pt>
                <c:pt idx="3">
                  <c:v>4.5598398200000005</c:v>
                </c:pt>
                <c:pt idx="4">
                  <c:v>4.4811652224999996</c:v>
                </c:pt>
                <c:pt idx="5">
                  <c:v>4.0318943825</c:v>
                </c:pt>
                <c:pt idx="6">
                  <c:v>3.9743101224999999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RER'!$L$34:$L$40</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RER'!$P$34:$P$40</c:f>
              <c:numCache>
                <c:formatCode>0.00</c:formatCode>
                <c:ptCount val="7"/>
                <c:pt idx="0">
                  <c:v>0.38202460738029875</c:v>
                </c:pt>
                <c:pt idx="1">
                  <c:v>0.31298111708264725</c:v>
                </c:pt>
                <c:pt idx="2">
                  <c:v>0.34222520451388888</c:v>
                </c:pt>
                <c:pt idx="3">
                  <c:v>0.39581942881944443</c:v>
                </c:pt>
                <c:pt idx="4">
                  <c:v>0.31119202934027779</c:v>
                </c:pt>
                <c:pt idx="5">
                  <c:v>0.2799926654513889</c:v>
                </c:pt>
                <c:pt idx="6">
                  <c:v>0.27599375850694446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RER'!$L$41:$L$44</c:f>
              <c:strCache>
                <c:ptCount val="4"/>
                <c:pt idx="0">
                  <c:v>C.T. PARAMONGA</c:v>
                </c:pt>
                <c:pt idx="1">
                  <c:v>C.T. LA GRINGA</c:v>
                </c:pt>
                <c:pt idx="2">
                  <c:v>C.T. HUAYCOLORO</c:v>
                </c:pt>
                <c:pt idx="3">
                  <c:v>C.T. DOÑA CATALINA</c:v>
                </c:pt>
              </c:strCache>
            </c:strRef>
          </c:cat>
          <c:val>
            <c:numRef>
              <c:f>'6. FP RER'!$O$41:$O$44</c:f>
              <c:numCache>
                <c:formatCode>0.00</c:formatCode>
                <c:ptCount val="4"/>
                <c:pt idx="0">
                  <c:v>8.4465523725000011</c:v>
                </c:pt>
                <c:pt idx="1">
                  <c:v>1.8762201250000001</c:v>
                </c:pt>
                <c:pt idx="2">
                  <c:v>1.7815869000000002</c:v>
                </c:pt>
                <c:pt idx="3">
                  <c:v>1.443699525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RER'!$L$41:$L$44</c:f>
              <c:strCache>
                <c:ptCount val="4"/>
                <c:pt idx="0">
                  <c:v>C.T. PARAMONGA</c:v>
                </c:pt>
                <c:pt idx="1">
                  <c:v>C.T. LA GRINGA</c:v>
                </c:pt>
                <c:pt idx="2">
                  <c:v>C.T. HUAYCOLORO</c:v>
                </c:pt>
                <c:pt idx="3">
                  <c:v>C.T. DOÑA CATALINA</c:v>
                </c:pt>
              </c:strCache>
            </c:strRef>
          </c:cat>
          <c:val>
            <c:numRef>
              <c:f>'6. FP RER'!$P$41:$P$44</c:f>
              <c:numCache>
                <c:formatCode>0.00</c:formatCode>
                <c:ptCount val="4"/>
                <c:pt idx="0">
                  <c:v>0.92075007472565729</c:v>
                </c:pt>
                <c:pt idx="1">
                  <c:v>0.88223627474767985</c:v>
                </c:pt>
                <c:pt idx="2">
                  <c:v>0.58051055718475075</c:v>
                </c:pt>
                <c:pt idx="3">
                  <c:v>0.83547426215277787</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rgbClr val="0077A5"/>
            </a:solidFill>
          </c:spPr>
          <c:invertIfNegative val="0"/>
          <c:cat>
            <c:multiLvlStrRef>
              <c:f>'6. FP RER'!$S$6:$T$44</c:f>
              <c:multiLvlStrCache>
                <c:ptCount val="39"/>
                <c:lvl>
                  <c:pt idx="0">
                    <c:v>C.H. YARUCAYA</c:v>
                  </c:pt>
                  <c:pt idx="1">
                    <c:v>C.H. RENOVANDES H1</c:v>
                  </c:pt>
                  <c:pt idx="2">
                    <c:v>C.H. RONCADOR</c:v>
                  </c:pt>
                  <c:pt idx="3">
                    <c:v>C.H. CARHUAQUERO IV</c:v>
                  </c:pt>
                  <c:pt idx="4">
                    <c:v>C.H. LA JOYA</c:v>
                  </c:pt>
                  <c:pt idx="5">
                    <c:v>C.H. CANCHAYLLO</c:v>
                  </c:pt>
                  <c:pt idx="6">
                    <c:v>C.H. YANAPAMPA</c:v>
                  </c:pt>
                  <c:pt idx="7">
                    <c:v>C.H. RUNATULLO III</c:v>
                  </c:pt>
                  <c:pt idx="8">
                    <c:v>C.H. IMPERIAL</c:v>
                  </c:pt>
                  <c:pt idx="9">
                    <c:v>C.H. POECHOS II</c:v>
                  </c:pt>
                  <c:pt idx="10">
                    <c:v>C.H. HUASAHUASI II</c:v>
                  </c:pt>
                  <c:pt idx="11">
                    <c:v>C.H. HUASAHUASI I</c:v>
                  </c:pt>
                  <c:pt idx="12">
                    <c:v>C.H. LAS PIZARRAS</c:v>
                  </c:pt>
                  <c:pt idx="13">
                    <c:v>C.H. HER 1</c:v>
                  </c:pt>
                  <c:pt idx="14">
                    <c:v>C.H. CAÑA BRAVA</c:v>
                  </c:pt>
                  <c:pt idx="15">
                    <c:v>C.H. RUNATULLO II</c:v>
                  </c:pt>
                  <c:pt idx="16">
                    <c:v>C.H. POTRERO</c:v>
                  </c:pt>
                  <c:pt idx="17">
                    <c:v>C.H. SANTA CRUZ II</c:v>
                  </c:pt>
                  <c:pt idx="18">
                    <c:v>C.H. SANTA CRUZ I</c:v>
                  </c:pt>
                  <c:pt idx="19">
                    <c:v>C.H. ÁNGEL II</c:v>
                  </c:pt>
                  <c:pt idx="20">
                    <c:v>C.H. ÁNGEL III</c:v>
                  </c:pt>
                  <c:pt idx="21">
                    <c:v>C.H. ÁNGEL I</c:v>
                  </c:pt>
                  <c:pt idx="22">
                    <c:v>C.H. PURMACANA</c:v>
                  </c:pt>
                  <c:pt idx="23">
                    <c:v>C.E. TRES HERMANAS</c:v>
                  </c:pt>
                  <c:pt idx="24">
                    <c:v>C.E. MARCONA</c:v>
                  </c:pt>
                  <c:pt idx="25">
                    <c:v>C.E. WAYRA I</c:v>
                  </c:pt>
                  <c:pt idx="26">
                    <c:v>C.E. TALARA</c:v>
                  </c:pt>
                  <c:pt idx="27">
                    <c:v>C.E. CUPISNIQUE</c:v>
                  </c:pt>
                  <c:pt idx="28">
                    <c:v>C.S. MOQUEGUA FV</c:v>
                  </c:pt>
                  <c:pt idx="29">
                    <c:v>C.S. RUBI</c:v>
                  </c:pt>
                  <c:pt idx="30">
                    <c:v>C.S. PANAMERICANA SOLAR</c:v>
                  </c:pt>
                  <c:pt idx="31">
                    <c:v>C.S. TACNA SOLAR</c:v>
                  </c:pt>
                  <c:pt idx="32">
                    <c:v>C.S. MAJES SOLAR</c:v>
                  </c:pt>
                  <c:pt idx="33">
                    <c:v>C.S. INTIPAMPA</c:v>
                  </c:pt>
                  <c:pt idx="34">
                    <c:v>C.S. REPARTICION</c:v>
                  </c:pt>
                  <c:pt idx="35">
                    <c:v>C.T. HUAYCOLORO</c:v>
                  </c:pt>
                  <c:pt idx="36">
                    <c:v>C.T. DOÑA CATALINA</c:v>
                  </c:pt>
                  <c:pt idx="37">
                    <c:v>C.T. PARAMONGA</c:v>
                  </c:pt>
                  <c:pt idx="38">
                    <c:v>C.T. LA GRINGA</c:v>
                  </c:pt>
                </c:lvl>
                <c:lvl>
                  <c:pt idx="0">
                    <c:v>AGUA</c:v>
                  </c:pt>
                  <c:pt idx="23">
                    <c:v>EOLICA</c:v>
                  </c:pt>
                  <c:pt idx="28">
                    <c:v>SOLAR</c:v>
                  </c:pt>
                  <c:pt idx="35">
                    <c:v>BIOMASA</c:v>
                  </c:pt>
                </c:lvl>
              </c:multiLvlStrCache>
            </c:multiLvlStrRef>
          </c:cat>
          <c:val>
            <c:numRef>
              <c:f>'6. FP RER'!$U$6:$U$44</c:f>
              <c:numCache>
                <c:formatCode>0.000</c:formatCode>
                <c:ptCount val="39"/>
                <c:pt idx="0">
                  <c:v>1.0030220009920636</c:v>
                </c:pt>
                <c:pt idx="1">
                  <c:v>0.9274880959401709</c:v>
                </c:pt>
                <c:pt idx="2">
                  <c:v>0.80489530188641167</c:v>
                </c:pt>
                <c:pt idx="3">
                  <c:v>0.8033628646492077</c:v>
                </c:pt>
                <c:pt idx="4">
                  <c:v>0.79297419092904087</c:v>
                </c:pt>
                <c:pt idx="5">
                  <c:v>0.76831971200171956</c:v>
                </c:pt>
                <c:pt idx="6">
                  <c:v>0.73506635754606375</c:v>
                </c:pt>
                <c:pt idx="7">
                  <c:v>0.72224786794525664</c:v>
                </c:pt>
                <c:pt idx="8">
                  <c:v>0.71783875391342589</c:v>
                </c:pt>
                <c:pt idx="9">
                  <c:v>0.64635739583102003</c:v>
                </c:pt>
                <c:pt idx="10">
                  <c:v>0.64192518421625988</c:v>
                </c:pt>
                <c:pt idx="11">
                  <c:v>0.63082701531054963</c:v>
                </c:pt>
                <c:pt idx="12">
                  <c:v>0.62176274481433802</c:v>
                </c:pt>
                <c:pt idx="13">
                  <c:v>0.60700272042410719</c:v>
                </c:pt>
                <c:pt idx="14">
                  <c:v>0.58920329017567774</c:v>
                </c:pt>
                <c:pt idx="15">
                  <c:v>0.56548956185979149</c:v>
                </c:pt>
                <c:pt idx="16">
                  <c:v>0.53640348328562837</c:v>
                </c:pt>
                <c:pt idx="17">
                  <c:v>0.52568299519378792</c:v>
                </c:pt>
                <c:pt idx="18">
                  <c:v>0.5044610853679552</c:v>
                </c:pt>
                <c:pt idx="19">
                  <c:v>0.31301159554940677</c:v>
                </c:pt>
                <c:pt idx="20">
                  <c:v>0.3107486497990038</c:v>
                </c:pt>
                <c:pt idx="21">
                  <c:v>0.24204189918154759</c:v>
                </c:pt>
                <c:pt idx="22">
                  <c:v>0.16512139710250859</c:v>
                </c:pt>
                <c:pt idx="23">
                  <c:v>0.54278751066726483</c:v>
                </c:pt>
                <c:pt idx="24">
                  <c:v>0.52655182699462</c:v>
                </c:pt>
                <c:pt idx="25">
                  <c:v>0.51381918585472586</c:v>
                </c:pt>
                <c:pt idx="26">
                  <c:v>0.43026682119839738</c:v>
                </c:pt>
                <c:pt idx="27">
                  <c:v>0.37654029466474598</c:v>
                </c:pt>
                <c:pt idx="28">
                  <c:v>0.32481071979452841</c:v>
                </c:pt>
                <c:pt idx="29">
                  <c:v>0.30661076948650223</c:v>
                </c:pt>
                <c:pt idx="30">
                  <c:v>0.28205015766178271</c:v>
                </c:pt>
                <c:pt idx="31">
                  <c:v>0.26449013991910869</c:v>
                </c:pt>
                <c:pt idx="32">
                  <c:v>0.24516076055021369</c:v>
                </c:pt>
                <c:pt idx="33">
                  <c:v>0.24386285951745865</c:v>
                </c:pt>
                <c:pt idx="34">
                  <c:v>0.22493853208943834</c:v>
                </c:pt>
                <c:pt idx="35">
                  <c:v>0.8464303342714633</c:v>
                </c:pt>
                <c:pt idx="36">
                  <c:v>0.82567104640151534</c:v>
                </c:pt>
                <c:pt idx="37">
                  <c:v>0.79525250739345632</c:v>
                </c:pt>
                <c:pt idx="38">
                  <c:v>0.42768907219098928</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RER'!$S$6:$T$44</c:f>
              <c:multiLvlStrCache>
                <c:ptCount val="39"/>
                <c:lvl>
                  <c:pt idx="0">
                    <c:v>C.H. YARUCAYA</c:v>
                  </c:pt>
                  <c:pt idx="1">
                    <c:v>C.H. RENOVANDES H1</c:v>
                  </c:pt>
                  <c:pt idx="2">
                    <c:v>C.H. RONCADOR</c:v>
                  </c:pt>
                  <c:pt idx="3">
                    <c:v>C.H. CARHUAQUERO IV</c:v>
                  </c:pt>
                  <c:pt idx="4">
                    <c:v>C.H. LA JOYA</c:v>
                  </c:pt>
                  <c:pt idx="5">
                    <c:v>C.H. CANCHAYLLO</c:v>
                  </c:pt>
                  <c:pt idx="6">
                    <c:v>C.H. YANAPAMPA</c:v>
                  </c:pt>
                  <c:pt idx="7">
                    <c:v>C.H. RUNATULLO III</c:v>
                  </c:pt>
                  <c:pt idx="8">
                    <c:v>C.H. IMPERIAL</c:v>
                  </c:pt>
                  <c:pt idx="9">
                    <c:v>C.H. POECHOS II</c:v>
                  </c:pt>
                  <c:pt idx="10">
                    <c:v>C.H. HUASAHUASI II</c:v>
                  </c:pt>
                  <c:pt idx="11">
                    <c:v>C.H. HUASAHUASI I</c:v>
                  </c:pt>
                  <c:pt idx="12">
                    <c:v>C.H. LAS PIZARRAS</c:v>
                  </c:pt>
                  <c:pt idx="13">
                    <c:v>C.H. HER 1</c:v>
                  </c:pt>
                  <c:pt idx="14">
                    <c:v>C.H. CAÑA BRAVA</c:v>
                  </c:pt>
                  <c:pt idx="15">
                    <c:v>C.H. RUNATULLO II</c:v>
                  </c:pt>
                  <c:pt idx="16">
                    <c:v>C.H. POTRERO</c:v>
                  </c:pt>
                  <c:pt idx="17">
                    <c:v>C.H. SANTA CRUZ II</c:v>
                  </c:pt>
                  <c:pt idx="18">
                    <c:v>C.H. SANTA CRUZ I</c:v>
                  </c:pt>
                  <c:pt idx="19">
                    <c:v>C.H. ÁNGEL II</c:v>
                  </c:pt>
                  <c:pt idx="20">
                    <c:v>C.H. ÁNGEL III</c:v>
                  </c:pt>
                  <c:pt idx="21">
                    <c:v>C.H. ÁNGEL I</c:v>
                  </c:pt>
                  <c:pt idx="22">
                    <c:v>C.H. PURMACANA</c:v>
                  </c:pt>
                  <c:pt idx="23">
                    <c:v>C.E. TRES HERMANAS</c:v>
                  </c:pt>
                  <c:pt idx="24">
                    <c:v>C.E. MARCONA</c:v>
                  </c:pt>
                  <c:pt idx="25">
                    <c:v>C.E. WAYRA I</c:v>
                  </c:pt>
                  <c:pt idx="26">
                    <c:v>C.E. TALARA</c:v>
                  </c:pt>
                  <c:pt idx="27">
                    <c:v>C.E. CUPISNIQUE</c:v>
                  </c:pt>
                  <c:pt idx="28">
                    <c:v>C.S. MOQUEGUA FV</c:v>
                  </c:pt>
                  <c:pt idx="29">
                    <c:v>C.S. RUBI</c:v>
                  </c:pt>
                  <c:pt idx="30">
                    <c:v>C.S. PANAMERICANA SOLAR</c:v>
                  </c:pt>
                  <c:pt idx="31">
                    <c:v>C.S. TACNA SOLAR</c:v>
                  </c:pt>
                  <c:pt idx="32">
                    <c:v>C.S. MAJES SOLAR</c:v>
                  </c:pt>
                  <c:pt idx="33">
                    <c:v>C.S. INTIPAMPA</c:v>
                  </c:pt>
                  <c:pt idx="34">
                    <c:v>C.S. REPARTICION</c:v>
                  </c:pt>
                  <c:pt idx="35">
                    <c:v>C.T. HUAYCOLORO</c:v>
                  </c:pt>
                  <c:pt idx="36">
                    <c:v>C.T. DOÑA CATALINA</c:v>
                  </c:pt>
                  <c:pt idx="37">
                    <c:v>C.T. PARAMONGA</c:v>
                  </c:pt>
                  <c:pt idx="38">
                    <c:v>C.T. LA GRINGA</c:v>
                  </c:pt>
                </c:lvl>
                <c:lvl>
                  <c:pt idx="0">
                    <c:v>AGUA</c:v>
                  </c:pt>
                  <c:pt idx="23">
                    <c:v>EOLICA</c:v>
                  </c:pt>
                  <c:pt idx="28">
                    <c:v>SOLAR</c:v>
                  </c:pt>
                  <c:pt idx="35">
                    <c:v>BIOMASA</c:v>
                  </c:pt>
                </c:lvl>
              </c:multiLvlStrCache>
            </c:multiLvlStrRef>
          </c:cat>
          <c:val>
            <c:numRef>
              <c:f>'6. FP RER'!$V$6:$V$44</c:f>
              <c:numCache>
                <c:formatCode>0.000</c:formatCode>
                <c:ptCount val="39"/>
                <c:pt idx="0">
                  <c:v>0.78100000000000003</c:v>
                </c:pt>
                <c:pt idx="2">
                  <c:v>0.82799999999999996</c:v>
                </c:pt>
                <c:pt idx="3">
                  <c:v>0.93700000000000006</c:v>
                </c:pt>
                <c:pt idx="4">
                  <c:v>0.74</c:v>
                </c:pt>
                <c:pt idx="5">
                  <c:v>0.57399999999999995</c:v>
                </c:pt>
                <c:pt idx="6">
                  <c:v>0.65</c:v>
                </c:pt>
                <c:pt idx="7">
                  <c:v>0.71099999999999997</c:v>
                </c:pt>
                <c:pt idx="8">
                  <c:v>0.71899999999999997</c:v>
                </c:pt>
                <c:pt idx="9">
                  <c:v>0.51900000000000002</c:v>
                </c:pt>
                <c:pt idx="10">
                  <c:v>0.55000000000000004</c:v>
                </c:pt>
                <c:pt idx="11">
                  <c:v>0.54400000000000004</c:v>
                </c:pt>
                <c:pt idx="12">
                  <c:v>0.69299999999999995</c:v>
                </c:pt>
                <c:pt idx="14">
                  <c:v>0.72599999999999998</c:v>
                </c:pt>
                <c:pt idx="15">
                  <c:v>0.58199999999999996</c:v>
                </c:pt>
                <c:pt idx="16">
                  <c:v>0.34699999999999998</c:v>
                </c:pt>
                <c:pt idx="17">
                  <c:v>0.57199999999999995</c:v>
                </c:pt>
                <c:pt idx="18">
                  <c:v>0.57099999999999995</c:v>
                </c:pt>
                <c:pt idx="22">
                  <c:v>0.128</c:v>
                </c:pt>
                <c:pt idx="23">
                  <c:v>0.57699999999999996</c:v>
                </c:pt>
                <c:pt idx="24">
                  <c:v>0.59299999999999997</c:v>
                </c:pt>
                <c:pt idx="26">
                  <c:v>0.42</c:v>
                </c:pt>
                <c:pt idx="27">
                  <c:v>0.34599999999999997</c:v>
                </c:pt>
                <c:pt idx="28">
                  <c:v>0.31</c:v>
                </c:pt>
                <c:pt idx="30">
                  <c:v>0.26600000000000001</c:v>
                </c:pt>
                <c:pt idx="31">
                  <c:v>0.245</c:v>
                </c:pt>
                <c:pt idx="32">
                  <c:v>0.24399999999999999</c:v>
                </c:pt>
                <c:pt idx="34">
                  <c:v>0.223</c:v>
                </c:pt>
                <c:pt idx="35">
                  <c:v>0.76300000000000001</c:v>
                </c:pt>
                <c:pt idx="37">
                  <c:v>0.748</c:v>
                </c:pt>
                <c:pt idx="38">
                  <c:v>0.434</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rgbClr val="0077A5"/>
            </a:solidFill>
          </c:spPr>
          <c:invertIfNegative val="0"/>
          <c:cat>
            <c:strRef>
              <c:f>'7. Generacion empresa'!$L$5:$L$59</c:f>
              <c:strCache>
                <c:ptCount val="55"/>
                <c:pt idx="0">
                  <c:v>RIO BAÑOS</c:v>
                </c:pt>
                <c:pt idx="1">
                  <c:v>ECELIM (**)</c:v>
                </c:pt>
                <c:pt idx="2">
                  <c:v>CERRO DEL AGUILA</c:v>
                </c:pt>
                <c:pt idx="3">
                  <c:v>AGROAURORA</c:v>
                </c:pt>
                <c:pt idx="4">
                  <c:v>SHOUGESA</c:v>
                </c:pt>
                <c:pt idx="5">
                  <c:v>CERRO VERDE</c:v>
                </c:pt>
                <c:pt idx="6">
                  <c:v>HYDRO PATAPO</c:v>
                </c:pt>
                <c:pt idx="7">
                  <c:v>PLANTA  ETEN</c:v>
                </c:pt>
                <c:pt idx="8">
                  <c:v>ELECTRICA SANTA ROSA</c:v>
                </c:pt>
                <c:pt idx="9">
                  <c:v>IYEPSA</c:v>
                </c:pt>
                <c:pt idx="10">
                  <c:v>SAMAY I</c:v>
                </c:pt>
                <c:pt idx="11">
                  <c:v>MAJA ENERGIA</c:v>
                </c:pt>
                <c:pt idx="12">
                  <c:v>ELECTRICA YANAPAMPA</c:v>
                </c:pt>
                <c:pt idx="13">
                  <c:v>AGUA AZUL</c:v>
                </c:pt>
                <c:pt idx="14">
                  <c:v>RIO DOBLE</c:v>
                </c:pt>
                <c:pt idx="15">
                  <c:v>HIDROCAÑETE</c:v>
                </c:pt>
                <c:pt idx="16">
                  <c:v>EGECSAC</c:v>
                </c:pt>
                <c:pt idx="17">
                  <c:v>SINERSA</c:v>
                </c:pt>
                <c:pt idx="18">
                  <c:v>GTS REPARTICION</c:v>
                </c:pt>
                <c:pt idx="19">
                  <c:v>GTS MAJES</c:v>
                </c:pt>
                <c:pt idx="20">
                  <c:v>TACNA SOLAR</c:v>
                </c:pt>
                <c:pt idx="21">
                  <c:v>MOQUEGUA FV</c:v>
                </c:pt>
                <c:pt idx="22">
                  <c:v>PANAMERICANA SOLAR</c:v>
                </c:pt>
                <c:pt idx="23">
                  <c:v>SANTA CRUZ</c:v>
                </c:pt>
                <c:pt idx="24">
                  <c:v>PETRAMAS (**)</c:v>
                </c:pt>
                <c:pt idx="25">
                  <c:v>AIPSA</c:v>
                </c:pt>
                <c:pt idx="26">
                  <c:v>EMGE JUNÍN</c:v>
                </c:pt>
                <c:pt idx="27">
                  <c:v>CELEPSA RENOVABLES (****)</c:v>
                </c:pt>
                <c:pt idx="28">
                  <c:v>HUAURA POWER</c:v>
                </c:pt>
                <c:pt idx="29">
                  <c:v>HIDROELECTRICA HUANCHOR</c:v>
                </c:pt>
                <c:pt idx="30">
                  <c:v>SANTA ANA</c:v>
                </c:pt>
                <c:pt idx="31">
                  <c:v>P.E. MARCONA</c:v>
                </c:pt>
                <c:pt idx="32">
                  <c:v>GEPSA</c:v>
                </c:pt>
                <c:pt idx="33">
                  <c:v>SDF ENERGIA</c:v>
                </c:pt>
                <c:pt idx="34">
                  <c:v>EGESUR</c:v>
                </c:pt>
                <c:pt idx="35">
                  <c:v>LUZ DEL SUR / INLAND (***)</c:v>
                </c:pt>
                <c:pt idx="36">
                  <c:v>ENERGÍA EÓLICA</c:v>
                </c:pt>
                <c:pt idx="37">
                  <c:v>P.E. TRES HERMANAS</c:v>
                </c:pt>
                <c:pt idx="38">
                  <c:v>EMGE HUANZA</c:v>
                </c:pt>
                <c:pt idx="39">
                  <c:v>SAN GABAN</c:v>
                </c:pt>
                <c:pt idx="40">
                  <c:v>EMGE HUALLAGA</c:v>
                </c:pt>
                <c:pt idx="41">
                  <c:v>CELEPSA</c:v>
                </c:pt>
                <c:pt idx="42">
                  <c:v>CHINANGO</c:v>
                </c:pt>
                <c:pt idx="43">
                  <c:v>ENEL GENERACION PIURA</c:v>
                </c:pt>
                <c:pt idx="44">
                  <c:v>ORAZUL ENERGY PERÚ</c:v>
                </c:pt>
                <c:pt idx="45">
                  <c:v>EGEMSA</c:v>
                </c:pt>
                <c:pt idx="46">
                  <c:v>EGASA</c:v>
                </c:pt>
                <c:pt idx="47">
                  <c:v>ENEL GREEN POWER PERU</c:v>
                </c:pt>
                <c:pt idx="48">
                  <c:v>TERMOSELVA</c:v>
                </c:pt>
                <c:pt idx="49">
                  <c:v>STATKRAFT</c:v>
                </c:pt>
                <c:pt idx="50">
                  <c:v>TERMOCHILCA</c:v>
                </c:pt>
                <c:pt idx="51">
                  <c:v>FENIX POWER</c:v>
                </c:pt>
                <c:pt idx="52">
                  <c:v>ELECTROPERU</c:v>
                </c:pt>
                <c:pt idx="53">
                  <c:v>ENEL GENERACION PERU</c:v>
                </c:pt>
                <c:pt idx="54">
                  <c:v>KALLPA (*)</c:v>
                </c:pt>
              </c:strCache>
            </c:strRef>
          </c:cat>
          <c:val>
            <c:numRef>
              <c:f>'7. Generacion empresa'!$M$5:$M$59</c:f>
              <c:numCache>
                <c:formatCode>General</c:formatCode>
                <c:ptCount val="55"/>
                <c:pt idx="3">
                  <c:v>0</c:v>
                </c:pt>
                <c:pt idx="4">
                  <c:v>0</c:v>
                </c:pt>
                <c:pt idx="5">
                  <c:v>2E-8</c:v>
                </c:pt>
                <c:pt idx="6">
                  <c:v>1.302E-3</c:v>
                </c:pt>
                <c:pt idx="7">
                  <c:v>2.2426149999999999E-3</c:v>
                </c:pt>
                <c:pt idx="8">
                  <c:v>0.10566344750000001</c:v>
                </c:pt>
                <c:pt idx="9">
                  <c:v>0.12731671249999998</c:v>
                </c:pt>
                <c:pt idx="10">
                  <c:v>0.40214331249999996</c:v>
                </c:pt>
                <c:pt idx="11">
                  <c:v>1.0513025</c:v>
                </c:pt>
                <c:pt idx="12">
                  <c:v>1.288954275</c:v>
                </c:pt>
                <c:pt idx="13">
                  <c:v>1.3720825024999999</c:v>
                </c:pt>
                <c:pt idx="14">
                  <c:v>1.7073725375</c:v>
                </c:pt>
                <c:pt idx="15">
                  <c:v>2.2961</c:v>
                </c:pt>
                <c:pt idx="16">
                  <c:v>2.7998043450000001</c:v>
                </c:pt>
                <c:pt idx="17">
                  <c:v>3.4331638524999999</c:v>
                </c:pt>
                <c:pt idx="18">
                  <c:v>3.9743101224999999</c:v>
                </c:pt>
                <c:pt idx="19">
                  <c:v>4.0318943825</c:v>
                </c:pt>
                <c:pt idx="20">
                  <c:v>4.4811652224999996</c:v>
                </c:pt>
                <c:pt idx="21">
                  <c:v>4.5598398200000005</c:v>
                </c:pt>
                <c:pt idx="22">
                  <c:v>4.9280429450000005</c:v>
                </c:pt>
                <c:pt idx="23">
                  <c:v>5.0073518450000005</c:v>
                </c:pt>
                <c:pt idx="24">
                  <c:v>5.1015065500000008</c:v>
                </c:pt>
                <c:pt idx="25">
                  <c:v>8.4465523725000011</c:v>
                </c:pt>
                <c:pt idx="26">
                  <c:v>8.7529935250000008</c:v>
                </c:pt>
                <c:pt idx="27">
                  <c:v>9.0402914800000005</c:v>
                </c:pt>
                <c:pt idx="28">
                  <c:v>11.132157489999999</c:v>
                </c:pt>
                <c:pt idx="29">
                  <c:v>12.488337000000001</c:v>
                </c:pt>
                <c:pt idx="30">
                  <c:v>12.828282440000001</c:v>
                </c:pt>
                <c:pt idx="31">
                  <c:v>13.180229862500001</c:v>
                </c:pt>
                <c:pt idx="32">
                  <c:v>17.061748242499998</c:v>
                </c:pt>
                <c:pt idx="33">
                  <c:v>20.172410259999999</c:v>
                </c:pt>
                <c:pt idx="34">
                  <c:v>23.673690965000002</c:v>
                </c:pt>
                <c:pt idx="35">
                  <c:v>37.008764194999998</c:v>
                </c:pt>
                <c:pt idx="36">
                  <c:v>38.924994017499998</c:v>
                </c:pt>
                <c:pt idx="37">
                  <c:v>39.327510820000001</c:v>
                </c:pt>
                <c:pt idx="38">
                  <c:v>40.684881500000003</c:v>
                </c:pt>
                <c:pt idx="39">
                  <c:v>47.85234011</c:v>
                </c:pt>
                <c:pt idx="40">
                  <c:v>50.138634234999998</c:v>
                </c:pt>
                <c:pt idx="41">
                  <c:v>50.394623122499993</c:v>
                </c:pt>
                <c:pt idx="42">
                  <c:v>52.429864202499999</c:v>
                </c:pt>
                <c:pt idx="43">
                  <c:v>64.839849642499999</c:v>
                </c:pt>
                <c:pt idx="44">
                  <c:v>65.488063177499996</c:v>
                </c:pt>
                <c:pt idx="45">
                  <c:v>69.465119695000013</c:v>
                </c:pt>
                <c:pt idx="46">
                  <c:v>70.811768407499997</c:v>
                </c:pt>
                <c:pt idx="47">
                  <c:v>89.929428784999999</c:v>
                </c:pt>
                <c:pt idx="48">
                  <c:v>93.527719640000001</c:v>
                </c:pt>
                <c:pt idx="49">
                  <c:v>125.84359294000001</c:v>
                </c:pt>
                <c:pt idx="50">
                  <c:v>210.44338141999998</c:v>
                </c:pt>
                <c:pt idx="51">
                  <c:v>397.68801867999997</c:v>
                </c:pt>
                <c:pt idx="52">
                  <c:v>533.19888551999998</c:v>
                </c:pt>
                <c:pt idx="53">
                  <c:v>556.10075069250001</c:v>
                </c:pt>
                <c:pt idx="54">
                  <c:v>652.72241572500002</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empresa'!$L$5:$L$59</c:f>
              <c:strCache>
                <c:ptCount val="55"/>
                <c:pt idx="0">
                  <c:v>RIO BAÑOS</c:v>
                </c:pt>
                <c:pt idx="1">
                  <c:v>ECELIM (**)</c:v>
                </c:pt>
                <c:pt idx="2">
                  <c:v>CERRO DEL AGUILA</c:v>
                </c:pt>
                <c:pt idx="3">
                  <c:v>AGROAURORA</c:v>
                </c:pt>
                <c:pt idx="4">
                  <c:v>SHOUGESA</c:v>
                </c:pt>
                <c:pt idx="5">
                  <c:v>CERRO VERDE</c:v>
                </c:pt>
                <c:pt idx="6">
                  <c:v>HYDRO PATAPO</c:v>
                </c:pt>
                <c:pt idx="7">
                  <c:v>PLANTA  ETEN</c:v>
                </c:pt>
                <c:pt idx="8">
                  <c:v>ELECTRICA SANTA ROSA</c:v>
                </c:pt>
                <c:pt idx="9">
                  <c:v>IYEPSA</c:v>
                </c:pt>
                <c:pt idx="10">
                  <c:v>SAMAY I</c:v>
                </c:pt>
                <c:pt idx="11">
                  <c:v>MAJA ENERGIA</c:v>
                </c:pt>
                <c:pt idx="12">
                  <c:v>ELECTRICA YANAPAMPA</c:v>
                </c:pt>
                <c:pt idx="13">
                  <c:v>AGUA AZUL</c:v>
                </c:pt>
                <c:pt idx="14">
                  <c:v>RIO DOBLE</c:v>
                </c:pt>
                <c:pt idx="15">
                  <c:v>HIDROCAÑETE</c:v>
                </c:pt>
                <c:pt idx="16">
                  <c:v>EGECSAC</c:v>
                </c:pt>
                <c:pt idx="17">
                  <c:v>SINERSA</c:v>
                </c:pt>
                <c:pt idx="18">
                  <c:v>GTS REPARTICION</c:v>
                </c:pt>
                <c:pt idx="19">
                  <c:v>GTS MAJES</c:v>
                </c:pt>
                <c:pt idx="20">
                  <c:v>TACNA SOLAR</c:v>
                </c:pt>
                <c:pt idx="21">
                  <c:v>MOQUEGUA FV</c:v>
                </c:pt>
                <c:pt idx="22">
                  <c:v>PANAMERICANA SOLAR</c:v>
                </c:pt>
                <c:pt idx="23">
                  <c:v>SANTA CRUZ</c:v>
                </c:pt>
                <c:pt idx="24">
                  <c:v>PETRAMAS (**)</c:v>
                </c:pt>
                <c:pt idx="25">
                  <c:v>AIPSA</c:v>
                </c:pt>
                <c:pt idx="26">
                  <c:v>EMGE JUNÍN</c:v>
                </c:pt>
                <c:pt idx="27">
                  <c:v>CELEPSA RENOVABLES (****)</c:v>
                </c:pt>
                <c:pt idx="28">
                  <c:v>HUAURA POWER</c:v>
                </c:pt>
                <c:pt idx="29">
                  <c:v>HIDROELECTRICA HUANCHOR</c:v>
                </c:pt>
                <c:pt idx="30">
                  <c:v>SANTA ANA</c:v>
                </c:pt>
                <c:pt idx="31">
                  <c:v>P.E. MARCONA</c:v>
                </c:pt>
                <c:pt idx="32">
                  <c:v>GEPSA</c:v>
                </c:pt>
                <c:pt idx="33">
                  <c:v>SDF ENERGIA</c:v>
                </c:pt>
                <c:pt idx="34">
                  <c:v>EGESUR</c:v>
                </c:pt>
                <c:pt idx="35">
                  <c:v>LUZ DEL SUR / INLAND (***)</c:v>
                </c:pt>
                <c:pt idx="36">
                  <c:v>ENERGÍA EÓLICA</c:v>
                </c:pt>
                <c:pt idx="37">
                  <c:v>P.E. TRES HERMANAS</c:v>
                </c:pt>
                <c:pt idx="38">
                  <c:v>EMGE HUANZA</c:v>
                </c:pt>
                <c:pt idx="39">
                  <c:v>SAN GABAN</c:v>
                </c:pt>
                <c:pt idx="40">
                  <c:v>EMGE HUALLAGA</c:v>
                </c:pt>
                <c:pt idx="41">
                  <c:v>CELEPSA</c:v>
                </c:pt>
                <c:pt idx="42">
                  <c:v>CHINANGO</c:v>
                </c:pt>
                <c:pt idx="43">
                  <c:v>ENEL GENERACION PIURA</c:v>
                </c:pt>
                <c:pt idx="44">
                  <c:v>ORAZUL ENERGY PERÚ</c:v>
                </c:pt>
                <c:pt idx="45">
                  <c:v>EGEMSA</c:v>
                </c:pt>
                <c:pt idx="46">
                  <c:v>EGASA</c:v>
                </c:pt>
                <c:pt idx="47">
                  <c:v>ENEL GREEN POWER PERU</c:v>
                </c:pt>
                <c:pt idx="48">
                  <c:v>TERMOSELVA</c:v>
                </c:pt>
                <c:pt idx="49">
                  <c:v>STATKRAFT</c:v>
                </c:pt>
                <c:pt idx="50">
                  <c:v>TERMOCHILCA</c:v>
                </c:pt>
                <c:pt idx="51">
                  <c:v>FENIX POWER</c:v>
                </c:pt>
                <c:pt idx="52">
                  <c:v>ELECTROPERU</c:v>
                </c:pt>
                <c:pt idx="53">
                  <c:v>ENEL GENERACION PERU</c:v>
                </c:pt>
                <c:pt idx="54">
                  <c:v>KALLPA (*)</c:v>
                </c:pt>
              </c:strCache>
            </c:strRef>
          </c:cat>
          <c:val>
            <c:numRef>
              <c:f>'7. Generacion empresa'!$N$5:$N$59</c:f>
              <c:numCache>
                <c:formatCode>General</c:formatCode>
                <c:ptCount val="55"/>
                <c:pt idx="0">
                  <c:v>0</c:v>
                </c:pt>
                <c:pt idx="1">
                  <c:v>1.539862675</c:v>
                </c:pt>
                <c:pt idx="2">
                  <c:v>179.76445146999998</c:v>
                </c:pt>
                <c:pt idx="3">
                  <c:v>0</c:v>
                </c:pt>
                <c:pt idx="4">
                  <c:v>10.9024739975</c:v>
                </c:pt>
                <c:pt idx="5">
                  <c:v>0.44963797499999997</c:v>
                </c:pt>
                <c:pt idx="7">
                  <c:v>3.0065915000000002E-2</c:v>
                </c:pt>
                <c:pt idx="8">
                  <c:v>0.20728031750000001</c:v>
                </c:pt>
                <c:pt idx="9">
                  <c:v>0.84292083249999994</c:v>
                </c:pt>
                <c:pt idx="10">
                  <c:v>126.8524035825</c:v>
                </c:pt>
                <c:pt idx="11">
                  <c:v>1.4360482499999998</c:v>
                </c:pt>
                <c:pt idx="12">
                  <c:v>1.1956567224999999</c:v>
                </c:pt>
                <c:pt idx="13">
                  <c:v>1.6794516149999998</c:v>
                </c:pt>
                <c:pt idx="14">
                  <c:v>2.8754565049999998</c:v>
                </c:pt>
                <c:pt idx="15">
                  <c:v>2.2254999999999998</c:v>
                </c:pt>
                <c:pt idx="16">
                  <c:v>3.2322862499999996</c:v>
                </c:pt>
                <c:pt idx="17">
                  <c:v>3.9125136824999998</c:v>
                </c:pt>
                <c:pt idx="18">
                  <c:v>3.4976170600000001</c:v>
                </c:pt>
                <c:pt idx="19">
                  <c:v>3.8434443200000001</c:v>
                </c:pt>
                <c:pt idx="20">
                  <c:v>3.3480214350000002</c:v>
                </c:pt>
                <c:pt idx="21">
                  <c:v>3.9837779074999999</c:v>
                </c:pt>
                <c:pt idx="22">
                  <c:v>4.2570842500000001</c:v>
                </c:pt>
                <c:pt idx="23">
                  <c:v>6.2081082875</c:v>
                </c:pt>
                <c:pt idx="24">
                  <c:v>2.0969835250000002</c:v>
                </c:pt>
                <c:pt idx="25">
                  <c:v>5.96716801</c:v>
                </c:pt>
                <c:pt idx="26">
                  <c:v>7.5729428399999996</c:v>
                </c:pt>
                <c:pt idx="27">
                  <c:v>10.190191055</c:v>
                </c:pt>
                <c:pt idx="28">
                  <c:v>7.71581618</c:v>
                </c:pt>
                <c:pt idx="29">
                  <c:v>12.538457000000001</c:v>
                </c:pt>
                <c:pt idx="31">
                  <c:v>17.365040282499997</c:v>
                </c:pt>
                <c:pt idx="32">
                  <c:v>4.7002241974999999</c:v>
                </c:pt>
                <c:pt idx="33">
                  <c:v>15.7906386675</c:v>
                </c:pt>
                <c:pt idx="34">
                  <c:v>21.05359322</c:v>
                </c:pt>
                <c:pt idx="35">
                  <c:v>37.642318162500004</c:v>
                </c:pt>
                <c:pt idx="36">
                  <c:v>42.949859150000002</c:v>
                </c:pt>
                <c:pt idx="37">
                  <c:v>52.047798812499998</c:v>
                </c:pt>
                <c:pt idx="38">
                  <c:v>47.158638144999998</c:v>
                </c:pt>
                <c:pt idx="39">
                  <c:v>38.237539975000004</c:v>
                </c:pt>
                <c:pt idx="40">
                  <c:v>64.234235374999997</c:v>
                </c:pt>
                <c:pt idx="41">
                  <c:v>54.254294110000004</c:v>
                </c:pt>
                <c:pt idx="42">
                  <c:v>58.0858974</c:v>
                </c:pt>
                <c:pt idx="43">
                  <c:v>65.022231925</c:v>
                </c:pt>
                <c:pt idx="44">
                  <c:v>100.00767748749999</c:v>
                </c:pt>
                <c:pt idx="45">
                  <c:v>75.592430555000007</c:v>
                </c:pt>
                <c:pt idx="46">
                  <c:v>120.38524270750001</c:v>
                </c:pt>
                <c:pt idx="48">
                  <c:v>40.668778625000002</c:v>
                </c:pt>
                <c:pt idx="49">
                  <c:v>137.80627296499998</c:v>
                </c:pt>
                <c:pt idx="50">
                  <c:v>67.517150242500009</c:v>
                </c:pt>
                <c:pt idx="51">
                  <c:v>367.54370767499995</c:v>
                </c:pt>
                <c:pt idx="52">
                  <c:v>593.55368475000012</c:v>
                </c:pt>
                <c:pt idx="53">
                  <c:v>456.55576276250002</c:v>
                </c:pt>
                <c:pt idx="54">
                  <c:v>407.39152436500001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4457.8647499999988</c:v>
                </c:pt>
                <c:pt idx="1">
                  <c:v>4181.7234999999982</c:v>
                </c:pt>
                <c:pt idx="2">
                  <c:v>3527.2958100000001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1943.7948299999998</c:v>
                </c:pt>
                <c:pt idx="1">
                  <c:v>2286.1302900000001</c:v>
                </c:pt>
                <c:pt idx="2">
                  <c:v>2770.9643299999998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309.01528000000002</c:v>
                </c:pt>
                <c:pt idx="1">
                  <c:v>91.209550000000007</c:v>
                </c:pt>
                <c:pt idx="2">
                  <c:v>146.64738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ax val="700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2018</c:v>
                </c:pt>
              </c:strCache>
            </c:strRef>
          </c:tx>
          <c:spPr>
            <a:solidFill>
              <a:srgbClr val="0077A5"/>
            </a:solidFill>
          </c:spPr>
          <c:invertIfNegative val="0"/>
          <c:cat>
            <c:strRef>
              <c:f>'9. Pot. Empresa'!$L$7:$L$62</c:f>
              <c:strCache>
                <c:ptCount val="56"/>
                <c:pt idx="0">
                  <c:v>RIO BAÑOS</c:v>
                </c:pt>
                <c:pt idx="1">
                  <c:v>ECELIM  (**)</c:v>
                </c:pt>
                <c:pt idx="2">
                  <c:v>CERRO DEL AGUILA (*)</c:v>
                </c:pt>
                <c:pt idx="3">
                  <c:v>AGROAURORA</c:v>
                </c:pt>
                <c:pt idx="4">
                  <c:v>AGUA AZUL</c:v>
                </c:pt>
                <c:pt idx="5">
                  <c:v>CERRO VERDE</c:v>
                </c:pt>
                <c:pt idx="6">
                  <c:v>ELECTRICA SANTA ROSA</c:v>
                </c:pt>
                <c:pt idx="7">
                  <c:v>ELECTRICA YANAPAMPA</c:v>
                </c:pt>
                <c:pt idx="8">
                  <c:v>GTS MAJES</c:v>
                </c:pt>
                <c:pt idx="9">
                  <c:v>GTS REPARTICION</c:v>
                </c:pt>
                <c:pt idx="10">
                  <c:v>IYEPSA</c:v>
                </c:pt>
                <c:pt idx="11">
                  <c:v>MOQUEGUA FV</c:v>
                </c:pt>
                <c:pt idx="12">
                  <c:v>PANAMERICANA SOLAR</c:v>
                </c:pt>
                <c:pt idx="13">
                  <c:v>PLANTA  ETEN</c:v>
                </c:pt>
                <c:pt idx="14">
                  <c:v>RIO DOBLE</c:v>
                </c:pt>
                <c:pt idx="15">
                  <c:v>SAMAY I</c:v>
                </c:pt>
                <c:pt idx="16">
                  <c:v>SHOUGESA</c:v>
                </c:pt>
                <c:pt idx="17">
                  <c:v>TACNA SOLAR</c:v>
                </c:pt>
                <c:pt idx="18">
                  <c:v>HYDRO PATAPO</c:v>
                </c:pt>
                <c:pt idx="19">
                  <c:v>MAJA ENERGIA</c:v>
                </c:pt>
                <c:pt idx="20">
                  <c:v>EGECSAC</c:v>
                </c:pt>
                <c:pt idx="21">
                  <c:v>HIDROCAÑETE</c:v>
                </c:pt>
                <c:pt idx="22">
                  <c:v>SINERSA</c:v>
                </c:pt>
                <c:pt idx="23">
                  <c:v>P.E. MARCONA</c:v>
                </c:pt>
                <c:pt idx="24">
                  <c:v>SANTA CRUZ</c:v>
                </c:pt>
                <c:pt idx="25">
                  <c:v>PETRAMAS (**)</c:v>
                </c:pt>
                <c:pt idx="26">
                  <c:v>AIPSA</c:v>
                </c:pt>
                <c:pt idx="27">
                  <c:v>HUAURA POWER</c:v>
                </c:pt>
                <c:pt idx="28">
                  <c:v>HIDROELECTRICA HUANCHOR</c:v>
                </c:pt>
                <c:pt idx="29">
                  <c:v>EMGE JUNÍN</c:v>
                </c:pt>
                <c:pt idx="30">
                  <c:v>CELEPSA RENOVABLES (****)</c:v>
                </c:pt>
                <c:pt idx="31">
                  <c:v>SANTA ANA</c:v>
                </c:pt>
                <c:pt idx="32">
                  <c:v>GEPSA</c:v>
                </c:pt>
                <c:pt idx="33">
                  <c:v>P.E. TRES HERMANAS</c:v>
                </c:pt>
                <c:pt idx="34">
                  <c:v>SDF ENERGIA</c:v>
                </c:pt>
                <c:pt idx="35">
                  <c:v>ENEL GREEN POWER PERU</c:v>
                </c:pt>
                <c:pt idx="36">
                  <c:v>EGESUR</c:v>
                </c:pt>
                <c:pt idx="37">
                  <c:v>LUZ DEL SUR / INLAND (***)</c:v>
                </c:pt>
                <c:pt idx="38">
                  <c:v>ENERGÍA EÓLICA</c:v>
                </c:pt>
                <c:pt idx="39">
                  <c:v>SAN GABAN</c:v>
                </c:pt>
                <c:pt idx="40">
                  <c:v>ENEL GENERACION PIURA</c:v>
                </c:pt>
                <c:pt idx="41">
                  <c:v>EMGE HUANZA</c:v>
                </c:pt>
                <c:pt idx="42">
                  <c:v>ORAZUL ENERGY PERÚ</c:v>
                </c:pt>
                <c:pt idx="43">
                  <c:v>EGEMSA</c:v>
                </c:pt>
                <c:pt idx="44">
                  <c:v>EGASA</c:v>
                </c:pt>
                <c:pt idx="45">
                  <c:v>EMGE HUALLAGA</c:v>
                </c:pt>
                <c:pt idx="46">
                  <c:v>TERMOSELVA</c:v>
                </c:pt>
                <c:pt idx="47">
                  <c:v>CHINANGO</c:v>
                </c:pt>
                <c:pt idx="48">
                  <c:v>CELEPSA</c:v>
                </c:pt>
                <c:pt idx="49">
                  <c:v>STATKRAFT</c:v>
                </c:pt>
                <c:pt idx="50">
                  <c:v>TERMOCHILCA</c:v>
                </c:pt>
                <c:pt idx="51">
                  <c:v>FENIX POWER</c:v>
                </c:pt>
                <c:pt idx="52">
                  <c:v>ELECTROPERU</c:v>
                </c:pt>
                <c:pt idx="53">
                  <c:v>ENEL GENERACION PERU</c:v>
                </c:pt>
                <c:pt idx="54">
                  <c:v>ENGIE</c:v>
                </c:pt>
                <c:pt idx="55">
                  <c:v>KALLPA (*)</c:v>
                </c:pt>
              </c:strCache>
            </c:strRef>
          </c:cat>
          <c:val>
            <c:numRef>
              <c:f>'9. Pot. Empresa'!$M$7:$M$62</c:f>
              <c:numCache>
                <c:formatCode>General</c:formatCode>
                <c:ptCount val="56"/>
                <c:pt idx="3" formatCode="0.00">
                  <c:v>0</c:v>
                </c:pt>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c:v>
                </c:pt>
                <c:pt idx="15">
                  <c:v>0</c:v>
                </c:pt>
                <c:pt idx="16" formatCode="0.00">
                  <c:v>0</c:v>
                </c:pt>
                <c:pt idx="17" formatCode="0.00">
                  <c:v>0</c:v>
                </c:pt>
                <c:pt idx="18" formatCode="0.00">
                  <c:v>0</c:v>
                </c:pt>
                <c:pt idx="19" formatCode="0.00">
                  <c:v>1.3140000000000001</c:v>
                </c:pt>
                <c:pt idx="20" formatCode="0.00">
                  <c:v>1.70146</c:v>
                </c:pt>
                <c:pt idx="21" formatCode="0.00">
                  <c:v>3.2</c:v>
                </c:pt>
                <c:pt idx="22" formatCode="0.00">
                  <c:v>3.8841299999999999</c:v>
                </c:pt>
                <c:pt idx="23" formatCode="0.00">
                  <c:v>7.48719</c:v>
                </c:pt>
                <c:pt idx="24" formatCode="0.00">
                  <c:v>7.5141200000000001</c:v>
                </c:pt>
                <c:pt idx="25" formatCode="0.00">
                  <c:v>8.0169999999999995</c:v>
                </c:pt>
                <c:pt idx="26" formatCode="0.00">
                  <c:v>13.7403</c:v>
                </c:pt>
                <c:pt idx="27" formatCode="0.00">
                  <c:v>16.865650000000002</c:v>
                </c:pt>
                <c:pt idx="28" formatCode="0.00">
                  <c:v>17.507999999999999</c:v>
                </c:pt>
                <c:pt idx="29" formatCode="0.00">
                  <c:v>17.615069999999999</c:v>
                </c:pt>
                <c:pt idx="30" formatCode="0.00">
                  <c:v>18.52233</c:v>
                </c:pt>
                <c:pt idx="31" formatCode="0.00">
                  <c:v>19.992550000000001</c:v>
                </c:pt>
                <c:pt idx="32" formatCode="0.00">
                  <c:v>20.758320000000001</c:v>
                </c:pt>
                <c:pt idx="33" formatCode="0.00">
                  <c:v>27.201519999999999</c:v>
                </c:pt>
                <c:pt idx="34" formatCode="0.00">
                  <c:v>28.01699</c:v>
                </c:pt>
                <c:pt idx="35" formatCode="0.00">
                  <c:v>36.500799999999998</c:v>
                </c:pt>
                <c:pt idx="36" formatCode="0.00">
                  <c:v>41.58867</c:v>
                </c:pt>
                <c:pt idx="37" formatCode="0.00">
                  <c:v>56.733849999999997</c:v>
                </c:pt>
                <c:pt idx="38" formatCode="0.00">
                  <c:v>60.201239999999999</c:v>
                </c:pt>
                <c:pt idx="39" formatCode="0.00">
                  <c:v>90.594169999999991</c:v>
                </c:pt>
                <c:pt idx="40" formatCode="0.00">
                  <c:v>91.824759999999998</c:v>
                </c:pt>
                <c:pt idx="41" formatCode="0.00">
                  <c:v>94.41113</c:v>
                </c:pt>
                <c:pt idx="42" formatCode="0.00">
                  <c:v>106.45755</c:v>
                </c:pt>
                <c:pt idx="43" formatCode="0.00">
                  <c:v>112.90755</c:v>
                </c:pt>
                <c:pt idx="44" formatCode="0.00">
                  <c:v>150.21046000000001</c:v>
                </c:pt>
                <c:pt idx="45" formatCode="0.00">
                  <c:v>161.04167000000001</c:v>
                </c:pt>
                <c:pt idx="46" formatCode="0.00">
                  <c:v>164.32933</c:v>
                </c:pt>
                <c:pt idx="47" formatCode="0.00">
                  <c:v>166.84458000000001</c:v>
                </c:pt>
                <c:pt idx="48" formatCode="0.00">
                  <c:v>206.23223999999999</c:v>
                </c:pt>
                <c:pt idx="49" formatCode="0.00">
                  <c:v>231.81532000000004</c:v>
                </c:pt>
                <c:pt idx="50" formatCode="0.00">
                  <c:v>293.75164000000001</c:v>
                </c:pt>
                <c:pt idx="51" formatCode="0.00">
                  <c:v>548.98491999999999</c:v>
                </c:pt>
                <c:pt idx="52" formatCode="0.00">
                  <c:v>792.13103999999987</c:v>
                </c:pt>
                <c:pt idx="53" formatCode="0.00">
                  <c:v>800.90036000000009</c:v>
                </c:pt>
                <c:pt idx="54" formatCode="0.00">
                  <c:v>986.46439999999996</c:v>
                </c:pt>
                <c:pt idx="55" formatCode="0.00">
                  <c:v>1146.93066</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Empresa'!$L$7:$L$62</c:f>
              <c:strCache>
                <c:ptCount val="56"/>
                <c:pt idx="0">
                  <c:v>RIO BAÑOS</c:v>
                </c:pt>
                <c:pt idx="1">
                  <c:v>ECELIM  (**)</c:v>
                </c:pt>
                <c:pt idx="2">
                  <c:v>CERRO DEL AGUILA (*)</c:v>
                </c:pt>
                <c:pt idx="3">
                  <c:v>AGROAURORA</c:v>
                </c:pt>
                <c:pt idx="4">
                  <c:v>AGUA AZUL</c:v>
                </c:pt>
                <c:pt idx="5">
                  <c:v>CERRO VERDE</c:v>
                </c:pt>
                <c:pt idx="6">
                  <c:v>ELECTRICA SANTA ROSA</c:v>
                </c:pt>
                <c:pt idx="7">
                  <c:v>ELECTRICA YANAPAMPA</c:v>
                </c:pt>
                <c:pt idx="8">
                  <c:v>GTS MAJES</c:v>
                </c:pt>
                <c:pt idx="9">
                  <c:v>GTS REPARTICION</c:v>
                </c:pt>
                <c:pt idx="10">
                  <c:v>IYEPSA</c:v>
                </c:pt>
                <c:pt idx="11">
                  <c:v>MOQUEGUA FV</c:v>
                </c:pt>
                <c:pt idx="12">
                  <c:v>PANAMERICANA SOLAR</c:v>
                </c:pt>
                <c:pt idx="13">
                  <c:v>PLANTA  ETEN</c:v>
                </c:pt>
                <c:pt idx="14">
                  <c:v>RIO DOBLE</c:v>
                </c:pt>
                <c:pt idx="15">
                  <c:v>SAMAY I</c:v>
                </c:pt>
                <c:pt idx="16">
                  <c:v>SHOUGESA</c:v>
                </c:pt>
                <c:pt idx="17">
                  <c:v>TACNA SOLAR</c:v>
                </c:pt>
                <c:pt idx="18">
                  <c:v>HYDRO PATAPO</c:v>
                </c:pt>
                <c:pt idx="19">
                  <c:v>MAJA ENERGIA</c:v>
                </c:pt>
                <c:pt idx="20">
                  <c:v>EGECSAC</c:v>
                </c:pt>
                <c:pt idx="21">
                  <c:v>HIDROCAÑETE</c:v>
                </c:pt>
                <c:pt idx="22">
                  <c:v>SINERSA</c:v>
                </c:pt>
                <c:pt idx="23">
                  <c:v>P.E. MARCONA</c:v>
                </c:pt>
                <c:pt idx="24">
                  <c:v>SANTA CRUZ</c:v>
                </c:pt>
                <c:pt idx="25">
                  <c:v>PETRAMAS (**)</c:v>
                </c:pt>
                <c:pt idx="26">
                  <c:v>AIPSA</c:v>
                </c:pt>
                <c:pt idx="27">
                  <c:v>HUAURA POWER</c:v>
                </c:pt>
                <c:pt idx="28">
                  <c:v>HIDROELECTRICA HUANCHOR</c:v>
                </c:pt>
                <c:pt idx="29">
                  <c:v>EMGE JUNÍN</c:v>
                </c:pt>
                <c:pt idx="30">
                  <c:v>CELEPSA RENOVABLES (****)</c:v>
                </c:pt>
                <c:pt idx="31">
                  <c:v>SANTA ANA</c:v>
                </c:pt>
                <c:pt idx="32">
                  <c:v>GEPSA</c:v>
                </c:pt>
                <c:pt idx="33">
                  <c:v>P.E. TRES HERMANAS</c:v>
                </c:pt>
                <c:pt idx="34">
                  <c:v>SDF ENERGIA</c:v>
                </c:pt>
                <c:pt idx="35">
                  <c:v>ENEL GREEN POWER PERU</c:v>
                </c:pt>
                <c:pt idx="36">
                  <c:v>EGESUR</c:v>
                </c:pt>
                <c:pt idx="37">
                  <c:v>LUZ DEL SUR / INLAND (***)</c:v>
                </c:pt>
                <c:pt idx="38">
                  <c:v>ENERGÍA EÓLICA</c:v>
                </c:pt>
                <c:pt idx="39">
                  <c:v>SAN GABAN</c:v>
                </c:pt>
                <c:pt idx="40">
                  <c:v>ENEL GENERACION PIURA</c:v>
                </c:pt>
                <c:pt idx="41">
                  <c:v>EMGE HUANZA</c:v>
                </c:pt>
                <c:pt idx="42">
                  <c:v>ORAZUL ENERGY PERÚ</c:v>
                </c:pt>
                <c:pt idx="43">
                  <c:v>EGEMSA</c:v>
                </c:pt>
                <c:pt idx="44">
                  <c:v>EGASA</c:v>
                </c:pt>
                <c:pt idx="45">
                  <c:v>EMGE HUALLAGA</c:v>
                </c:pt>
                <c:pt idx="46">
                  <c:v>TERMOSELVA</c:v>
                </c:pt>
                <c:pt idx="47">
                  <c:v>CHINANGO</c:v>
                </c:pt>
                <c:pt idx="48">
                  <c:v>CELEPSA</c:v>
                </c:pt>
                <c:pt idx="49">
                  <c:v>STATKRAFT</c:v>
                </c:pt>
                <c:pt idx="50">
                  <c:v>TERMOCHILCA</c:v>
                </c:pt>
                <c:pt idx="51">
                  <c:v>FENIX POWER</c:v>
                </c:pt>
                <c:pt idx="52">
                  <c:v>ELECTROPERU</c:v>
                </c:pt>
                <c:pt idx="53">
                  <c:v>ENEL GENERACION PERU</c:v>
                </c:pt>
                <c:pt idx="54">
                  <c:v>ENGIE</c:v>
                </c:pt>
                <c:pt idx="55">
                  <c:v>KALLPA (*)</c:v>
                </c:pt>
              </c:strCache>
            </c:strRef>
          </c:cat>
          <c:val>
            <c:numRef>
              <c:f>'9. Pot. Empresa'!$N$7:$N$62</c:f>
              <c:numCache>
                <c:formatCode>General</c:formatCode>
                <c:ptCount val="56"/>
                <c:pt idx="0">
                  <c:v>0</c:v>
                </c:pt>
                <c:pt idx="1">
                  <c:v>1.4001999999999999</c:v>
                </c:pt>
                <c:pt idx="2">
                  <c:v>478.39208000000008</c:v>
                </c:pt>
                <c:pt idx="3" formatCode="0.00">
                  <c:v>0</c:v>
                </c:pt>
                <c:pt idx="4" formatCode="0.00">
                  <c:v>0</c:v>
                </c:pt>
                <c:pt idx="5">
                  <c:v>0</c:v>
                </c:pt>
                <c:pt idx="6" formatCode="0.00">
                  <c:v>0.26573999999999998</c:v>
                </c:pt>
                <c:pt idx="7" formatCode="0.00">
                  <c:v>2.6167400000000001</c:v>
                </c:pt>
                <c:pt idx="8" formatCode="0.00">
                  <c:v>0</c:v>
                </c:pt>
                <c:pt idx="9" formatCode="0.00">
                  <c:v>0</c:v>
                </c:pt>
                <c:pt idx="10">
                  <c:v>0</c:v>
                </c:pt>
                <c:pt idx="11" formatCode="0.00">
                  <c:v>0</c:v>
                </c:pt>
                <c:pt idx="12" formatCode="0.00">
                  <c:v>0</c:v>
                </c:pt>
                <c:pt idx="13" formatCode="0.00">
                  <c:v>0</c:v>
                </c:pt>
                <c:pt idx="14">
                  <c:v>3.32057</c:v>
                </c:pt>
                <c:pt idx="15">
                  <c:v>304.78504000000004</c:v>
                </c:pt>
                <c:pt idx="16" formatCode="0.00">
                  <c:v>54.93544</c:v>
                </c:pt>
                <c:pt idx="17" formatCode="0.00">
                  <c:v>0</c:v>
                </c:pt>
                <c:pt idx="19" formatCode="0.00">
                  <c:v>1.9830000000000001</c:v>
                </c:pt>
                <c:pt idx="20" formatCode="0.00">
                  <c:v>2.52</c:v>
                </c:pt>
                <c:pt idx="21" formatCode="0.00">
                  <c:v>3.2</c:v>
                </c:pt>
                <c:pt idx="22" formatCode="0.00">
                  <c:v>6.2851699999999999</c:v>
                </c:pt>
                <c:pt idx="23" formatCode="0.00">
                  <c:v>32.054560000000002</c:v>
                </c:pt>
                <c:pt idx="24" formatCode="0.00">
                  <c:v>7.6753900000000002</c:v>
                </c:pt>
                <c:pt idx="25" formatCode="0.00">
                  <c:v>3.0094000000000003</c:v>
                </c:pt>
                <c:pt idx="26" formatCode="0.00">
                  <c:v>0</c:v>
                </c:pt>
                <c:pt idx="27" formatCode="0.00">
                  <c:v>9.1316000000000006</c:v>
                </c:pt>
                <c:pt idx="28" formatCode="0.00">
                  <c:v>17.475999999999999</c:v>
                </c:pt>
                <c:pt idx="29" formatCode="0.00">
                  <c:v>11.39776</c:v>
                </c:pt>
                <c:pt idx="30">
                  <c:v>14.92867</c:v>
                </c:pt>
                <c:pt idx="32" formatCode="0.00">
                  <c:v>7.6752200000000004</c:v>
                </c:pt>
                <c:pt idx="33" formatCode="0.00">
                  <c:v>95.217250000000007</c:v>
                </c:pt>
                <c:pt idx="34" formatCode="0.00">
                  <c:v>28.146830000000001</c:v>
                </c:pt>
                <c:pt idx="36" formatCode="0.00">
                  <c:v>37.275000000000006</c:v>
                </c:pt>
                <c:pt idx="37" formatCode="0.00">
                  <c:v>56.884999999999998</c:v>
                </c:pt>
                <c:pt idx="38" formatCode="0.00">
                  <c:v>106.78634</c:v>
                </c:pt>
                <c:pt idx="39" formatCode="0.00">
                  <c:v>98.905059999999992</c:v>
                </c:pt>
                <c:pt idx="40" formatCode="0.00">
                  <c:v>96.199489999999997</c:v>
                </c:pt>
                <c:pt idx="41" formatCode="0.00">
                  <c:v>88.500439999999998</c:v>
                </c:pt>
                <c:pt idx="42" formatCode="0.00">
                  <c:v>174.37673999999998</c:v>
                </c:pt>
                <c:pt idx="43" formatCode="0.00">
                  <c:v>119.14735999999999</c:v>
                </c:pt>
                <c:pt idx="44" formatCode="0.00">
                  <c:v>155.71352999999999</c:v>
                </c:pt>
                <c:pt idx="45" formatCode="0.00">
                  <c:v>235.83101000000002</c:v>
                </c:pt>
                <c:pt idx="46" formatCode="0.00">
                  <c:v>171.26250999999999</c:v>
                </c:pt>
                <c:pt idx="47" formatCode="0.00">
                  <c:v>112.61616000000001</c:v>
                </c:pt>
                <c:pt idx="48" formatCode="0.00">
                  <c:v>204.74214999999998</c:v>
                </c:pt>
                <c:pt idx="49" formatCode="0.00">
                  <c:v>246.42573000000002</c:v>
                </c:pt>
                <c:pt idx="50" formatCode="0.00">
                  <c:v>0</c:v>
                </c:pt>
                <c:pt idx="51" formatCode="0.00">
                  <c:v>554.93299000000002</c:v>
                </c:pt>
                <c:pt idx="52" formatCode="0.00">
                  <c:v>875.58247000000006</c:v>
                </c:pt>
                <c:pt idx="53" formatCode="0.00">
                  <c:v>582.73349000000007</c:v>
                </c:pt>
                <c:pt idx="54" formatCode="0.00">
                  <c:v>772.68303000000014</c:v>
                </c:pt>
                <c:pt idx="55" formatCode="0.00">
                  <c:v>564.47771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General"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1"/>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162.93200680000001</c:v>
                </c:pt>
                <c:pt idx="10">
                  <c:v>172.76199339999999</c:v>
                </c:pt>
                <c:pt idx="11">
                  <c:v>182.13900760000001</c:v>
                </c:pt>
                <c:pt idx="12">
                  <c:v>191.4750061</c:v>
                </c:pt>
                <c:pt idx="13">
                  <c:v>198.43899540000001</c:v>
                </c:pt>
                <c:pt idx="14">
                  <c:v>201.52999879999999</c:v>
                </c:pt>
                <c:pt idx="15">
                  <c:v>206.03700259999999</c:v>
                </c:pt>
                <c:pt idx="16">
                  <c:v>213.67399599999999</c:v>
                </c:pt>
                <c:pt idx="17">
                  <c:v>216.75700380000001</c:v>
                </c:pt>
                <c:pt idx="18">
                  <c:v>217.29400630000001</c:v>
                </c:pt>
                <c:pt idx="19">
                  <c:v>218.3190002</c:v>
                </c:pt>
                <c:pt idx="20">
                  <c:v>218.79899599999999</c:v>
                </c:pt>
                <c:pt idx="21">
                  <c:v>217.8880005</c:v>
                </c:pt>
                <c:pt idx="22">
                  <c:v>216.04899599999999</c:v>
                </c:pt>
                <c:pt idx="23">
                  <c:v>212.24600219999999</c:v>
                </c:pt>
                <c:pt idx="24">
                  <c:v>210.22099299999999</c:v>
                </c:pt>
                <c:pt idx="25">
                  <c:v>209.85200499999999</c:v>
                </c:pt>
                <c:pt idx="26">
                  <c:v>203.92900090000001</c:v>
                </c:pt>
                <c:pt idx="27">
                  <c:v>200.56300350000001</c:v>
                </c:pt>
                <c:pt idx="28">
                  <c:v>194.94900509999999</c:v>
                </c:pt>
                <c:pt idx="29">
                  <c:v>188.386</c:v>
                </c:pt>
                <c:pt idx="30">
                  <c:v>184.72900390000001</c:v>
                </c:pt>
                <c:pt idx="31">
                  <c:v>178.8809967</c:v>
                </c:pt>
                <c:pt idx="32">
                  <c:v>176.98599239999999</c:v>
                </c:pt>
                <c:pt idx="33">
                  <c:v>173.36999510000001</c:v>
                </c:pt>
                <c:pt idx="34">
                  <c:v>162.30700680000001</c:v>
                </c:pt>
                <c:pt idx="35">
                  <c:v>153.61700440000001</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1"/>
                <c:pt idx="0">
                  <c:v>93.1</c:v>
                </c:pt>
                <c:pt idx="1">
                  <c:v>93.1</c:v>
                </c:pt>
                <c:pt idx="2">
                  <c:v>98.74</c:v>
                </c:pt>
                <c:pt idx="3">
                  <c:v>98.74</c:v>
                </c:pt>
                <c:pt idx="4">
                  <c:v>125.15</c:v>
                </c:pt>
                <c:pt idx="5">
                  <c:v>125.15</c:v>
                </c:pt>
                <c:pt idx="6">
                  <c:v>142.99</c:v>
                </c:pt>
                <c:pt idx="7">
                  <c:v>142.99</c:v>
                </c:pt>
                <c:pt idx="8">
                  <c:v>159.53</c:v>
                </c:pt>
                <c:pt idx="9">
                  <c:v>184.94</c:v>
                </c:pt>
                <c:pt idx="10">
                  <c:v>184.94</c:v>
                </c:pt>
                <c:pt idx="11">
                  <c:v>203.73</c:v>
                </c:pt>
                <c:pt idx="12">
                  <c:v>203.73</c:v>
                </c:pt>
                <c:pt idx="13">
                  <c:v>203.73</c:v>
                </c:pt>
                <c:pt idx="14">
                  <c:v>222.8</c:v>
                </c:pt>
                <c:pt idx="15">
                  <c:v>222.8</c:v>
                </c:pt>
                <c:pt idx="16">
                  <c:v>225.58</c:v>
                </c:pt>
                <c:pt idx="17">
                  <c:v>225.58</c:v>
                </c:pt>
                <c:pt idx="18">
                  <c:v>226.61</c:v>
                </c:pt>
                <c:pt idx="19">
                  <c:v>226.61</c:v>
                </c:pt>
                <c:pt idx="20">
                  <c:v>227.42</c:v>
                </c:pt>
                <c:pt idx="21">
                  <c:v>227.42</c:v>
                </c:pt>
                <c:pt idx="22">
                  <c:v>227.45</c:v>
                </c:pt>
                <c:pt idx="23">
                  <c:v>227.45</c:v>
                </c:pt>
                <c:pt idx="24">
                  <c:v>225.56</c:v>
                </c:pt>
                <c:pt idx="25">
                  <c:v>225.56</c:v>
                </c:pt>
                <c:pt idx="26">
                  <c:v>225.56</c:v>
                </c:pt>
                <c:pt idx="27">
                  <c:v>222.04</c:v>
                </c:pt>
                <c:pt idx="28">
                  <c:v>222.04</c:v>
                </c:pt>
                <c:pt idx="29">
                  <c:v>213.13</c:v>
                </c:pt>
                <c:pt idx="30">
                  <c:v>213.13</c:v>
                </c:pt>
                <c:pt idx="31">
                  <c:v>205.97</c:v>
                </c:pt>
                <c:pt idx="32">
                  <c:v>199.49</c:v>
                </c:pt>
                <c:pt idx="33">
                  <c:v>193.4</c:v>
                </c:pt>
                <c:pt idx="34">
                  <c:v>187.93</c:v>
                </c:pt>
                <c:pt idx="35">
                  <c:v>182.85</c:v>
                </c:pt>
                <c:pt idx="36">
                  <c:v>179.77</c:v>
                </c:pt>
                <c:pt idx="37">
                  <c:v>173.62</c:v>
                </c:pt>
                <c:pt idx="38">
                  <c:v>163</c:v>
                </c:pt>
                <c:pt idx="39">
                  <c:v>156.5</c:v>
                </c:pt>
                <c:pt idx="40">
                  <c:v>152.78</c:v>
                </c:pt>
                <c:pt idx="41">
                  <c:v>148.63</c:v>
                </c:pt>
                <c:pt idx="42">
                  <c:v>142.91</c:v>
                </c:pt>
                <c:pt idx="43">
                  <c:v>137.04</c:v>
                </c:pt>
                <c:pt idx="44">
                  <c:v>131.22999999999999</c:v>
                </c:pt>
                <c:pt idx="45">
                  <c:v>125.5</c:v>
                </c:pt>
                <c:pt idx="46">
                  <c:v>120.41</c:v>
                </c:pt>
                <c:pt idx="47">
                  <c:v>115.91300200000001</c:v>
                </c:pt>
                <c:pt idx="48">
                  <c:v>110.0599976</c:v>
                </c:pt>
                <c:pt idx="49">
                  <c:v>107.5970001</c:v>
                </c:pt>
                <c:pt idx="50">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1"/>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186.45199584960901</c:v>
                </c:pt>
                <c:pt idx="10">
                  <c:v>186.45199584960901</c:v>
                </c:pt>
                <c:pt idx="11">
                  <c:v>195.64999389648401</c:v>
                </c:pt>
                <c:pt idx="12">
                  <c:v>195.64999389648401</c:v>
                </c:pt>
                <c:pt idx="13">
                  <c:v>201.93600463867099</c:v>
                </c:pt>
                <c:pt idx="14">
                  <c:v>201.93600463867099</c:v>
                </c:pt>
                <c:pt idx="15">
                  <c:v>201.93600463867099</c:v>
                </c:pt>
                <c:pt idx="16">
                  <c:v>207.58900451660099</c:v>
                </c:pt>
                <c:pt idx="17">
                  <c:v>207.58900451660099</c:v>
                </c:pt>
                <c:pt idx="18">
                  <c:v>205.7</c:v>
                </c:pt>
                <c:pt idx="19">
                  <c:v>205.7</c:v>
                </c:pt>
                <c:pt idx="20">
                  <c:v>204.65</c:v>
                </c:pt>
                <c:pt idx="21">
                  <c:v>204.65</c:v>
                </c:pt>
                <c:pt idx="22">
                  <c:v>200.38</c:v>
                </c:pt>
                <c:pt idx="23">
                  <c:v>200.38</c:v>
                </c:pt>
                <c:pt idx="24">
                  <c:v>193.55099487304599</c:v>
                </c:pt>
                <c:pt idx="25">
                  <c:v>193.55099487304599</c:v>
                </c:pt>
                <c:pt idx="26">
                  <c:v>186.01199339999999</c:v>
                </c:pt>
                <c:pt idx="27">
                  <c:v>186.01199339999999</c:v>
                </c:pt>
                <c:pt idx="28">
                  <c:v>186.01199339999999</c:v>
                </c:pt>
                <c:pt idx="29">
                  <c:v>178.58200070000001</c:v>
                </c:pt>
                <c:pt idx="30">
                  <c:v>178.58200070000001</c:v>
                </c:pt>
                <c:pt idx="31">
                  <c:v>169.01100159999999</c:v>
                </c:pt>
                <c:pt idx="32">
                  <c:v>169.01100159999999</c:v>
                </c:pt>
                <c:pt idx="33">
                  <c:v>158.09199523925699</c:v>
                </c:pt>
                <c:pt idx="34">
                  <c:v>158.09199523925699</c:v>
                </c:pt>
                <c:pt idx="35">
                  <c:v>147.0650024</c:v>
                </c:pt>
                <c:pt idx="36">
                  <c:v>147.0650024</c:v>
                </c:pt>
                <c:pt idx="37">
                  <c:v>139.11000060000001</c:v>
                </c:pt>
                <c:pt idx="38">
                  <c:v>139.11000060000001</c:v>
                </c:pt>
                <c:pt idx="39">
                  <c:v>139.11000060000001</c:v>
                </c:pt>
                <c:pt idx="40">
                  <c:v>128.34500120000001</c:v>
                </c:pt>
                <c:pt idx="41">
                  <c:v>128.34500120000001</c:v>
                </c:pt>
                <c:pt idx="42">
                  <c:v>121.20099639999999</c:v>
                </c:pt>
                <c:pt idx="43">
                  <c:v>121.20099639999999</c:v>
                </c:pt>
                <c:pt idx="44">
                  <c:v>112.1429977</c:v>
                </c:pt>
                <c:pt idx="45">
                  <c:v>112.1429977</c:v>
                </c:pt>
                <c:pt idx="46">
                  <c:v>101.13500209999999</c:v>
                </c:pt>
                <c:pt idx="47">
                  <c:v>101.13500209999999</c:v>
                </c:pt>
                <c:pt idx="48">
                  <c:v>96.752998349999999</c:v>
                </c:pt>
                <c:pt idx="49">
                  <c:v>96.752998349999999</c:v>
                </c:pt>
                <c:pt idx="50">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rgbClr val="0077A5"/>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1850.3046790381316</c:v>
                </c:pt>
                <c:pt idx="1">
                  <c:v>1759.508976627091</c:v>
                </c:pt>
                <c:pt idx="2">
                  <c:v>90.171078251284897</c:v>
                </c:pt>
                <c:pt idx="3">
                  <c:v>172.25136026758244</c:v>
                </c:pt>
                <c:pt idx="4">
                  <c:v>9.6040142675609239</c:v>
                </c:pt>
                <c:pt idx="5">
                  <c:v>112.36269788254573</c:v>
                </c:pt>
                <c:pt idx="6">
                  <c:v>18.929945049992501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2253.6528189324995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6.3454784125000003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13.548058922500001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141.62182448750002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71.752520337500002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'12.Caudales'!$J$4:$K$147</c:f>
              <c:multiLvlStrCache>
                <c:ptCount val="14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lvl>
                <c:lvl>
                  <c:pt idx="0">
                    <c:v>2016</c:v>
                  </c:pt>
                  <c:pt idx="52">
                    <c:v>2017</c:v>
                  </c:pt>
                  <c:pt idx="104">
                    <c:v>2018</c:v>
                  </c:pt>
                </c:lvl>
              </c:multiLvlStrCache>
            </c:multiLvlStrRef>
          </c:cat>
          <c:val>
            <c:numRef>
              <c:f>'12.Caudales'!$N$4:$N$147</c:f>
              <c:numCache>
                <c:formatCode>0.0</c:formatCode>
                <c:ptCount val="144"/>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'12.Caudales'!$J$4:$K$147</c:f>
              <c:multiLvlStrCache>
                <c:ptCount val="14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lvl>
                <c:lvl>
                  <c:pt idx="0">
                    <c:v>2016</c:v>
                  </c:pt>
                  <c:pt idx="52">
                    <c:v>2017</c:v>
                  </c:pt>
                  <c:pt idx="104">
                    <c:v>2018</c:v>
                  </c:pt>
                </c:lvl>
              </c:multiLvlStrCache>
            </c:multiLvlStrRef>
          </c:cat>
          <c:val>
            <c:numRef>
              <c:f>'12.Caudales'!$O$4:$O$147</c:f>
              <c:numCache>
                <c:formatCode>0.0</c:formatCode>
                <c:ptCount val="144"/>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'12.Caudales'!$M$4:$M$147</c:f>
              <c:numCache>
                <c:formatCode>0.0</c:formatCode>
                <c:ptCount val="144"/>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'13.Caudales'!$N$4:$O$147</c:f>
              <c:multiLvlStrCache>
                <c:ptCount val="14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lvl>
                <c:lvl>
                  <c:pt idx="0">
                    <c:v>2016</c:v>
                  </c:pt>
                  <c:pt idx="52">
                    <c:v>2017</c:v>
                  </c:pt>
                  <c:pt idx="104">
                    <c:v>2018</c:v>
                  </c:pt>
                </c:lvl>
              </c:multiLvlStrCache>
            </c:multiLvlStrRef>
          </c:cat>
          <c:val>
            <c:numRef>
              <c:f>'13.Caudales'!$Q$4:$Q$147</c:f>
              <c:numCache>
                <c:formatCode>0.0</c:formatCode>
                <c:ptCount val="144"/>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'13.Caudales'!$N$4:$O$147</c:f>
              <c:multiLvlStrCache>
                <c:ptCount val="14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lvl>
                <c:lvl>
                  <c:pt idx="0">
                    <c:v>2016</c:v>
                  </c:pt>
                  <c:pt idx="52">
                    <c:v>2017</c:v>
                  </c:pt>
                  <c:pt idx="104">
                    <c:v>2018</c:v>
                  </c:pt>
                </c:lvl>
              </c:multiLvlStrCache>
            </c:multiLvlStrRef>
          </c:cat>
          <c:val>
            <c:numRef>
              <c:f>'13.Caudales'!$R$4:$R$147</c:f>
              <c:numCache>
                <c:formatCode>0.0</c:formatCode>
                <c:ptCount val="144"/>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0"/>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'13.Caudales'!$N$4:$O$147</c:f>
              <c:multiLvlStrCache>
                <c:ptCount val="14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lvl>
                <c:lvl>
                  <c:pt idx="0">
                    <c:v>2016</c:v>
                  </c:pt>
                  <c:pt idx="52">
                    <c:v>2017</c:v>
                  </c:pt>
                  <c:pt idx="104">
                    <c:v>2018</c:v>
                  </c:pt>
                </c:lvl>
              </c:multiLvlStrCache>
            </c:multiLvlStrRef>
          </c:cat>
          <c:val>
            <c:numRef>
              <c:f>'13.Caudales'!$S$4:$S$147</c:f>
              <c:numCache>
                <c:formatCode>0.0</c:formatCode>
                <c:ptCount val="144"/>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schemeClr>
            </a:solidFill>
            <a:ln w="25400">
              <a:noFill/>
            </a:ln>
          </c:spPr>
          <c:cat>
            <c:multiLvlStrRef>
              <c:f>'13.Caudales'!$N$4:$O$147</c:f>
              <c:multiLvlStrCache>
                <c:ptCount val="14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lvl>
                <c:lvl>
                  <c:pt idx="0">
                    <c:v>2016</c:v>
                  </c:pt>
                  <c:pt idx="52">
                    <c:v>2017</c:v>
                  </c:pt>
                  <c:pt idx="104">
                    <c:v>2018</c:v>
                  </c:pt>
                </c:lvl>
              </c:multiLvlStrCache>
            </c:multiLvlStrRef>
          </c:cat>
          <c:val>
            <c:numRef>
              <c:f>'13.Caudales'!$T$4:$T$147</c:f>
              <c:numCache>
                <c:formatCode>0.0</c:formatCode>
                <c:ptCount val="144"/>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'13.Caudales'!$U$4:$U$147</c:f>
              <c:numCache>
                <c:formatCode>0.0</c:formatCode>
                <c:ptCount val="144"/>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'13.Caudales'!$N$4:$O$147</c:f>
              <c:multiLvlStrCache>
                <c:ptCount val="14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lvl>
                <c:lvl>
                  <c:pt idx="0">
                    <c:v>2016</c:v>
                  </c:pt>
                  <c:pt idx="52">
                    <c:v>2017</c:v>
                  </c:pt>
                  <c:pt idx="104">
                    <c:v>2018</c:v>
                  </c:pt>
                </c:lvl>
              </c:multiLvlStrCache>
            </c:multiLvlStrRef>
          </c:cat>
          <c:val>
            <c:numRef>
              <c:f>'13.Caudales'!$V$4:$V$147</c:f>
              <c:numCache>
                <c:formatCode>0.0</c:formatCode>
                <c:ptCount val="144"/>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'13.Caudales'!$N$4:$O$147</c:f>
              <c:multiLvlStrCache>
                <c:ptCount val="14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lvl>
                <c:lvl>
                  <c:pt idx="0">
                    <c:v>2016</c:v>
                  </c:pt>
                  <c:pt idx="52">
                    <c:v>2017</c:v>
                  </c:pt>
                  <c:pt idx="104">
                    <c:v>2018</c:v>
                  </c:pt>
                </c:lvl>
              </c:multiLvlStrCache>
            </c:multiLvlStrRef>
          </c:cat>
          <c:val>
            <c:numRef>
              <c:f>'13.Caudales'!$W$4:$W$147</c:f>
              <c:numCache>
                <c:formatCode>0.0</c:formatCode>
                <c:ptCount val="144"/>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'13.Caudales'!$Y$4:$Y$147</c:f>
              <c:numCache>
                <c:formatCode>0.0</c:formatCode>
                <c:ptCount val="144"/>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'13.Caudales'!$X$4:$X$147</c:f>
              <c:numCache>
                <c:formatCode>0.0</c:formatCode>
                <c:ptCount val="144"/>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Setiembre 2018
INFSGI-MES-09-2018
11/10/2018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10.124580916447947</c:v>
                </c:pt>
                <c:pt idx="1">
                  <c:v>10.077263883631147</c:v>
                </c:pt>
                <c:pt idx="2">
                  <c:v>9.9885642884783845</c:v>
                </c:pt>
                <c:pt idx="3">
                  <c:v>9.8592989675869696</c:v>
                </c:pt>
                <c:pt idx="4">
                  <c:v>9.7906357884951998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OROYA NUEVA 50</c:v>
                </c:pt>
                <c:pt idx="3">
                  <c:v>CARABAYLLO 220</c:v>
                </c:pt>
                <c:pt idx="4">
                  <c:v>SANTA ROSA 220</c:v>
                </c:pt>
                <c:pt idx="5">
                  <c:v>SAN JUAN 220</c:v>
                </c:pt>
                <c:pt idx="6">
                  <c:v>POMACOCHA 220</c:v>
                </c:pt>
              </c:strCache>
            </c:strRef>
          </c:cat>
          <c:val>
            <c:numRef>
              <c:f>'14. CMg'!$C$27:$I$27</c:f>
              <c:numCache>
                <c:formatCode>0.00</c:formatCode>
                <c:ptCount val="7"/>
                <c:pt idx="0">
                  <c:v>9.4189701725385628</c:v>
                </c:pt>
                <c:pt idx="1">
                  <c:v>9.3959114065969853</c:v>
                </c:pt>
                <c:pt idx="2">
                  <c:v>9.3923942520105719</c:v>
                </c:pt>
                <c:pt idx="3">
                  <c:v>9.3877916786543469</c:v>
                </c:pt>
                <c:pt idx="4">
                  <c:v>9.3824278543307198</c:v>
                </c:pt>
                <c:pt idx="5">
                  <c:v>9.3207255417591828</c:v>
                </c:pt>
                <c:pt idx="6">
                  <c:v>9.312992240182755</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SAN GABAN 138</c:v>
                </c:pt>
                <c:pt idx="6">
                  <c:v>COTARUSE 220</c:v>
                </c:pt>
              </c:strCache>
            </c:strRef>
          </c:cat>
          <c:val>
            <c:numRef>
              <c:f>'14. CMg'!$C$46:$I$46</c:f>
              <c:numCache>
                <c:formatCode>0.00</c:formatCode>
                <c:ptCount val="7"/>
                <c:pt idx="0">
                  <c:v>10.454495236683126</c:v>
                </c:pt>
                <c:pt idx="1">
                  <c:v>10.178181569250977</c:v>
                </c:pt>
                <c:pt idx="2">
                  <c:v>10.050614366082817</c:v>
                </c:pt>
                <c:pt idx="3">
                  <c:v>10.008490824794704</c:v>
                </c:pt>
                <c:pt idx="4">
                  <c:v>9.9518296112624807</c:v>
                </c:pt>
                <c:pt idx="5">
                  <c:v>9.7980176469227587</c:v>
                </c:pt>
                <c:pt idx="6">
                  <c:v>9.7503704943132306</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SETIEMBRE
 2016</c:v>
                </c:pt>
              </c:strCache>
            </c:strRef>
          </c:tx>
          <c:spPr>
            <a:solidFill>
              <a:schemeClr val="accent6"/>
            </a:solidFill>
          </c:spPr>
          <c:invertIfNegative val="0"/>
          <c:cat>
            <c:strRef>
              <c:f>'16. Congestiones'!$C$7:$C$15</c:f>
              <c:strCache>
                <c:ptCount val="6"/>
                <c:pt idx="0">
                  <c:v>ENLACE CENTRO - SUR</c:v>
                </c:pt>
                <c:pt idx="1">
                  <c:v>TINGO MARÍA</c:v>
                </c:pt>
                <c:pt idx="2">
                  <c:v>CHAVARRÍA - VENTANILLA</c:v>
                </c:pt>
                <c:pt idx="3">
                  <c:v>INDEPENDENCIA</c:v>
                </c:pt>
                <c:pt idx="4">
                  <c:v>PARAGSHA 2</c:v>
                </c:pt>
                <c:pt idx="5">
                  <c:v>HUACHO - PARAMONGA NUEVA</c:v>
                </c:pt>
              </c:strCache>
            </c:strRef>
          </c:cat>
          <c:val>
            <c:numRef>
              <c:f>'16. Congestiones'!$F$7:$F$15</c:f>
              <c:numCache>
                <c:formatCode>#,##0.00</c:formatCode>
                <c:ptCount val="6"/>
                <c:pt idx="0">
                  <c:v>471.91666666666663</c:v>
                </c:pt>
                <c:pt idx="1">
                  <c:v>5.5000000000000018</c:v>
                </c:pt>
                <c:pt idx="2">
                  <c:v>12.316666666666666</c:v>
                </c:pt>
                <c:pt idx="4">
                  <c:v>6.5166666666666657</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SETIEMBRE
 2017</c:v>
                </c:pt>
              </c:strCache>
            </c:strRef>
          </c:tx>
          <c:invertIfNegative val="0"/>
          <c:cat>
            <c:strRef>
              <c:f>'16. Congestiones'!$C$7:$C$15</c:f>
              <c:strCache>
                <c:ptCount val="6"/>
                <c:pt idx="0">
                  <c:v>ENLACE CENTRO - SUR</c:v>
                </c:pt>
                <c:pt idx="1">
                  <c:v>TINGO MARÍA</c:v>
                </c:pt>
                <c:pt idx="2">
                  <c:v>CHAVARRÍA - VENTANILLA</c:v>
                </c:pt>
                <c:pt idx="3">
                  <c:v>INDEPENDENCIA</c:v>
                </c:pt>
                <c:pt idx="4">
                  <c:v>PARAGSHA 2</c:v>
                </c:pt>
                <c:pt idx="5">
                  <c:v>HUACHO - PARAMONGA NUEVA</c:v>
                </c:pt>
              </c:strCache>
            </c:strRef>
          </c:cat>
          <c:val>
            <c:numRef>
              <c:f>'16. Congestiones'!$E$7:$E$15</c:f>
              <c:numCache>
                <c:formatCode>#,##0.00</c:formatCode>
                <c:ptCount val="6"/>
                <c:pt idx="0">
                  <c:v>556.88333333333344</c:v>
                </c:pt>
                <c:pt idx="3">
                  <c:v>32.783333333333331</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SETIEMBRE
 2018</c:v>
                </c:pt>
              </c:strCache>
            </c:strRef>
          </c:tx>
          <c:invertIfNegative val="0"/>
          <c:cat>
            <c:strRef>
              <c:f>'16. Congestiones'!$C$7:$C$15</c:f>
              <c:strCache>
                <c:ptCount val="6"/>
                <c:pt idx="0">
                  <c:v>ENLACE CENTRO - SUR</c:v>
                </c:pt>
                <c:pt idx="1">
                  <c:v>TINGO MARÍA</c:v>
                </c:pt>
                <c:pt idx="2">
                  <c:v>CHAVARRÍA - VENTANILLA</c:v>
                </c:pt>
                <c:pt idx="3">
                  <c:v>INDEPENDENCIA</c:v>
                </c:pt>
                <c:pt idx="4">
                  <c:v>PARAGSHA 2</c:v>
                </c:pt>
                <c:pt idx="5">
                  <c:v>HUACHO - PARAMONGA NUEVA</c:v>
                </c:pt>
              </c:strCache>
            </c:strRef>
          </c:cat>
          <c:val>
            <c:numRef>
              <c:f>'16. Congestiones'!$D$7:$D$15</c:f>
              <c:numCache>
                <c:formatCode>#,##0.00</c:formatCode>
                <c:ptCount val="6"/>
                <c:pt idx="5">
                  <c:v>16.133333333333326</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4.7374026295469225E-2"/>
                  <c:y val="-7.282405493340048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1997896153289714"/>
                  <c:y val="-9.3233937368863207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9.7362609397414368E-2"/>
                  <c:y val="0.13977138141930429"/>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1019520281"/>
                      <c:h val="0.11294646869551149"/>
                    </c:manualLayout>
                  </c15:layout>
                </c:ext>
                <c:ext xmlns:c16="http://schemas.microsoft.com/office/drawing/2014/chart" uri="{C3380CC4-5D6E-409C-BE32-E72D297353CC}">
                  <c16:uniqueId val="{00000004-E0CC-4AD3-904F-2124A98CD904}"/>
                </c:ext>
              </c:extLst>
            </c:dLbl>
            <c:dLbl>
              <c:idx val="3"/>
              <c:layout>
                <c:manualLayout>
                  <c:x val="-6.2155858960347629E-2"/>
                  <c:y val="4.7609709354285726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6.0188545493586917E-2"/>
                  <c:y val="-3.8203360785059495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4450289431439"/>
                      <c:h val="0.11294646869551149"/>
                    </c:manualLayout>
                  </c15:layout>
                </c:ext>
                <c:ext xmlns:c16="http://schemas.microsoft.com/office/drawing/2014/chart" uri="{C3380CC4-5D6E-409C-BE32-E72D297353CC}">
                  <c16:uniqueId val="{00000006-E0CC-4AD3-904F-2124A98CD904}"/>
                </c:ext>
              </c:extLst>
            </c:dLbl>
            <c:dLbl>
              <c:idx val="5"/>
              <c:layout>
                <c:manualLayout>
                  <c:x val="-6.2575931087254733E-2"/>
                  <c:y val="-1.846587334399886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8.6243552938674584E-2"/>
                  <c:y val="-3.0152702629828707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17</c:v>
                </c:pt>
                <c:pt idx="1">
                  <c:v>5</c:v>
                </c:pt>
                <c:pt idx="2">
                  <c:v>4</c:v>
                </c:pt>
                <c:pt idx="3">
                  <c:v>7</c:v>
                </c:pt>
                <c:pt idx="4">
                  <c:v>13</c:v>
                </c:pt>
                <c:pt idx="5">
                  <c:v>2</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67046320672438"/>
          <c:y val="0.15411433058476062"/>
          <c:w val="0.85404588316134722"/>
          <c:h val="0.63039276869020633"/>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Eventos'!$A$7:$A$11</c:f>
              <c:strCache>
                <c:ptCount val="5"/>
                <c:pt idx="0">
                  <c:v>LINEA DE TRANSMISION</c:v>
                </c:pt>
                <c:pt idx="1">
                  <c:v>TRANSFORMADOR 2D</c:v>
                </c:pt>
                <c:pt idx="2">
                  <c:v>TRANSFORMADOR 3D</c:v>
                </c:pt>
                <c:pt idx="3">
                  <c:v>CELDA</c:v>
                </c:pt>
                <c:pt idx="4">
                  <c:v>SUMINISTRO</c:v>
                </c:pt>
              </c:strCache>
            </c:strRef>
          </c:cat>
          <c:val>
            <c:numRef>
              <c:f>'17. Eventos'!$B$7:$B$11</c:f>
              <c:numCache>
                <c:formatCode>General</c:formatCode>
                <c:ptCount val="5"/>
                <c:pt idx="0">
                  <c:v>15</c:v>
                </c:pt>
                <c:pt idx="1">
                  <c:v>1</c:v>
                </c:pt>
                <c:pt idx="3">
                  <c:v>1</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Eventos'!$A$7:$A$11</c:f>
              <c:strCache>
                <c:ptCount val="5"/>
                <c:pt idx="0">
                  <c:v>LINEA DE TRANSMISION</c:v>
                </c:pt>
                <c:pt idx="1">
                  <c:v>TRANSFORMADOR 2D</c:v>
                </c:pt>
                <c:pt idx="2">
                  <c:v>TRANSFORMADOR 3D</c:v>
                </c:pt>
                <c:pt idx="3">
                  <c:v>CELDA</c:v>
                </c:pt>
                <c:pt idx="4">
                  <c:v>SUMINISTRO</c:v>
                </c:pt>
              </c:strCache>
            </c:strRef>
          </c:cat>
          <c:val>
            <c:numRef>
              <c:f>'17. Eventos'!$C$7:$C$11</c:f>
              <c:numCache>
                <c:formatCode>General</c:formatCode>
                <c:ptCount val="5"/>
                <c:pt idx="0">
                  <c:v>5</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Eventos'!$A$7:$A$11</c:f>
              <c:strCache>
                <c:ptCount val="5"/>
                <c:pt idx="0">
                  <c:v>LINEA DE TRANSMISION</c:v>
                </c:pt>
                <c:pt idx="1">
                  <c:v>TRANSFORMADOR 2D</c:v>
                </c:pt>
                <c:pt idx="2">
                  <c:v>TRANSFORMADOR 3D</c:v>
                </c:pt>
                <c:pt idx="3">
                  <c:v>CELDA</c:v>
                </c:pt>
                <c:pt idx="4">
                  <c:v>SUMINISTRO</c:v>
                </c:pt>
              </c:strCache>
            </c:strRef>
          </c:cat>
          <c:val>
            <c:numRef>
              <c:f>'17. Eventos'!$D$7:$D$11</c:f>
              <c:numCache>
                <c:formatCode>General</c:formatCode>
                <c:ptCount val="5"/>
                <c:pt idx="0">
                  <c:v>4</c:v>
                </c:pt>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Eventos'!$A$7:$A$11</c:f>
              <c:strCache>
                <c:ptCount val="5"/>
                <c:pt idx="0">
                  <c:v>LINEA DE TRANSMISION</c:v>
                </c:pt>
                <c:pt idx="1">
                  <c:v>TRANSFORMADOR 2D</c:v>
                </c:pt>
                <c:pt idx="2">
                  <c:v>TRANSFORMADOR 3D</c:v>
                </c:pt>
                <c:pt idx="3">
                  <c:v>CELDA</c:v>
                </c:pt>
                <c:pt idx="4">
                  <c:v>SUMINISTRO</c:v>
                </c:pt>
              </c:strCache>
            </c:strRef>
          </c:cat>
          <c:val>
            <c:numRef>
              <c:f>'17. Eventos'!$E$7:$E$11</c:f>
              <c:numCache>
                <c:formatCode>General</c:formatCode>
                <c:ptCount val="5"/>
                <c:pt idx="0">
                  <c:v>6</c:v>
                </c:pt>
                <c:pt idx="2">
                  <c:v>1</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Eventos'!$A$7:$A$11</c:f>
              <c:strCache>
                <c:ptCount val="5"/>
                <c:pt idx="0">
                  <c:v>LINEA DE TRANSMISION</c:v>
                </c:pt>
                <c:pt idx="1">
                  <c:v>TRANSFORMADOR 2D</c:v>
                </c:pt>
                <c:pt idx="2">
                  <c:v>TRANSFORMADOR 3D</c:v>
                </c:pt>
                <c:pt idx="3">
                  <c:v>CELDA</c:v>
                </c:pt>
                <c:pt idx="4">
                  <c:v>SUMINISTRO</c:v>
                </c:pt>
              </c:strCache>
            </c:strRef>
          </c:cat>
          <c:val>
            <c:numRef>
              <c:f>'17. Eventos'!$F$7:$F$11</c:f>
              <c:numCache>
                <c:formatCode>General</c:formatCode>
                <c:ptCount val="5"/>
                <c:pt idx="0">
                  <c:v>10</c:v>
                </c:pt>
                <c:pt idx="2">
                  <c:v>2</c:v>
                </c:pt>
                <c:pt idx="4">
                  <c:v>1</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Eventos'!$A$7:$A$11</c:f>
              <c:strCache>
                <c:ptCount val="5"/>
                <c:pt idx="0">
                  <c:v>LINEA DE TRANSMISION</c:v>
                </c:pt>
                <c:pt idx="1">
                  <c:v>TRANSFORMADOR 2D</c:v>
                </c:pt>
                <c:pt idx="2">
                  <c:v>TRANSFORMADOR 3D</c:v>
                </c:pt>
                <c:pt idx="3">
                  <c:v>CELDA</c:v>
                </c:pt>
                <c:pt idx="4">
                  <c:v>SUMINISTRO</c:v>
                </c:pt>
              </c:strCache>
            </c:strRef>
          </c:cat>
          <c:val>
            <c:numRef>
              <c:f>'17. Eventos'!$G$7:$G$11</c:f>
              <c:numCache>
                <c:formatCode>General</c:formatCode>
                <c:ptCount val="5"/>
                <c:pt idx="2">
                  <c:v>2</c:v>
                </c:pt>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Eventos'!$A$7:$A$11</c:f>
              <c:strCache>
                <c:ptCount val="5"/>
                <c:pt idx="0">
                  <c:v>LINEA DE TRANSMISION</c:v>
                </c:pt>
                <c:pt idx="1">
                  <c:v>TRANSFORMADOR 2D</c:v>
                </c:pt>
                <c:pt idx="2">
                  <c:v>TRANSFORMADOR 3D</c:v>
                </c:pt>
                <c:pt idx="3">
                  <c:v>CELDA</c:v>
                </c:pt>
                <c:pt idx="4">
                  <c:v>SUMINISTRO</c:v>
                </c:pt>
              </c:strCache>
            </c:strRef>
          </c:cat>
          <c:val>
            <c:numRef>
              <c:f>'17. Eventos'!$H$7:$H$11</c:f>
              <c:numCache>
                <c:formatCode>General</c:formatCode>
                <c:ptCount val="5"/>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5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600"/>
                </a:pPr>
                <a:r>
                  <a:rPr lang="en-US" sz="6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txPr>
          <a:bodyPr/>
          <a:lstStyle/>
          <a:p>
            <a:pPr>
              <a:defRPr sz="700"/>
            </a:pPr>
            <a:endParaRPr lang="es-PE"/>
          </a:p>
        </c:txPr>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67850531501697364"/>
          <c:h val="0.75611868754961753"/>
        </c:manualLayout>
      </c:layout>
      <c:barChart>
        <c:barDir val="bar"/>
        <c:grouping val="stacked"/>
        <c:varyColors val="0"/>
        <c:ser>
          <c:idx val="0"/>
          <c:order val="0"/>
          <c:tx>
            <c:strRef>
              <c:f>'2. Oferta de generación'!$B$41:$C$41</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generación'!$D$40:$E$40</c:f>
              <c:strCache>
                <c:ptCount val="2"/>
                <c:pt idx="0">
                  <c:v>SETIEMBRE 2018</c:v>
                </c:pt>
                <c:pt idx="1">
                  <c:v>SETIEMBRE 2017</c:v>
                </c:pt>
              </c:strCache>
            </c:strRef>
          </c:cat>
          <c:val>
            <c:numRef>
              <c:f>'2. Oferta de generación'!$D$41:$E$41</c:f>
              <c:numCache>
                <c:formatCode>#,##0.0</c:formatCode>
                <c:ptCount val="2"/>
                <c:pt idx="0">
                  <c:v>4967.6492474999995</c:v>
                </c:pt>
                <c:pt idx="1">
                  <c:v>4874.137248</c:v>
                </c:pt>
              </c:numCache>
            </c:numRef>
          </c:val>
          <c:extLst>
            <c:ext xmlns:c16="http://schemas.microsoft.com/office/drawing/2014/chart" uri="{C3380CC4-5D6E-409C-BE32-E72D297353CC}">
              <c16:uniqueId val="{00000004-54B0-402D-913D-0304413B844F}"/>
            </c:ext>
          </c:extLst>
        </c:ser>
        <c:ser>
          <c:idx val="1"/>
          <c:order val="1"/>
          <c:tx>
            <c:strRef>
              <c:f>'2. Oferta de generación'!$B$42:$C$42</c:f>
              <c:strCache>
                <c:ptCount val="2"/>
                <c:pt idx="0">
                  <c:v>TERMOELÉCTRICA</c:v>
                </c:pt>
              </c:strCache>
            </c:strRef>
          </c:tx>
          <c:spPr>
            <a:solidFill>
              <a:schemeClr val="accent2"/>
            </a:solidFill>
          </c:spPr>
          <c:invertIfNegative val="0"/>
          <c:cat>
            <c:strRef>
              <c:f>'2. Oferta de generación'!$D$40:$E$40</c:f>
              <c:strCache>
                <c:ptCount val="2"/>
                <c:pt idx="0">
                  <c:v>SETIEMBRE 2018</c:v>
                </c:pt>
                <c:pt idx="1">
                  <c:v>SETIEMBRE 2017</c:v>
                </c:pt>
              </c:strCache>
            </c:strRef>
          </c:cat>
          <c:val>
            <c:numRef>
              <c:f>'2. Oferta de generación'!$D$42:$E$42</c:f>
              <c:numCache>
                <c:formatCode>#,##0.0</c:formatCode>
                <c:ptCount val="2"/>
                <c:pt idx="0">
                  <c:v>7395.9645</c:v>
                </c:pt>
                <c:pt idx="1">
                  <c:v>7373.58</c:v>
                </c:pt>
              </c:numCache>
            </c:numRef>
          </c:val>
          <c:extLst>
            <c:ext xmlns:c16="http://schemas.microsoft.com/office/drawing/2014/chart" uri="{C3380CC4-5D6E-409C-BE32-E72D297353CC}">
              <c16:uniqueId val="{00000005-54B0-402D-913D-0304413B844F}"/>
            </c:ext>
          </c:extLst>
        </c:ser>
        <c:ser>
          <c:idx val="2"/>
          <c:order val="2"/>
          <c:tx>
            <c:strRef>
              <c:f>'2. Oferta de generación'!$B$43:$C$43</c:f>
              <c:strCache>
                <c:ptCount val="2"/>
                <c:pt idx="0">
                  <c:v>EÓLICA</c:v>
                </c:pt>
              </c:strCache>
            </c:strRef>
          </c:tx>
          <c:spPr>
            <a:solidFill>
              <a:srgbClr val="6DA6D9"/>
            </a:solidFill>
          </c:spPr>
          <c:invertIfNegative val="0"/>
          <c:cat>
            <c:strRef>
              <c:f>'2. Oferta de generación'!$D$40:$E$40</c:f>
              <c:strCache>
                <c:ptCount val="2"/>
                <c:pt idx="0">
                  <c:v>SETIEMBRE 2018</c:v>
                </c:pt>
                <c:pt idx="1">
                  <c:v>SETIEMBRE 2017</c:v>
                </c:pt>
              </c:strCache>
            </c:strRef>
          </c:cat>
          <c:val>
            <c:numRef>
              <c:f>'2. Oferta de generación'!$D$43:$E$43</c:f>
              <c:numCache>
                <c:formatCode>#,##0.0</c:formatCode>
                <c:ptCount val="2"/>
                <c:pt idx="0">
                  <c:v>375.46</c:v>
                </c:pt>
                <c:pt idx="1">
                  <c:v>96</c:v>
                </c:pt>
              </c:numCache>
            </c:numRef>
          </c:val>
          <c:extLst>
            <c:ext xmlns:c16="http://schemas.microsoft.com/office/drawing/2014/chart" uri="{C3380CC4-5D6E-409C-BE32-E72D297353CC}">
              <c16:uniqueId val="{00000006-54B0-402D-913D-0304413B844F}"/>
            </c:ext>
          </c:extLst>
        </c:ser>
        <c:ser>
          <c:idx val="3"/>
          <c:order val="3"/>
          <c:tx>
            <c:strRef>
              <c:f>'2. Oferta de generación'!$B$44:$C$44</c:f>
              <c:strCache>
                <c:ptCount val="2"/>
                <c:pt idx="0">
                  <c:v>SOLAR</c:v>
                </c:pt>
              </c:strCache>
            </c:strRef>
          </c:tx>
          <c:invertIfNegative val="0"/>
          <c:cat>
            <c:strRef>
              <c:f>'2. Oferta de generación'!$D$40:$E$40</c:f>
              <c:strCache>
                <c:ptCount val="2"/>
                <c:pt idx="0">
                  <c:v>SETIEMBRE 2018</c:v>
                </c:pt>
                <c:pt idx="1">
                  <c:v>SETIEMBRE 2017</c:v>
                </c:pt>
              </c:strCache>
            </c:strRef>
          </c:cat>
          <c:val>
            <c:numRef>
              <c:f>'2. Oferta de generación'!$D$44:$E$44</c:f>
              <c:numCache>
                <c:formatCode>#,##0.0</c:formatCode>
                <c:ptCount val="2"/>
                <c:pt idx="0">
                  <c:v>285.02</c:v>
                </c:pt>
                <c:pt idx="1">
                  <c:v>243.16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78598738032030491"/>
          <c:y val="0.33306767186314951"/>
          <c:w val="0.15376585619403896"/>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8581869765562986"/>
        </c:manualLayout>
      </c:layout>
      <c:barChart>
        <c:barDir val="col"/>
        <c:grouping val="clustered"/>
        <c:varyColors val="0"/>
        <c:ser>
          <c:idx val="0"/>
          <c:order val="0"/>
          <c:invertIfNegative val="0"/>
          <c:cat>
            <c:strRef>
              <c:f>'17. Eventos'!$A$7:$A$11</c:f>
              <c:strCache>
                <c:ptCount val="5"/>
                <c:pt idx="0">
                  <c:v>LINEA DE TRANSMISION</c:v>
                </c:pt>
                <c:pt idx="1">
                  <c:v>TRANSFORMADOR 2D</c:v>
                </c:pt>
                <c:pt idx="2">
                  <c:v>TRANSFORMADOR 3D</c:v>
                </c:pt>
                <c:pt idx="3">
                  <c:v>CELDA</c:v>
                </c:pt>
                <c:pt idx="4">
                  <c:v>SUMINISTRO</c:v>
                </c:pt>
              </c:strCache>
            </c:strRef>
          </c:cat>
          <c:val>
            <c:numRef>
              <c:f>'17. Eventos'!$J$7:$J$11</c:f>
              <c:numCache>
                <c:formatCode>#,##0.00</c:formatCode>
                <c:ptCount val="5"/>
                <c:pt idx="0">
                  <c:v>161.59000000000003</c:v>
                </c:pt>
                <c:pt idx="1">
                  <c:v>0.08</c:v>
                </c:pt>
                <c:pt idx="2">
                  <c:v>206.39999999999998</c:v>
                </c:pt>
                <c:pt idx="3">
                  <c:v>51</c:v>
                </c:pt>
                <c:pt idx="4">
                  <c:v>0.7</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6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generación'!$L$20:$L$24</c:f>
              <c:strCache>
                <c:ptCount val="5"/>
                <c:pt idx="0">
                  <c:v>Central Solar</c:v>
                </c:pt>
                <c:pt idx="1">
                  <c:v>Central Hidroeléctrica</c:v>
                </c:pt>
                <c:pt idx="2">
                  <c:v>Turbina de Vapor (*)</c:v>
                </c:pt>
                <c:pt idx="3">
                  <c:v>Central Eólica</c:v>
                </c:pt>
                <c:pt idx="4">
                  <c:v>Central a Biogás</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1"/>
            <c:invertIfNegative val="0"/>
            <c:bubble3D val="0"/>
            <c:spPr>
              <a:solidFill>
                <a:srgbClr val="0077A5"/>
              </a:solidFill>
              <a:ln>
                <a:noFill/>
              </a:ln>
              <a:effectLst/>
            </c:spPr>
            <c:extLst>
              <c:ext xmlns:c16="http://schemas.microsoft.com/office/drawing/2014/chart" uri="{C3380CC4-5D6E-409C-BE32-E72D297353CC}">
                <c16:uniqueId val="{00000006-062F-457A-90B8-0383FC90D336}"/>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D22-45F6-B9A6-5508A0BEF6F5}"/>
              </c:ext>
            </c:extLst>
          </c:dPt>
          <c:dPt>
            <c:idx val="4"/>
            <c:invertIfNegative val="0"/>
            <c:bubble3D val="0"/>
            <c:spPr>
              <a:solidFill>
                <a:srgbClr val="00B0F0"/>
              </a:solidFill>
              <a:ln>
                <a:noFill/>
              </a:ln>
              <a:effectLst/>
            </c:spPr>
            <c:extLst>
              <c:ext xmlns:c16="http://schemas.microsoft.com/office/drawing/2014/chart" uri="{C3380CC4-5D6E-409C-BE32-E72D297353CC}">
                <c16:uniqueId val="{00000008-17BC-4B09-A0A0-3DBF2EC3D019}"/>
              </c:ext>
            </c:extLst>
          </c:dPt>
          <c:dLbls>
            <c:delete val="1"/>
          </c:dLbls>
          <c:cat>
            <c:strRef>
              <c:f>'2. Oferta de generación'!$L$20:$L$24</c:f>
              <c:strCache>
                <c:ptCount val="5"/>
                <c:pt idx="0">
                  <c:v>Central Solar</c:v>
                </c:pt>
                <c:pt idx="1">
                  <c:v>Central Hidroeléctrica</c:v>
                </c:pt>
                <c:pt idx="2">
                  <c:v>Turbina de Vapor (*)</c:v>
                </c:pt>
                <c:pt idx="3">
                  <c:v>Central Eólica</c:v>
                </c:pt>
                <c:pt idx="4">
                  <c:v>Central a Biogás</c:v>
                </c:pt>
              </c:strCache>
            </c:strRef>
          </c:cat>
          <c:val>
            <c:numRef>
              <c:f>'2. Oferta de generación'!$M$20:$M$24</c:f>
              <c:numCache>
                <c:formatCode>#,##0.00</c:formatCode>
                <c:ptCount val="5"/>
                <c:pt idx="0">
                  <c:v>189.01999999999998</c:v>
                </c:pt>
                <c:pt idx="1">
                  <c:v>81.179999999999993</c:v>
                </c:pt>
                <c:pt idx="2">
                  <c:v>103.95113000000001</c:v>
                </c:pt>
                <c:pt idx="3" formatCode="General">
                  <c:v>132.30000000000001</c:v>
                </c:pt>
                <c:pt idx="4" formatCode="General">
                  <c:v>2.4</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17232.246292571806</c:v>
                </c:pt>
                <c:pt idx="1">
                  <c:v>17649.701186156955</c:v>
                </c:pt>
                <c:pt idx="2">
                  <c:v>749.73628240370476</c:v>
                </c:pt>
                <c:pt idx="3">
                  <c:v>173.42612891204161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20893.304815372703</c:v>
                </c:pt>
                <c:pt idx="1">
                  <c:v>14768.310769117192</c:v>
                </c:pt>
                <c:pt idx="2">
                  <c:v>765.53162926478979</c:v>
                </c:pt>
                <c:pt idx="3">
                  <c:v>160.64373730200052</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21956.429081425005</c:v>
                </c:pt>
                <c:pt idx="1">
                  <c:v>14148.390674712502</c:v>
                </c:pt>
                <c:pt idx="2">
                  <c:v>1064.91893714</c:v>
                </c:pt>
                <c:pt idx="3">
                  <c:v>516.96294117500008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ax val="22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21956.429081425005</c:v>
                </c:pt>
                <c:pt idx="1">
                  <c:v>13134.590879654999</c:v>
                </c:pt>
                <c:pt idx="2">
                  <c:v>424.75720211999999</c:v>
                </c:pt>
                <c:pt idx="3">
                  <c:v>334.13843624499998</c:v>
                </c:pt>
                <c:pt idx="4">
                  <c:v>0</c:v>
                </c:pt>
                <c:pt idx="5">
                  <c:v>43.120710160000002</c:v>
                </c:pt>
                <c:pt idx="6">
                  <c:v>5.2678937075000016</c:v>
                </c:pt>
                <c:pt idx="7">
                  <c:v>2.4329590024999996</c:v>
                </c:pt>
                <c:pt idx="8">
                  <c:v>104.10815407999999</c:v>
                </c:pt>
                <c:pt idx="9">
                  <c:v>66.387170037499999</c:v>
                </c:pt>
                <c:pt idx="10">
                  <c:v>33.587269704999997</c:v>
                </c:pt>
                <c:pt idx="11">
                  <c:v>516.96294117500008</c:v>
                </c:pt>
                <c:pt idx="12">
                  <c:v>1064.91893714</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20893.304815372703</c:v>
                </c:pt>
                <c:pt idx="1">
                  <c:v>12711.04542937821</c:v>
                </c:pt>
                <c:pt idx="2">
                  <c:v>359.50202991758681</c:v>
                </c:pt>
                <c:pt idx="3">
                  <c:v>93.662222908517805</c:v>
                </c:pt>
                <c:pt idx="4">
                  <c:v>9.7034091828799998</c:v>
                </c:pt>
                <c:pt idx="5">
                  <c:v>650.66309742779697</c:v>
                </c:pt>
                <c:pt idx="6">
                  <c:v>119.67878300010726</c:v>
                </c:pt>
                <c:pt idx="7">
                  <c:v>1.5090185460960002</c:v>
                </c:pt>
                <c:pt idx="8">
                  <c:v>730.52436019047695</c:v>
                </c:pt>
                <c:pt idx="9">
                  <c:v>62.207928659824432</c:v>
                </c:pt>
                <c:pt idx="10">
                  <c:v>29.814489905696625</c:v>
                </c:pt>
                <c:pt idx="11">
                  <c:v>160.64373730200052</c:v>
                </c:pt>
                <c:pt idx="12">
                  <c:v>765.53162926478979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17232.246292571806</c:v>
                </c:pt>
                <c:pt idx="1">
                  <c:v>15433.439633764816</c:v>
                </c:pt>
                <c:pt idx="2">
                  <c:v>470.01898185415217</c:v>
                </c:pt>
                <c:pt idx="3">
                  <c:v>323.0768771425507</c:v>
                </c:pt>
                <c:pt idx="4">
                  <c:v>90.266824207152155</c:v>
                </c:pt>
                <c:pt idx="5">
                  <c:v>582.02784516054737</c:v>
                </c:pt>
                <c:pt idx="6">
                  <c:v>170.64651117976175</c:v>
                </c:pt>
                <c:pt idx="7">
                  <c:v>3.1951939469593698</c:v>
                </c:pt>
                <c:pt idx="8">
                  <c:v>471.92522711161297</c:v>
                </c:pt>
                <c:pt idx="9">
                  <c:v>68.669420829330392</c:v>
                </c:pt>
                <c:pt idx="10">
                  <c:v>36.434670960075003</c:v>
                </c:pt>
                <c:pt idx="11">
                  <c:v>173.42612891204161</c:v>
                </c:pt>
                <c:pt idx="12">
                  <c:v>749.73628240370476</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22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627.22444221401224</c:v>
                </c:pt>
                <c:pt idx="1">
                  <c:v>749.73628240370476</c:v>
                </c:pt>
                <c:pt idx="2">
                  <c:v>173.42612891204161</c:v>
                </c:pt>
                <c:pt idx="3">
                  <c:v>68.669420829330392</c:v>
                </c:pt>
                <c:pt idx="4">
                  <c:v>36.434670960075003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768.31012750653929</c:v>
                </c:pt>
                <c:pt idx="1">
                  <c:v>765.53162926478979</c:v>
                </c:pt>
                <c:pt idx="2">
                  <c:v>160.64373730200052</c:v>
                </c:pt>
                <c:pt idx="3">
                  <c:v>62.207928659824432</c:v>
                </c:pt>
                <c:pt idx="4">
                  <c:v>29.814489905696625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904.28470140500019</c:v>
                </c:pt>
                <c:pt idx="1">
                  <c:v>1064.91893714</c:v>
                </c:pt>
                <c:pt idx="2">
                  <c:v>516.96294117500008</c:v>
                </c:pt>
                <c:pt idx="3">
                  <c:v>66.387170037499999</c:v>
                </c:pt>
                <c:pt idx="4">
                  <c:v>33.587269704999997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7851341358547358E-2"/>
                  <c:y val="2.836396364149052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7,309%</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3840.5387523075001</c:v>
                </c:pt>
                <c:pt idx="1">
                  <c:v>75.896690332499986</c:v>
                </c:pt>
                <c:pt idx="2">
                  <c:v>141.62182448750002</c:v>
                </c:pt>
                <c:pt idx="3">
                  <c:v>71.752520337500002</c:v>
                </c:pt>
                <c:pt idx="4">
                  <c:v>8.4465523725000011</c:v>
                </c:pt>
                <c:pt idx="5">
                  <c:v>5.1015065499999999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RER'!$L$6:$L$28</c:f>
              <c:strCache>
                <c:ptCount val="23"/>
                <c:pt idx="0">
                  <c:v>C.H. RENOVANDES H1</c:v>
                </c:pt>
                <c:pt idx="1">
                  <c:v>C.H. YARUCAYA</c:v>
                </c:pt>
                <c:pt idx="2">
                  <c:v>C.H. CARHUAQUERO IV</c:v>
                </c:pt>
                <c:pt idx="3">
                  <c:v>C.H. RUNATULLO III</c:v>
                </c:pt>
                <c:pt idx="4">
                  <c:v>C.H. LA JOYA</c:v>
                </c:pt>
                <c:pt idx="5">
                  <c:v>C.H. ÁNGEL II</c:v>
                </c:pt>
                <c:pt idx="6">
                  <c:v>C.H. ÁNGEL III</c:v>
                </c:pt>
                <c:pt idx="7">
                  <c:v>C.H. RUNATULLO II</c:v>
                </c:pt>
                <c:pt idx="8">
                  <c:v>C.H. ÁNGEL I</c:v>
                </c:pt>
                <c:pt idx="9">
                  <c:v>C.H. POECHOS II</c:v>
                </c:pt>
                <c:pt idx="10">
                  <c:v>C.H. CANCHAYLLO</c:v>
                </c:pt>
                <c:pt idx="11">
                  <c:v>C.H. IMPERIAL</c:v>
                </c:pt>
                <c:pt idx="12">
                  <c:v>C.H. LAS PIZARRAS</c:v>
                </c:pt>
                <c:pt idx="13">
                  <c:v>C.H. HUASAHUASI II</c:v>
                </c:pt>
                <c:pt idx="14">
                  <c:v>C.H. HUASAHUASI I</c:v>
                </c:pt>
                <c:pt idx="15">
                  <c:v>C.H. POTRERO</c:v>
                </c:pt>
                <c:pt idx="16">
                  <c:v>C.H. YANAPAMPA</c:v>
                </c:pt>
                <c:pt idx="17">
                  <c:v>C.H. SANTA CRUZ II</c:v>
                </c:pt>
                <c:pt idx="18">
                  <c:v>C.H. RONCADOR</c:v>
                </c:pt>
                <c:pt idx="19">
                  <c:v>C.H. SANTA CRUZ I</c:v>
                </c:pt>
                <c:pt idx="20">
                  <c:v>C.H. CAÑA BRAVA</c:v>
                </c:pt>
                <c:pt idx="21">
                  <c:v>C.H. HER 1</c:v>
                </c:pt>
                <c:pt idx="22">
                  <c:v>C.H. PURMACANA</c:v>
                </c:pt>
              </c:strCache>
            </c:strRef>
          </c:cat>
          <c:val>
            <c:numRef>
              <c:f>'6. FP RER'!$O$6:$O$28</c:f>
              <c:numCache>
                <c:formatCode>0.00</c:formatCode>
                <c:ptCount val="23"/>
                <c:pt idx="0">
                  <c:v>12.828282440000001</c:v>
                </c:pt>
                <c:pt idx="1">
                  <c:v>11.132157489999999</c:v>
                </c:pt>
                <c:pt idx="2">
                  <c:v>6.0806972775000006</c:v>
                </c:pt>
                <c:pt idx="3">
                  <c:v>5.1479017325000003</c:v>
                </c:pt>
                <c:pt idx="4">
                  <c:v>4.599406535</c:v>
                </c:pt>
                <c:pt idx="5">
                  <c:v>4.5104109724999999</c:v>
                </c:pt>
                <c:pt idx="6">
                  <c:v>4.4938710549999996</c:v>
                </c:pt>
                <c:pt idx="7">
                  <c:v>3.6050917924999997</c:v>
                </c:pt>
                <c:pt idx="8">
                  <c:v>3.4580596799999999</c:v>
                </c:pt>
                <c:pt idx="9">
                  <c:v>3.4331638524999999</c:v>
                </c:pt>
                <c:pt idx="10">
                  <c:v>2.7998043450000001</c:v>
                </c:pt>
                <c:pt idx="11">
                  <c:v>2.2961</c:v>
                </c:pt>
                <c:pt idx="12">
                  <c:v>1.7073725375</c:v>
                </c:pt>
                <c:pt idx="13">
                  <c:v>1.5718242574999999</c:v>
                </c:pt>
                <c:pt idx="14">
                  <c:v>1.3982985525</c:v>
                </c:pt>
                <c:pt idx="15">
                  <c:v>1.3720825024999999</c:v>
                </c:pt>
                <c:pt idx="16">
                  <c:v>1.288954275</c:v>
                </c:pt>
                <c:pt idx="17">
                  <c:v>1.1264236475</c:v>
                </c:pt>
                <c:pt idx="18">
                  <c:v>1.0513025</c:v>
                </c:pt>
                <c:pt idx="19">
                  <c:v>0.91080538750000006</c:v>
                </c:pt>
                <c:pt idx="20">
                  <c:v>0.67523039000000007</c:v>
                </c:pt>
                <c:pt idx="21">
                  <c:v>0.3037856625</c:v>
                </c:pt>
                <c:pt idx="22">
                  <c:v>0.10566344750000001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RER'!$L$6:$L$28</c:f>
              <c:strCache>
                <c:ptCount val="23"/>
                <c:pt idx="0">
                  <c:v>C.H. RENOVANDES H1</c:v>
                </c:pt>
                <c:pt idx="1">
                  <c:v>C.H. YARUCAYA</c:v>
                </c:pt>
                <c:pt idx="2">
                  <c:v>C.H. CARHUAQUERO IV</c:v>
                </c:pt>
                <c:pt idx="3">
                  <c:v>C.H. RUNATULLO III</c:v>
                </c:pt>
                <c:pt idx="4">
                  <c:v>C.H. LA JOYA</c:v>
                </c:pt>
                <c:pt idx="5">
                  <c:v>C.H. ÁNGEL II</c:v>
                </c:pt>
                <c:pt idx="6">
                  <c:v>C.H. ÁNGEL III</c:v>
                </c:pt>
                <c:pt idx="7">
                  <c:v>C.H. RUNATULLO II</c:v>
                </c:pt>
                <c:pt idx="8">
                  <c:v>C.H. ÁNGEL I</c:v>
                </c:pt>
                <c:pt idx="9">
                  <c:v>C.H. POECHOS II</c:v>
                </c:pt>
                <c:pt idx="10">
                  <c:v>C.H. CANCHAYLLO</c:v>
                </c:pt>
                <c:pt idx="11">
                  <c:v>C.H. IMPERIAL</c:v>
                </c:pt>
                <c:pt idx="12">
                  <c:v>C.H. LAS PIZARRAS</c:v>
                </c:pt>
                <c:pt idx="13">
                  <c:v>C.H. HUASAHUASI II</c:v>
                </c:pt>
                <c:pt idx="14">
                  <c:v>C.H. HUASAHUASI I</c:v>
                </c:pt>
                <c:pt idx="15">
                  <c:v>C.H. POTRERO</c:v>
                </c:pt>
                <c:pt idx="16">
                  <c:v>C.H. YANAPAMPA</c:v>
                </c:pt>
                <c:pt idx="17">
                  <c:v>C.H. SANTA CRUZ II</c:v>
                </c:pt>
                <c:pt idx="18">
                  <c:v>C.H. RONCADOR</c:v>
                </c:pt>
                <c:pt idx="19">
                  <c:v>C.H. SANTA CRUZ I</c:v>
                </c:pt>
                <c:pt idx="20">
                  <c:v>C.H. CAÑA BRAVA</c:v>
                </c:pt>
                <c:pt idx="21">
                  <c:v>C.H. HER 1</c:v>
                </c:pt>
                <c:pt idx="22">
                  <c:v>C.H. PURMACANA</c:v>
                </c:pt>
              </c:strCache>
            </c:strRef>
          </c:cat>
          <c:val>
            <c:numRef>
              <c:f>'6. FP RER'!$P$6:$P$28</c:f>
              <c:numCache>
                <c:formatCode>0.00</c:formatCode>
                <c:ptCount val="23"/>
                <c:pt idx="0">
                  <c:v>0.8908529472222223</c:v>
                </c:pt>
                <c:pt idx="1">
                  <c:v>1.0307553231481481</c:v>
                </c:pt>
                <c:pt idx="2">
                  <c:v>0.84597945361280846</c:v>
                </c:pt>
                <c:pt idx="3">
                  <c:v>0.35810194918166438</c:v>
                </c:pt>
                <c:pt idx="4">
                  <c:v>0.82479853220715882</c:v>
                </c:pt>
                <c:pt idx="5">
                  <c:v>0.31073708750137785</c:v>
                </c:pt>
                <c:pt idx="6">
                  <c:v>0.30959759803516312</c:v>
                </c:pt>
                <c:pt idx="7">
                  <c:v>0.25076736285009155</c:v>
                </c:pt>
                <c:pt idx="8">
                  <c:v>0.23823713624338622</c:v>
                </c:pt>
                <c:pt idx="9">
                  <c:v>0.49846154385032632</c:v>
                </c:pt>
                <c:pt idx="10">
                  <c:v>0.74939625088327877</c:v>
                </c:pt>
                <c:pt idx="11">
                  <c:v>0.80449742123556456</c:v>
                </c:pt>
                <c:pt idx="12">
                  <c:v>0.12351106781571279</c:v>
                </c:pt>
                <c:pt idx="13">
                  <c:v>0.21356772124122264</c:v>
                </c:pt>
                <c:pt idx="14">
                  <c:v>0.19716561653976314</c:v>
                </c:pt>
                <c:pt idx="15">
                  <c:v>9.5762318711613628E-2</c:v>
                </c:pt>
                <c:pt idx="16">
                  <c:v>0.45712928337176334</c:v>
                </c:pt>
                <c:pt idx="17">
                  <c:v>0.21073239334515684</c:v>
                </c:pt>
                <c:pt idx="18">
                  <c:v>0.41958113825031929</c:v>
                </c:pt>
                <c:pt idx="19">
                  <c:v>0.1818061918135799</c:v>
                </c:pt>
                <c:pt idx="20">
                  <c:v>0.1654003502841466</c:v>
                </c:pt>
                <c:pt idx="21">
                  <c:v>0.60274933035714295</c:v>
                </c:pt>
                <c:pt idx="22">
                  <c:v>8.5621229985090114E-2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11 de octubre de 2018</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a:solidFill>
                <a:srgbClr val="1F2532"/>
              </a:solidFill>
              <a:effectLst/>
              <a:ea typeface="Calibri" panose="020F0502020204030204" pitchFamily="34" charset="0"/>
              <a:cs typeface="Arial" panose="020B0604020202020204" pitchFamily="34" charset="0"/>
            </a:rPr>
            <a:t>Setiembre</a:t>
          </a:r>
          <a:r>
            <a:rPr lang="es-PE" sz="2800" b="1" baseline="0">
              <a:solidFill>
                <a:srgbClr val="1F2532"/>
              </a:solidFill>
              <a:effectLst/>
              <a:ea typeface="Calibri" panose="020F0502020204030204" pitchFamily="34" charset="0"/>
              <a:cs typeface="Arial" panose="020B0604020202020204" pitchFamily="34" charset="0"/>
            </a:rPr>
            <a:t> </a:t>
          </a:r>
          <a:r>
            <a:rPr lang="es-PE" sz="2800" b="1">
              <a:solidFill>
                <a:srgbClr val="1F2532"/>
              </a:solidFill>
              <a:effectLst/>
              <a:ea typeface="Calibri" panose="020F0502020204030204" pitchFamily="34" charset="0"/>
              <a:cs typeface="Arial" panose="020B0604020202020204" pitchFamily="34" charset="0"/>
            </a:rPr>
            <a:t>2018</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INFSGI-MES-09-2018</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(9.99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(10.08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(9.79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(10.12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(9.75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(9.95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(9.86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(10.18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(10.05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(9.8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(9.42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(9.39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506732</xdr:colOff>
      <xdr:row>48</xdr:row>
      <xdr:rowOff>89836</xdr:rowOff>
    </xdr:from>
    <xdr:to>
      <xdr:col>11</xdr:col>
      <xdr:colOff>364388</xdr:colOff>
      <xdr:row>51</xdr:row>
      <xdr:rowOff>17773</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299539" y="7138336"/>
          <a:ext cx="1039622" cy="391198"/>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(10.45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(9.31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(9.32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(9.38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(10.01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17</xdr:row>
      <xdr:rowOff>135639</xdr:rowOff>
    </xdr:from>
    <xdr:to>
      <xdr:col>7</xdr:col>
      <xdr:colOff>654327</xdr:colOff>
      <xdr:row>53</xdr:row>
      <xdr:rowOff>82826</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0.49298</cdr:x>
      <cdr:y>0.52474</cdr:y>
    </cdr:from>
    <cdr:to>
      <cdr:x>0.59458</cdr:x>
      <cdr:y>0.61061</cdr:y>
    </cdr:to>
    <cdr:sp macro="" textlink="">
      <cdr:nvSpPr>
        <cdr:cNvPr id="5" name="TextBox 1"/>
        <cdr:cNvSpPr txBox="1"/>
      </cdr:nvSpPr>
      <cdr:spPr>
        <a:xfrm xmlns:a="http://schemas.openxmlformats.org/drawingml/2006/main">
          <a:off x="3089804" y="3010309"/>
          <a:ext cx="636783"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300272</xdr:colOff>
      <xdr:row>16</xdr:row>
      <xdr:rowOff>57264</xdr:rowOff>
    </xdr:from>
    <xdr:to>
      <xdr:col>3</xdr:col>
      <xdr:colOff>256564</xdr:colOff>
      <xdr:row>31</xdr:row>
      <xdr:rowOff>114746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289770</xdr:colOff>
      <xdr:row>17</xdr:row>
      <xdr:rowOff>13082</xdr:rowOff>
    </xdr:from>
    <xdr:to>
      <xdr:col>9</xdr:col>
      <xdr:colOff>643958</xdr:colOff>
      <xdr:row>33</xdr:row>
      <xdr:rowOff>97971</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Asistente</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163474</xdr:colOff>
      <xdr:row>46</xdr:row>
      <xdr:rowOff>61560</xdr:rowOff>
    </xdr:from>
    <xdr:to>
      <xdr:col>9</xdr:col>
      <xdr:colOff>517071</xdr:colOff>
      <xdr:row>57</xdr:row>
      <xdr:rowOff>38100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22</xdr:row>
      <xdr:rowOff>70757</xdr:rowOff>
    </xdr:from>
    <xdr:to>
      <xdr:col>8</xdr:col>
      <xdr:colOff>429240</xdr:colOff>
      <xdr:row>33</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49891</xdr:colOff>
      <xdr:row>22</xdr:row>
      <xdr:rowOff>46561</xdr:rowOff>
    </xdr:from>
    <xdr:to>
      <xdr:col>1</xdr:col>
      <xdr:colOff>568389</xdr:colOff>
      <xdr:row>23</xdr:row>
      <xdr:rowOff>80234</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735691" y="4313761"/>
          <a:ext cx="518498" cy="17518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139212</xdr:colOff>
      <xdr:row>36</xdr:row>
      <xdr:rowOff>80597</xdr:rowOff>
    </xdr:from>
    <xdr:to>
      <xdr:col>10</xdr:col>
      <xdr:colOff>410308</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62</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B4F7-0D18-4727-8445-7BFD890D7197}">
  <sheetPr>
    <tabColor theme="4"/>
  </sheetPr>
  <dimension ref="A1:L66"/>
  <sheetViews>
    <sheetView showGridLines="0" tabSelected="1" view="pageBreakPreview" zoomScale="115" zoomScaleNormal="70" zoomScaleSheetLayoutView="115" zoomScalePageLayoutView="85" workbookViewId="0">
      <selection activeCell="O10" sqref="O10"/>
    </sheetView>
  </sheetViews>
  <sheetFormatPr defaultRowHeight="11.25"/>
  <cols>
    <col min="9" max="9" width="14.6640625" customWidth="1"/>
    <col min="12" max="12" width="20.5" customWidth="1"/>
  </cols>
  <sheetData>
    <row r="1" spans="1:12">
      <c r="A1" s="1"/>
      <c r="B1" s="1"/>
      <c r="C1" s="1"/>
      <c r="D1" s="1"/>
      <c r="E1" s="1"/>
      <c r="F1" s="1"/>
      <c r="G1" s="1"/>
      <c r="H1" s="1"/>
      <c r="I1" s="1"/>
      <c r="J1" s="1"/>
      <c r="K1" s="1"/>
      <c r="L1" s="1"/>
    </row>
    <row r="2" spans="1:12">
      <c r="A2" s="1"/>
      <c r="B2" s="1"/>
      <c r="C2" s="1"/>
      <c r="D2" s="1"/>
      <c r="E2" s="1"/>
      <c r="F2" s="1"/>
      <c r="G2" s="1"/>
      <c r="H2" s="1"/>
      <c r="I2" s="1"/>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c r="C5" s="1"/>
      <c r="D5" s="1"/>
      <c r="E5" s="1"/>
      <c r="F5" s="1"/>
      <c r="G5" s="1"/>
      <c r="H5" s="1"/>
      <c r="I5" s="1"/>
      <c r="J5" s="1"/>
      <c r="K5" s="1"/>
      <c r="L5" s="1"/>
    </row>
    <row r="6" spans="1:12">
      <c r="A6" s="1"/>
      <c r="B6" s="1"/>
      <c r="C6" s="1"/>
      <c r="D6" s="1"/>
      <c r="E6" s="1"/>
      <c r="F6" s="1"/>
      <c r="G6" s="1"/>
      <c r="H6" s="1"/>
      <c r="I6" s="1"/>
      <c r="J6" s="1"/>
      <c r="K6" s="1"/>
      <c r="L6" s="1"/>
    </row>
    <row r="7" spans="1:12">
      <c r="A7" s="1"/>
      <c r="B7" s="1"/>
      <c r="C7" s="1"/>
      <c r="D7" s="1"/>
      <c r="E7" s="1"/>
      <c r="F7" s="1"/>
      <c r="G7" s="1"/>
      <c r="H7" s="1"/>
      <c r="I7" s="1"/>
      <c r="J7" s="1"/>
      <c r="K7" s="1"/>
      <c r="L7" s="1"/>
    </row>
    <row r="8" spans="1:12">
      <c r="A8" s="1"/>
      <c r="B8" s="1"/>
      <c r="C8" s="1"/>
      <c r="D8" s="1"/>
      <c r="E8" s="1"/>
      <c r="F8" s="1"/>
      <c r="G8" s="1"/>
      <c r="H8" s="1"/>
      <c r="I8" s="1"/>
      <c r="J8" s="1"/>
      <c r="K8" s="1"/>
      <c r="L8" s="1"/>
    </row>
    <row r="9" spans="1:12">
      <c r="A9" s="1"/>
      <c r="B9" s="1"/>
      <c r="C9" s="1"/>
      <c r="D9" s="1"/>
      <c r="E9" s="1"/>
      <c r="F9" s="1"/>
      <c r="G9" s="1"/>
      <c r="H9" s="1"/>
      <c r="I9" s="1"/>
      <c r="J9" s="1"/>
      <c r="K9" s="1"/>
      <c r="L9" s="1"/>
    </row>
    <row r="10" spans="1:12">
      <c r="A10" s="1"/>
      <c r="B10" s="1"/>
      <c r="C10" s="1"/>
      <c r="D10" s="1"/>
      <c r="E10" s="1"/>
      <c r="F10" s="1"/>
      <c r="G10" s="1"/>
      <c r="H10" s="1"/>
      <c r="I10" s="1"/>
      <c r="J10" s="1"/>
      <c r="K10" s="1"/>
      <c r="L10" s="1"/>
    </row>
    <row r="11" spans="1:12" ht="15.75">
      <c r="A11" s="1"/>
      <c r="B11" s="1"/>
      <c r="C11" s="1"/>
      <c r="D11" s="1"/>
      <c r="E11" s="1"/>
      <c r="F11" s="1"/>
      <c r="H11" s="1"/>
      <c r="I11" s="766"/>
      <c r="J11" s="1"/>
      <c r="L11" s="1"/>
    </row>
    <row r="12" spans="1:12" ht="15.75">
      <c r="A12" s="1"/>
      <c r="B12" s="1"/>
      <c r="C12" s="1"/>
      <c r="D12" s="1"/>
      <c r="E12" s="1"/>
      <c r="F12" s="1"/>
      <c r="H12" s="1"/>
      <c r="I12" s="766"/>
      <c r="J12" s="1"/>
      <c r="L12" s="1"/>
    </row>
    <row r="13" spans="1:12" ht="15.75">
      <c r="A13" s="1"/>
      <c r="B13" s="1"/>
      <c r="C13" s="1"/>
      <c r="D13" s="1"/>
      <c r="E13" s="1"/>
      <c r="F13" s="1"/>
      <c r="H13" s="1"/>
      <c r="I13" s="766"/>
      <c r="J13" s="1"/>
      <c r="L13" s="1"/>
    </row>
    <row r="14" spans="1:12" ht="15.75">
      <c r="A14" s="1"/>
      <c r="B14" s="1"/>
      <c r="C14" s="1"/>
      <c r="D14" s="1"/>
      <c r="E14" s="1"/>
      <c r="F14" s="1"/>
      <c r="H14" s="1"/>
      <c r="I14" s="766"/>
      <c r="J14" s="1"/>
      <c r="L14" s="1"/>
    </row>
    <row r="15" spans="1:12" ht="15.75">
      <c r="A15" s="1"/>
      <c r="B15" s="1"/>
      <c r="C15" s="1"/>
      <c r="D15" s="1"/>
      <c r="E15" s="1"/>
      <c r="F15" s="1"/>
      <c r="H15" s="1"/>
      <c r="I15" s="766"/>
      <c r="J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row r="20" spans="1:12">
      <c r="A20" s="1"/>
      <c r="B20" s="1"/>
      <c r="C20" s="1"/>
      <c r="D20" s="1"/>
      <c r="E20" s="1"/>
      <c r="F20" s="1"/>
      <c r="G20" s="1"/>
      <c r="H20" s="1"/>
      <c r="I20" s="1"/>
      <c r="J20" s="1"/>
      <c r="K20" s="1"/>
      <c r="L20" s="1"/>
    </row>
    <row r="21" spans="1:12">
      <c r="A21" s="1"/>
      <c r="B21" s="1"/>
      <c r="C21" s="1"/>
      <c r="D21" s="1"/>
      <c r="E21" s="1"/>
      <c r="F21" s="1"/>
      <c r="G21" s="1"/>
      <c r="H21" s="1"/>
      <c r="I21" s="1"/>
      <c r="J21" s="1"/>
      <c r="K21" s="1"/>
      <c r="L21" s="1"/>
    </row>
    <row r="22" spans="1:12">
      <c r="A22" s="1"/>
      <c r="B22" s="1"/>
      <c r="C22" s="1"/>
      <c r="D22" s="1"/>
      <c r="E22" s="1"/>
      <c r="F22" s="1"/>
      <c r="G22" s="1"/>
      <c r="H22" s="1"/>
      <c r="I22" s="1"/>
      <c r="J22" s="1"/>
      <c r="K22" s="1"/>
      <c r="L22" s="1"/>
    </row>
    <row r="23" spans="1:12">
      <c r="A23" s="1"/>
      <c r="B23" s="1"/>
      <c r="C23" s="1"/>
      <c r="D23" s="1"/>
      <c r="E23" s="1"/>
      <c r="F23" s="1"/>
      <c r="G23" s="1"/>
      <c r="H23" s="1"/>
      <c r="I23" s="1"/>
      <c r="J23" s="1"/>
      <c r="K23" s="1"/>
      <c r="L23" s="1"/>
    </row>
    <row r="24" spans="1:12">
      <c r="A24" s="1"/>
      <c r="B24" s="1"/>
      <c r="C24" s="1"/>
      <c r="D24" s="1"/>
      <c r="E24" s="1"/>
      <c r="F24" s="1"/>
      <c r="G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A27" s="1"/>
      <c r="B27" s="1"/>
      <c r="C27" s="1"/>
      <c r="D27" s="1"/>
      <c r="E27" s="1"/>
      <c r="F27" s="1"/>
      <c r="G27" s="1"/>
      <c r="H27" s="1"/>
      <c r="I27" s="1"/>
      <c r="J27" s="1"/>
      <c r="K27" s="1"/>
      <c r="L27" s="1"/>
    </row>
    <row r="28" spans="1:12">
      <c r="A28" s="1"/>
      <c r="B28" s="1"/>
      <c r="C28" s="1"/>
      <c r="D28" s="1"/>
      <c r="E28" s="1"/>
      <c r="F28" s="1"/>
      <c r="G28" s="1"/>
      <c r="H28" s="1"/>
      <c r="I28" s="1"/>
      <c r="J28" s="1"/>
      <c r="K28" s="1"/>
      <c r="L28" s="1"/>
    </row>
    <row r="29" spans="1:12">
      <c r="A29" s="1"/>
      <c r="B29" s="1"/>
      <c r="C29" s="1"/>
      <c r="D29" s="1"/>
      <c r="E29" s="1"/>
      <c r="F29" s="1"/>
      <c r="G29" s="1"/>
      <c r="H29" s="1"/>
      <c r="I29" s="1"/>
      <c r="J29" s="1"/>
      <c r="K29" s="1"/>
      <c r="L29" s="1"/>
    </row>
    <row r="30" spans="1:12">
      <c r="A30" s="1"/>
      <c r="B30" s="1"/>
      <c r="C30" s="1"/>
      <c r="D30" s="1"/>
      <c r="E30" s="1"/>
      <c r="F30" s="1"/>
      <c r="G30" s="1"/>
      <c r="H30" s="1"/>
      <c r="I30" s="1"/>
      <c r="J30" s="1"/>
      <c r="K30" s="1"/>
      <c r="L30" s="1"/>
    </row>
    <row r="31" spans="1:12">
      <c r="A31" s="1"/>
      <c r="B31" s="1"/>
      <c r="C31" s="1"/>
      <c r="D31" s="1"/>
      <c r="E31" s="1"/>
      <c r="F31" s="1"/>
      <c r="G31" s="1"/>
      <c r="H31" s="1"/>
      <c r="I31" s="1"/>
      <c r="J31" s="1"/>
      <c r="K31" s="1"/>
      <c r="L31" s="1"/>
    </row>
    <row r="32" spans="1:12">
      <c r="A32" s="1"/>
      <c r="B32" s="1"/>
      <c r="C32" s="1"/>
      <c r="D32" s="1"/>
      <c r="E32" s="1"/>
      <c r="F32" s="1"/>
      <c r="G32" s="1"/>
      <c r="H32" s="1"/>
      <c r="I32" s="1"/>
      <c r="J32" s="1"/>
      <c r="K32" s="1"/>
      <c r="L32" s="1"/>
    </row>
    <row r="33" spans="1:12">
      <c r="A33" s="1"/>
      <c r="B33" s="1"/>
      <c r="C33" s="1"/>
      <c r="D33" s="1"/>
      <c r="E33" s="1"/>
      <c r="F33" s="1"/>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spans="1:12">
      <c r="A38" s="1"/>
      <c r="B38" s="1"/>
      <c r="C38" s="1"/>
      <c r="D38" s="1"/>
      <c r="E38" s="1"/>
      <c r="F38" s="1"/>
      <c r="G38" s="1"/>
      <c r="H38" s="1"/>
      <c r="I38" s="1"/>
      <c r="J38" s="1"/>
      <c r="K38" s="1"/>
      <c r="L38" s="1"/>
    </row>
    <row r="39" spans="1:12">
      <c r="A39" s="1"/>
      <c r="B39" s="1"/>
      <c r="C39" s="1"/>
      <c r="D39" s="1"/>
      <c r="E39" s="1"/>
      <c r="F39" s="1"/>
      <c r="G39" s="1"/>
      <c r="H39" s="1"/>
      <c r="I39" s="1"/>
      <c r="J39" s="1"/>
      <c r="K39" s="1"/>
      <c r="L39" s="1"/>
    </row>
    <row r="40" spans="1:12">
      <c r="A40" s="1"/>
      <c r="B40" s="1"/>
      <c r="C40" s="1"/>
      <c r="D40" s="1"/>
      <c r="E40" s="1"/>
      <c r="F40" s="1"/>
      <c r="G40" s="1"/>
      <c r="H40" s="1"/>
      <c r="I40" s="1"/>
      <c r="J40" s="1"/>
      <c r="K40" s="1"/>
      <c r="L40" s="1"/>
    </row>
    <row r="41" spans="1:12">
      <c r="A41" s="1"/>
      <c r="B41" s="1"/>
      <c r="C41" s="1"/>
      <c r="D41" s="1"/>
      <c r="E41" s="1"/>
      <c r="F41" s="1"/>
      <c r="G41" s="1"/>
      <c r="H41" s="1"/>
      <c r="I41" s="1"/>
      <c r="J41" s="1"/>
      <c r="K41" s="1"/>
      <c r="L41" s="1"/>
    </row>
    <row r="42" spans="1:12">
      <c r="A42" s="1"/>
      <c r="B42" s="1"/>
      <c r="C42" s="1"/>
      <c r="D42" s="1"/>
      <c r="E42" s="1"/>
      <c r="F42" s="1"/>
      <c r="G42" s="1"/>
      <c r="H42" s="1"/>
      <c r="I42" s="1"/>
      <c r="J42" s="1"/>
      <c r="K42" s="1"/>
      <c r="L42" s="1"/>
    </row>
    <row r="43" spans="1:12">
      <c r="A43" s="1"/>
      <c r="B43" s="1"/>
      <c r="C43" s="1"/>
      <c r="D43" s="1"/>
      <c r="E43" s="1"/>
      <c r="F43" s="1"/>
      <c r="G43" s="1"/>
      <c r="H43" s="1"/>
      <c r="I43" s="1"/>
      <c r="J43" s="1"/>
      <c r="K43" s="1"/>
      <c r="L43" s="1"/>
    </row>
    <row r="44" spans="1:12">
      <c r="A44" s="1"/>
      <c r="B44" s="1"/>
      <c r="C44" s="1"/>
      <c r="D44" s="1"/>
      <c r="E44" s="1"/>
      <c r="F44" s="1"/>
      <c r="G44" s="1"/>
      <c r="H44" s="1"/>
      <c r="I44" s="1"/>
      <c r="J44" s="1"/>
      <c r="K44" s="1"/>
      <c r="L44" s="1"/>
    </row>
    <row r="45" spans="1:12">
      <c r="A45" s="1"/>
      <c r="B45" s="1"/>
      <c r="C45" s="1"/>
      <c r="D45" s="1"/>
      <c r="E45" s="1"/>
      <c r="F45" s="1"/>
      <c r="G45" s="1"/>
      <c r="H45" s="1"/>
      <c r="I45" s="1"/>
      <c r="J45" s="1"/>
      <c r="K45" s="1"/>
      <c r="L45" s="1"/>
    </row>
    <row r="46" spans="1:12">
      <c r="A46" s="1"/>
      <c r="B46" s="1"/>
      <c r="C46" s="1"/>
      <c r="D46" s="1"/>
      <c r="E46" s="1"/>
      <c r="F46" s="1"/>
      <c r="G46" s="1"/>
      <c r="H46" s="1"/>
      <c r="I46" s="1"/>
      <c r="J46" s="1"/>
      <c r="K46" s="1"/>
      <c r="L46" s="1"/>
    </row>
    <row r="47" spans="1:12">
      <c r="A47" s="1"/>
      <c r="B47" s="1"/>
      <c r="C47" s="1"/>
      <c r="D47" s="1"/>
      <c r="E47" s="1"/>
      <c r="F47" s="1"/>
      <c r="G47" s="1"/>
      <c r="H47" s="1"/>
      <c r="I47" s="1"/>
      <c r="J47" s="1"/>
      <c r="K47" s="1"/>
      <c r="L47" s="1"/>
    </row>
    <row r="48" spans="1:12">
      <c r="A48" s="1"/>
      <c r="B48" s="1"/>
      <c r="C48" s="1"/>
      <c r="D48" s="1"/>
      <c r="E48" s="1"/>
      <c r="F48" s="1"/>
      <c r="G48" s="1"/>
      <c r="H48" s="1"/>
      <c r="I48" s="1"/>
      <c r="J48" s="1"/>
      <c r="K48" s="1"/>
      <c r="L48" s="1"/>
    </row>
    <row r="49" spans="1:12">
      <c r="A49" s="1"/>
      <c r="B49" s="1"/>
      <c r="C49" s="1"/>
      <c r="D49" s="1"/>
      <c r="E49" s="1"/>
      <c r="F49" s="1"/>
      <c r="G49" s="1"/>
      <c r="H49" s="1"/>
      <c r="I49" s="1"/>
      <c r="J49" s="1"/>
      <c r="K49" s="1"/>
      <c r="L49" s="1"/>
    </row>
    <row r="50" spans="1:12">
      <c r="A50" s="1"/>
      <c r="B50" s="1"/>
      <c r="C50" s="1"/>
      <c r="D50" s="1"/>
      <c r="E50" s="1"/>
      <c r="F50" s="1"/>
      <c r="G50" s="1"/>
      <c r="H50" s="1"/>
      <c r="I50" s="1"/>
      <c r="J50" s="1"/>
      <c r="K50" s="1"/>
      <c r="L50" s="1"/>
    </row>
    <row r="51" spans="1:12">
      <c r="A51" s="1"/>
      <c r="B51" s="1"/>
      <c r="C51" s="1"/>
      <c r="D51" s="1"/>
      <c r="E51" s="1"/>
      <c r="F51" s="1"/>
      <c r="G51" s="1"/>
      <c r="H51" s="1"/>
      <c r="I51" s="1"/>
      <c r="J51" s="1"/>
      <c r="K51" s="1"/>
      <c r="L51" s="1"/>
    </row>
    <row r="52" spans="1:12">
      <c r="A52" s="1"/>
      <c r="B52" s="1"/>
      <c r="C52" s="1"/>
      <c r="D52" s="1"/>
      <c r="E52" s="1"/>
      <c r="F52" s="1"/>
      <c r="G52" s="1"/>
      <c r="H52" s="1"/>
      <c r="I52" s="1"/>
      <c r="J52" s="1"/>
      <c r="K52" s="1"/>
      <c r="L52" s="1"/>
    </row>
    <row r="53" spans="1:12">
      <c r="A53" s="1"/>
      <c r="B53" s="1"/>
      <c r="C53" s="1"/>
      <c r="D53" s="1"/>
      <c r="E53" s="1"/>
      <c r="F53" s="1"/>
      <c r="G53" s="1"/>
      <c r="H53" s="1"/>
      <c r="I53" s="1"/>
      <c r="J53" s="1"/>
      <c r="K53" s="1"/>
      <c r="L53" s="1"/>
    </row>
    <row r="54" spans="1:12">
      <c r="A54" s="1"/>
      <c r="B54" s="1"/>
      <c r="C54" s="1"/>
      <c r="D54" s="1"/>
      <c r="E54" s="1"/>
      <c r="F54" s="1"/>
      <c r="G54" s="1"/>
      <c r="H54" s="1"/>
      <c r="I54" s="1"/>
      <c r="J54" s="1"/>
      <c r="K54" s="1"/>
      <c r="L54" s="1"/>
    </row>
    <row r="55" spans="1:12">
      <c r="A55" s="1"/>
      <c r="B55" s="1"/>
      <c r="C55" s="1"/>
      <c r="D55" s="1"/>
      <c r="E55" s="1"/>
      <c r="F55" s="1"/>
      <c r="G55" s="1"/>
      <c r="H55" s="1"/>
      <c r="I55" s="1"/>
      <c r="J55" s="1"/>
      <c r="K55" s="1"/>
      <c r="L55" s="1"/>
    </row>
    <row r="56" spans="1:12">
      <c r="A56" s="1"/>
      <c r="B56" s="1"/>
      <c r="C56" s="1"/>
      <c r="D56" s="1"/>
      <c r="E56" s="1"/>
      <c r="F56" s="1"/>
      <c r="G56" s="1"/>
      <c r="H56" s="1"/>
      <c r="I56" s="1"/>
      <c r="J56" s="1"/>
      <c r="K56" s="1"/>
      <c r="L56" s="1"/>
    </row>
    <row r="57" spans="1:12">
      <c r="A57" s="1"/>
      <c r="B57" s="1"/>
      <c r="C57" s="1"/>
      <c r="D57" s="1"/>
      <c r="E57" s="1"/>
      <c r="F57" s="1"/>
      <c r="G57" s="1"/>
      <c r="H57" s="1"/>
      <c r="I57" s="1"/>
      <c r="J57" s="1"/>
      <c r="K57" s="1"/>
      <c r="L57" s="1"/>
    </row>
    <row r="58" spans="1:12">
      <c r="A58" s="1"/>
      <c r="B58" s="1"/>
      <c r="C58" s="1"/>
      <c r="D58" s="1"/>
      <c r="E58" s="1"/>
      <c r="F58" s="1"/>
      <c r="G58" s="1"/>
      <c r="H58" s="1"/>
      <c r="I58" s="1"/>
      <c r="J58" s="1"/>
      <c r="K58" s="1"/>
      <c r="L58" s="1"/>
    </row>
    <row r="59" spans="1:12">
      <c r="A59" s="1"/>
      <c r="B59" s="1"/>
      <c r="C59" s="1"/>
      <c r="D59" s="1"/>
      <c r="E59" s="1"/>
      <c r="F59" s="1"/>
      <c r="G59" s="1"/>
      <c r="H59" s="1"/>
      <c r="I59" s="1"/>
      <c r="J59" s="1"/>
      <c r="K59" s="1"/>
      <c r="L59" s="1"/>
    </row>
    <row r="60" spans="1:12">
      <c r="A60" s="1"/>
      <c r="B60" s="1"/>
      <c r="C60" s="1"/>
      <c r="D60" s="1"/>
      <c r="E60" s="1"/>
      <c r="F60" s="1"/>
      <c r="G60" s="1"/>
      <c r="H60" s="1"/>
      <c r="I60" s="1"/>
      <c r="J60" s="1"/>
      <c r="K60" s="1"/>
      <c r="L60" s="1"/>
    </row>
    <row r="61" spans="1:12">
      <c r="A61" s="1"/>
      <c r="B61" s="1"/>
      <c r="C61" s="1"/>
      <c r="D61" s="1"/>
      <c r="E61" s="1"/>
      <c r="F61" s="1"/>
      <c r="G61" s="1"/>
      <c r="H61" s="1"/>
      <c r="I61" s="1"/>
      <c r="J61" s="1"/>
      <c r="K61" s="1"/>
      <c r="L61" s="1"/>
    </row>
    <row r="62" spans="1:12">
      <c r="A62" s="1"/>
      <c r="B62" s="1"/>
      <c r="C62" s="1"/>
      <c r="D62" s="1"/>
      <c r="E62" s="1"/>
      <c r="F62" s="1"/>
      <c r="G62" s="1"/>
      <c r="H62" s="1"/>
      <c r="I62" s="1"/>
      <c r="J62" s="1"/>
      <c r="K62" s="1"/>
      <c r="L62" s="1"/>
    </row>
    <row r="63" spans="1:12">
      <c r="A63" s="1"/>
      <c r="B63" s="1"/>
      <c r="C63" s="1"/>
      <c r="D63" s="1"/>
      <c r="E63" s="1"/>
      <c r="F63" s="1"/>
      <c r="G63" s="1"/>
      <c r="H63" s="1"/>
      <c r="I63" s="1"/>
      <c r="J63" s="1"/>
      <c r="K63" s="1"/>
      <c r="L63" s="1"/>
    </row>
    <row r="64" spans="1:12">
      <c r="A64" s="1"/>
      <c r="B64" s="1"/>
      <c r="C64" s="1"/>
      <c r="D64" s="1"/>
      <c r="E64" s="1"/>
      <c r="F64" s="1"/>
      <c r="G64" s="1"/>
      <c r="H64" s="1"/>
      <c r="I64" s="1"/>
      <c r="J64" s="1"/>
      <c r="K64" s="1"/>
      <c r="L64" s="1"/>
    </row>
    <row r="65" spans="1:12">
      <c r="A65" s="1"/>
      <c r="B65" s="1"/>
      <c r="C65" s="1"/>
      <c r="D65" s="1"/>
      <c r="E65" s="1"/>
      <c r="F65" s="1"/>
      <c r="G65" s="1"/>
      <c r="H65" s="1"/>
      <c r="I65" s="1"/>
      <c r="J65" s="1"/>
      <c r="K65" s="1"/>
      <c r="L65" s="1"/>
    </row>
    <row r="66" spans="1:12">
      <c r="A66" s="1"/>
      <c r="B66" s="1"/>
      <c r="C66" s="1"/>
      <c r="D66" s="1"/>
      <c r="E66" s="1"/>
      <c r="F66" s="1"/>
      <c r="G66" s="1"/>
      <c r="H66" s="1"/>
      <c r="I66" s="1"/>
      <c r="J66" s="1"/>
      <c r="K66" s="1"/>
      <c r="L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15" zoomScaleNormal="100" zoomScaleSheetLayoutView="115" zoomScalePageLayoutView="145" workbookViewId="0">
      <selection activeCell="M27" sqref="M27"/>
    </sheetView>
  </sheetViews>
  <sheetFormatPr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1" width="10.6640625" style="3" customWidth="1"/>
    <col min="12" max="16384" width="9.33203125" style="3"/>
  </cols>
  <sheetData>
    <row r="1" spans="1:12" ht="11.25" customHeight="1"/>
    <row r="2" spans="1:12" ht="11.25" customHeight="1">
      <c r="A2" s="936" t="s">
        <v>280</v>
      </c>
      <c r="B2" s="936"/>
      <c r="C2" s="936"/>
      <c r="D2" s="936"/>
      <c r="E2" s="936"/>
      <c r="F2" s="936"/>
      <c r="G2" s="936"/>
      <c r="H2" s="936"/>
      <c r="I2" s="936"/>
      <c r="J2" s="936"/>
      <c r="K2" s="936"/>
    </row>
    <row r="3" spans="1:12" ht="11.25" customHeight="1">
      <c r="A3" s="84"/>
      <c r="B3" s="84"/>
      <c r="C3" s="84"/>
      <c r="D3" s="84"/>
      <c r="E3" s="84"/>
      <c r="F3" s="84"/>
      <c r="G3" s="84"/>
      <c r="H3" s="84"/>
      <c r="I3" s="84"/>
      <c r="J3" s="84"/>
      <c r="K3" s="84"/>
      <c r="L3" s="45"/>
    </row>
    <row r="4" spans="1:12" ht="11.25" customHeight="1">
      <c r="A4" s="937" t="s">
        <v>486</v>
      </c>
      <c r="B4" s="937"/>
      <c r="C4" s="937"/>
      <c r="D4" s="937"/>
      <c r="E4" s="937"/>
      <c r="F4" s="937"/>
      <c r="G4" s="937"/>
      <c r="H4" s="937"/>
      <c r="I4" s="937"/>
      <c r="J4" s="937"/>
      <c r="K4" s="937"/>
      <c r="L4" s="45"/>
    </row>
    <row r="5" spans="1:12" ht="11.25" customHeight="1">
      <c r="A5" s="84"/>
      <c r="B5" s="85"/>
      <c r="C5" s="86"/>
      <c r="D5" s="87"/>
      <c r="E5" s="87"/>
      <c r="F5" s="87"/>
      <c r="G5" s="87"/>
      <c r="H5" s="88"/>
      <c r="I5" s="83"/>
      <c r="J5" s="83"/>
      <c r="K5" s="89"/>
      <c r="L5" s="10"/>
    </row>
    <row r="6" spans="1:12" ht="12.75" customHeight="1">
      <c r="A6" s="919" t="s">
        <v>229</v>
      </c>
      <c r="B6" s="916" t="s">
        <v>283</v>
      </c>
      <c r="C6" s="917"/>
      <c r="D6" s="917"/>
      <c r="E6" s="917" t="s">
        <v>34</v>
      </c>
      <c r="F6" s="917"/>
      <c r="G6" s="918" t="s">
        <v>282</v>
      </c>
      <c r="H6" s="918"/>
      <c r="I6" s="918"/>
      <c r="J6" s="918"/>
      <c r="K6" s="918"/>
      <c r="L6" s="20"/>
    </row>
    <row r="7" spans="1:12" ht="12.75" customHeight="1">
      <c r="A7" s="919"/>
      <c r="B7" s="790">
        <f>+'5. RER'!B5</f>
        <v>43286</v>
      </c>
      <c r="C7" s="790">
        <f>+'5. RER'!C5</f>
        <v>43316</v>
      </c>
      <c r="D7" s="790">
        <f>+'5. RER'!D5</f>
        <v>43344</v>
      </c>
      <c r="E7" s="790">
        <f>+'5. RER'!E5</f>
        <v>42979</v>
      </c>
      <c r="F7" s="938" t="s">
        <v>130</v>
      </c>
      <c r="G7" s="791">
        <v>2018</v>
      </c>
      <c r="H7" s="791">
        <v>2017</v>
      </c>
      <c r="I7" s="938" t="s">
        <v>43</v>
      </c>
      <c r="J7" s="791">
        <v>2016</v>
      </c>
      <c r="K7" s="938" t="s">
        <v>36</v>
      </c>
      <c r="L7" s="17"/>
    </row>
    <row r="8" spans="1:12" ht="12.75" customHeight="1">
      <c r="A8" s="919"/>
      <c r="B8" s="792">
        <v>43294.791666666664</v>
      </c>
      <c r="C8" s="792">
        <v>43340.833333333336</v>
      </c>
      <c r="D8" s="792">
        <v>43369.875</v>
      </c>
      <c r="E8" s="792">
        <v>42998.78125</v>
      </c>
      <c r="F8" s="939"/>
      <c r="G8" s="793">
        <v>43214.78125</v>
      </c>
      <c r="H8" s="793">
        <v>42801.8125</v>
      </c>
      <c r="I8" s="939"/>
      <c r="J8" s="793">
        <v>42459.791666666664</v>
      </c>
      <c r="K8" s="939"/>
      <c r="L8" s="19"/>
    </row>
    <row r="9" spans="1:12" ht="12.75" customHeight="1">
      <c r="A9" s="919"/>
      <c r="B9" s="794">
        <v>43294.791666666664</v>
      </c>
      <c r="C9" s="794">
        <v>43340.833333333336</v>
      </c>
      <c r="D9" s="794">
        <v>43369.875</v>
      </c>
      <c r="E9" s="794">
        <v>42998.78125</v>
      </c>
      <c r="F9" s="939"/>
      <c r="G9" s="794">
        <v>43214.78125</v>
      </c>
      <c r="H9" s="795">
        <v>42801.8125</v>
      </c>
      <c r="I9" s="939"/>
      <c r="J9" s="796">
        <v>42459.791666666664</v>
      </c>
      <c r="K9" s="939"/>
      <c r="L9" s="18"/>
    </row>
    <row r="10" spans="1:12" ht="12.75" customHeight="1">
      <c r="A10" s="360" t="s">
        <v>37</v>
      </c>
      <c r="B10" s="445">
        <v>3444.4161900000004</v>
      </c>
      <c r="C10" s="446">
        <v>3192.9275000000002</v>
      </c>
      <c r="D10" s="447">
        <v>3169.9376999999999</v>
      </c>
      <c r="E10" s="445">
        <v>3523.989329999999</v>
      </c>
      <c r="F10" s="361">
        <f>+IF(E10=0,"",D10/E10-1)</f>
        <v>-0.10046898467765764</v>
      </c>
      <c r="G10" s="445">
        <v>4457.8647499999988</v>
      </c>
      <c r="H10" s="446">
        <v>4181.7234999999982</v>
      </c>
      <c r="I10" s="361">
        <f>+IF(H10=0,"",G10/H10-1)</f>
        <v>6.6035272298611059E-2</v>
      </c>
      <c r="J10" s="445">
        <v>3527.2958100000001</v>
      </c>
      <c r="K10" s="361">
        <f t="shared" ref="K10:K18" si="0">+IF(J10=0,"",H10/J10-1)</f>
        <v>0.18553240931613213</v>
      </c>
      <c r="L10" s="18"/>
    </row>
    <row r="11" spans="1:12" ht="12.75" customHeight="1">
      <c r="A11" s="187" t="s">
        <v>38</v>
      </c>
      <c r="B11" s="448">
        <v>2790.9961800000005</v>
      </c>
      <c r="C11" s="335">
        <v>3171.9691700000003</v>
      </c>
      <c r="D11" s="449">
        <v>3252.8665200000005</v>
      </c>
      <c r="E11" s="448">
        <v>2583.4453899999999</v>
      </c>
      <c r="F11" s="177">
        <f>+IF(E11=0,"",D11/E11-1)</f>
        <v>0.25911952023108209</v>
      </c>
      <c r="G11" s="448">
        <v>1943.7948299999998</v>
      </c>
      <c r="H11" s="335">
        <v>2286.1302900000001</v>
      </c>
      <c r="I11" s="177">
        <f>+IF(H11=0,"",G11/H11-1)</f>
        <v>-0.14974450996841493</v>
      </c>
      <c r="J11" s="448">
        <v>2770.9643299999998</v>
      </c>
      <c r="K11" s="177">
        <f t="shared" si="0"/>
        <v>-0.1749694266183498</v>
      </c>
      <c r="L11" s="18"/>
    </row>
    <row r="12" spans="1:12" ht="12.75" customHeight="1">
      <c r="A12" s="188" t="s">
        <v>39</v>
      </c>
      <c r="B12" s="450">
        <v>185.59888999999998</v>
      </c>
      <c r="C12" s="336">
        <v>154.37610000000001</v>
      </c>
      <c r="D12" s="451">
        <v>131.39075</v>
      </c>
      <c r="E12" s="450">
        <v>234.05815000000001</v>
      </c>
      <c r="F12" s="178">
        <f>+IF(E12=0,"",D12/E12-1)</f>
        <v>-0.43864056859374478</v>
      </c>
      <c r="G12" s="450">
        <v>309.01528000000002</v>
      </c>
      <c r="H12" s="336">
        <v>91.209550000000007</v>
      </c>
      <c r="I12" s="178">
        <f>+IF(H12=0,"",G12/H12-1)</f>
        <v>2.3879706675452295</v>
      </c>
      <c r="J12" s="450">
        <v>146.64738</v>
      </c>
      <c r="K12" s="178">
        <f t="shared" si="0"/>
        <v>-0.37803491613692652</v>
      </c>
      <c r="L12" s="17"/>
    </row>
    <row r="13" spans="1:12" ht="12.75" customHeight="1">
      <c r="A13" s="189" t="s">
        <v>30</v>
      </c>
      <c r="B13" s="452">
        <v>0</v>
      </c>
      <c r="C13" s="453">
        <v>0</v>
      </c>
      <c r="D13" s="454">
        <v>0</v>
      </c>
      <c r="E13" s="452">
        <v>0</v>
      </c>
      <c r="F13" s="179" t="str">
        <f>+IF(E13=0,"",D13/E13-1)</f>
        <v/>
      </c>
      <c r="G13" s="452">
        <v>0</v>
      </c>
      <c r="H13" s="453">
        <v>0</v>
      </c>
      <c r="I13" s="179" t="str">
        <f>+IF(H13=0,"",G13/H13-1)</f>
        <v/>
      </c>
      <c r="J13" s="452">
        <v>0</v>
      </c>
      <c r="K13" s="179" t="str">
        <f t="shared" si="0"/>
        <v/>
      </c>
      <c r="L13" s="19"/>
    </row>
    <row r="14" spans="1:12" ht="12.75" customHeight="1">
      <c r="A14" s="190" t="s">
        <v>44</v>
      </c>
      <c r="B14" s="455">
        <f>+SUM(B10:B13)</f>
        <v>6421.0112600000011</v>
      </c>
      <c r="C14" s="456">
        <f>+SUM(C10:C13)</f>
        <v>6519.2727700000005</v>
      </c>
      <c r="D14" s="457">
        <f>+SUM(D10:D13)</f>
        <v>6554.1949699999996</v>
      </c>
      <c r="E14" s="455">
        <f>+SUM(E10:E13)</f>
        <v>6341.4928699999991</v>
      </c>
      <c r="F14" s="180">
        <f>+IF(E14=0,"",D14/E14-1)</f>
        <v>3.3541329204396009E-2</v>
      </c>
      <c r="G14" s="455">
        <f>+SUM(G10:G13)</f>
        <v>6710.6748599999983</v>
      </c>
      <c r="H14" s="456">
        <f>+SUM(H10:H13)</f>
        <v>6559.0633399999979</v>
      </c>
      <c r="I14" s="180">
        <f>+IF(H14=0,"",G14/H14-1)</f>
        <v>2.3114812609813962E-2</v>
      </c>
      <c r="J14" s="455">
        <f>+SUM(J10:J13)</f>
        <v>6444.9075200000007</v>
      </c>
      <c r="K14" s="180">
        <f t="shared" si="0"/>
        <v>1.7712561374348068E-2</v>
      </c>
      <c r="L14" s="18"/>
    </row>
    <row r="15" spans="1:12" ht="6.75" customHeight="1">
      <c r="A15" s="339"/>
      <c r="B15" s="339"/>
      <c r="C15" s="339"/>
      <c r="D15" s="339"/>
      <c r="E15" s="339"/>
      <c r="F15" s="339"/>
      <c r="G15" s="339"/>
      <c r="H15" s="339"/>
      <c r="I15" s="339"/>
      <c r="J15" s="339"/>
      <c r="K15" s="339"/>
      <c r="L15" s="18"/>
    </row>
    <row r="16" spans="1:12" ht="12.75" customHeight="1">
      <c r="A16" s="362" t="s">
        <v>40</v>
      </c>
      <c r="B16" s="363">
        <v>41.844000000000001</v>
      </c>
      <c r="C16" s="364">
        <v>0</v>
      </c>
      <c r="D16" s="365">
        <v>0</v>
      </c>
      <c r="E16" s="363">
        <v>0</v>
      </c>
      <c r="F16" s="366" t="str">
        <f>+IF(E16=0,"",D16/E16-1)</f>
        <v/>
      </c>
      <c r="G16" s="363">
        <v>0</v>
      </c>
      <c r="H16" s="364">
        <v>36.515999999999998</v>
      </c>
      <c r="I16" s="366">
        <f>+IF(H16=0,"",G16/H16-1)</f>
        <v>-1</v>
      </c>
      <c r="J16" s="363">
        <v>0</v>
      </c>
      <c r="K16" s="366" t="str">
        <f t="shared" si="0"/>
        <v/>
      </c>
      <c r="L16" s="20"/>
    </row>
    <row r="17" spans="1:12" ht="12.75" customHeight="1">
      <c r="A17" s="367" t="s">
        <v>41</v>
      </c>
      <c r="B17" s="337">
        <v>0</v>
      </c>
      <c r="C17" s="319">
        <v>0</v>
      </c>
      <c r="D17" s="338">
        <v>0</v>
      </c>
      <c r="E17" s="337">
        <v>0</v>
      </c>
      <c r="F17" s="164" t="str">
        <f>+IF(E17=0,"",D17/E17-1)</f>
        <v/>
      </c>
      <c r="G17" s="337">
        <v>0</v>
      </c>
      <c r="H17" s="319">
        <v>0</v>
      </c>
      <c r="I17" s="164" t="str">
        <f>+IF(H17=0,"",G17/H17-1)</f>
        <v/>
      </c>
      <c r="J17" s="337">
        <v>0</v>
      </c>
      <c r="K17" s="164" t="str">
        <f t="shared" si="0"/>
        <v/>
      </c>
      <c r="L17" s="20"/>
    </row>
    <row r="18" spans="1:12" ht="24" customHeight="1">
      <c r="A18" s="368" t="s">
        <v>42</v>
      </c>
      <c r="B18" s="369">
        <f>+B17-B16</f>
        <v>-41.844000000000001</v>
      </c>
      <c r="C18" s="370">
        <f>+C17-C16</f>
        <v>0</v>
      </c>
      <c r="D18" s="371">
        <f>+D17-D16</f>
        <v>0</v>
      </c>
      <c r="E18" s="369">
        <f>+E17-E16</f>
        <v>0</v>
      </c>
      <c r="F18" s="372"/>
      <c r="G18" s="369">
        <f>+G17-G16</f>
        <v>0</v>
      </c>
      <c r="H18" s="370">
        <f>+H17-H16</f>
        <v>-36.515999999999998</v>
      </c>
      <c r="I18" s="372">
        <f>+IF(H18=0,"",G18/H18-1)</f>
        <v>-1</v>
      </c>
      <c r="J18" s="369">
        <f>+J17-J16</f>
        <v>0</v>
      </c>
      <c r="K18" s="372" t="str">
        <f t="shared" si="0"/>
        <v/>
      </c>
      <c r="L18" s="20"/>
    </row>
    <row r="19" spans="1:12" ht="6" customHeight="1">
      <c r="A19" s="29"/>
      <c r="B19" s="29"/>
      <c r="C19" s="29"/>
      <c r="D19" s="29"/>
      <c r="E19" s="29"/>
      <c r="F19" s="29"/>
      <c r="G19" s="29"/>
      <c r="H19" s="29"/>
      <c r="I19" s="29"/>
      <c r="J19" s="29"/>
      <c r="K19" s="29"/>
      <c r="L19" s="20"/>
    </row>
    <row r="20" spans="1:12" ht="24" customHeight="1">
      <c r="A20" s="373" t="s">
        <v>281</v>
      </c>
      <c r="B20" s="458">
        <f t="shared" ref="B20:E20" si="1">+B14-B18</f>
        <v>6462.8552600000012</v>
      </c>
      <c r="C20" s="459">
        <f t="shared" si="1"/>
        <v>6519.2727700000005</v>
      </c>
      <c r="D20" s="460">
        <f t="shared" si="1"/>
        <v>6554.1949699999996</v>
      </c>
      <c r="E20" s="458">
        <f t="shared" si="1"/>
        <v>6341.4928699999991</v>
      </c>
      <c r="F20" s="374">
        <f>+IF(E20=0,"",D20/E20-1)</f>
        <v>3.3541329204396009E-2</v>
      </c>
      <c r="G20" s="458">
        <f>+G14-G18</f>
        <v>6710.6748599999983</v>
      </c>
      <c r="H20" s="458">
        <f>+H14-H18</f>
        <v>6595.5793399999975</v>
      </c>
      <c r="I20" s="374">
        <f>+IF(H20=0,"",G20/H20-1)</f>
        <v>1.7450403378818313E-2</v>
      </c>
      <c r="J20" s="458">
        <f>+J14-J18</f>
        <v>6444.9075200000007</v>
      </c>
      <c r="K20" s="620">
        <f>+IF(J20=0,"",H20/J20-1)</f>
        <v>2.3378430106627324E-2</v>
      </c>
      <c r="L20" s="20"/>
    </row>
    <row r="21" spans="1:12" ht="11.25" customHeight="1">
      <c r="A21" s="357" t="s">
        <v>515</v>
      </c>
      <c r="B21" s="159"/>
      <c r="C21" s="159"/>
      <c r="D21" s="159"/>
      <c r="E21" s="159"/>
      <c r="F21" s="159"/>
      <c r="G21" s="159"/>
      <c r="H21" s="159"/>
      <c r="I21" s="159"/>
      <c r="J21" s="159"/>
      <c r="K21" s="159"/>
      <c r="L21" s="22"/>
    </row>
    <row r="22" spans="1:12" ht="17.25" customHeight="1">
      <c r="A22" s="934" t="s">
        <v>508</v>
      </c>
      <c r="B22" s="934"/>
      <c r="C22" s="934"/>
      <c r="D22" s="934"/>
      <c r="E22" s="934"/>
      <c r="F22" s="934"/>
      <c r="G22" s="934"/>
      <c r="H22" s="934"/>
      <c r="I22" s="934"/>
      <c r="J22" s="934"/>
      <c r="K22" s="934"/>
      <c r="L22" s="20"/>
    </row>
    <row r="23" spans="1:12" ht="11.25" customHeight="1">
      <c r="A23" s="181"/>
      <c r="B23" s="181"/>
      <c r="C23" s="181"/>
      <c r="D23" s="181"/>
      <c r="E23" s="181"/>
      <c r="F23" s="181"/>
      <c r="G23" s="181"/>
      <c r="H23" s="181"/>
      <c r="I23" s="181"/>
      <c r="J23" s="181"/>
      <c r="K23" s="181"/>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82"/>
      <c r="B52" s="182"/>
      <c r="C52" s="182"/>
      <c r="D52" s="182"/>
      <c r="E52" s="182"/>
      <c r="F52" s="182"/>
      <c r="G52" s="182"/>
      <c r="H52" s="182"/>
      <c r="I52" s="182"/>
      <c r="J52" s="182"/>
      <c r="K52" s="182"/>
      <c r="L52" s="20"/>
    </row>
    <row r="53" spans="1:12" ht="11.25" customHeight="1">
      <c r="L53" s="15"/>
    </row>
    <row r="54" spans="1:12" ht="11.25" customHeight="1">
      <c r="A54" s="183"/>
      <c r="B54" s="159"/>
      <c r="C54" s="159"/>
      <c r="D54" s="159"/>
      <c r="E54" s="159"/>
      <c r="F54" s="159"/>
      <c r="G54" s="159"/>
      <c r="H54" s="159"/>
      <c r="I54" s="159"/>
      <c r="J54" s="159"/>
      <c r="K54" s="159"/>
      <c r="L54" s="14"/>
    </row>
    <row r="55" spans="1:12" ht="11.25" customHeight="1">
      <c r="A55" s="183"/>
      <c r="B55" s="184"/>
      <c r="C55" s="184"/>
      <c r="D55" s="184"/>
      <c r="E55" s="184"/>
      <c r="F55" s="184"/>
      <c r="G55" s="159"/>
      <c r="H55" s="159"/>
      <c r="I55" s="159"/>
      <c r="J55" s="159"/>
      <c r="K55" s="159"/>
      <c r="L55" s="14"/>
    </row>
    <row r="56" spans="1:12" ht="11.25" customHeight="1">
      <c r="A56" s="173"/>
      <c r="B56" s="185"/>
      <c r="C56" s="185"/>
      <c r="D56" s="186"/>
      <c r="E56" s="186"/>
      <c r="F56" s="186"/>
      <c r="G56" s="159"/>
      <c r="H56" s="159"/>
      <c r="I56" s="159"/>
      <c r="J56" s="159"/>
      <c r="K56" s="159"/>
      <c r="L56" s="14"/>
    </row>
    <row r="57" spans="1:12" ht="11.25" customHeight="1">
      <c r="L57" s="14"/>
    </row>
    <row r="58" spans="1:12" ht="12">
      <c r="A58" s="935" t="str">
        <f>"Gráfico N° 11: Comparación de la máxima potencia coincidente de potencia (MW) por tipo de generación en el SEIN en "&amp;'1. Resumen'!Q4</f>
        <v>Gráfico N° 11: Comparación de la máxima potencia coincidente de potencia (MW) por tipo de generación en el SEIN en setiembre</v>
      </c>
      <c r="B58" s="935"/>
      <c r="C58" s="935"/>
      <c r="D58" s="935"/>
      <c r="E58" s="935"/>
      <c r="F58" s="935"/>
      <c r="G58" s="935"/>
      <c r="H58" s="935"/>
      <c r="I58" s="935"/>
      <c r="J58" s="935"/>
      <c r="K58" s="935"/>
      <c r="L58" s="14"/>
    </row>
    <row r="59" spans="1:12" ht="12">
      <c r="A59" s="173"/>
      <c r="B59" s="185"/>
      <c r="C59" s="185"/>
      <c r="D59" s="186"/>
      <c r="E59" s="186"/>
      <c r="F59" s="186"/>
      <c r="G59" s="159"/>
      <c r="H59" s="159"/>
      <c r="I59" s="159"/>
      <c r="J59" s="159"/>
      <c r="K59" s="159"/>
      <c r="L59" s="14"/>
    </row>
    <row r="60" spans="1:12" ht="12">
      <c r="A60" s="173"/>
      <c r="B60" s="185"/>
      <c r="C60" s="185"/>
      <c r="D60" s="186"/>
      <c r="E60" s="186"/>
      <c r="F60" s="186"/>
      <c r="G60" s="159"/>
      <c r="H60" s="159"/>
      <c r="I60" s="159"/>
      <c r="J60" s="159"/>
      <c r="K60" s="159"/>
      <c r="L60" s="14"/>
    </row>
    <row r="61" spans="1:12" ht="12.75">
      <c r="A61" s="23"/>
      <c r="B61" s="175"/>
      <c r="C61" s="175"/>
      <c r="D61" s="176"/>
      <c r="E61" s="176"/>
      <c r="F61" s="176"/>
      <c r="G61" s="91"/>
      <c r="H61" s="91"/>
      <c r="I61" s="91"/>
      <c r="J61" s="91"/>
      <c r="K61" s="91"/>
      <c r="L61" s="14"/>
    </row>
    <row r="62" spans="1:12" ht="12.75">
      <c r="A62" s="23"/>
      <c r="B62" s="175"/>
      <c r="C62" s="175"/>
      <c r="D62" s="176"/>
      <c r="E62" s="176"/>
      <c r="F62" s="176"/>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Setiembre 2018
INFSGI-MES-09-2018
11/10/2018
Versión: 01</oddHeader>
    <oddFooter>&amp;L&amp;7COES, 2018&amp;C8&amp;R&amp;7Dirección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3"/>
  <sheetViews>
    <sheetView showGridLines="0" view="pageBreakPreview" zoomScale="145" zoomScaleNormal="100" zoomScaleSheetLayoutView="145" zoomScalePageLayoutView="145" workbookViewId="0">
      <selection activeCell="M27" sqref="M27"/>
    </sheetView>
  </sheetViews>
  <sheetFormatPr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11.25" customHeight="1">
      <c r="A1" s="942" t="s">
        <v>286</v>
      </c>
      <c r="B1" s="942"/>
      <c r="C1" s="942"/>
      <c r="D1" s="942"/>
      <c r="E1" s="942"/>
      <c r="F1" s="942"/>
      <c r="G1" s="942"/>
      <c r="H1" s="942"/>
      <c r="I1" s="942"/>
      <c r="J1" s="942"/>
    </row>
    <row r="2" spans="1:15" ht="7.5" customHeight="1">
      <c r="A2" s="92"/>
      <c r="B2" s="91"/>
      <c r="C2" s="91"/>
      <c r="D2" s="91"/>
      <c r="E2" s="91"/>
      <c r="F2" s="91"/>
      <c r="G2" s="91"/>
      <c r="H2" s="91"/>
      <c r="I2" s="91"/>
      <c r="J2" s="91"/>
      <c r="K2" s="45"/>
      <c r="L2" s="45"/>
    </row>
    <row r="3" spans="1:15" ht="11.25" customHeight="1">
      <c r="A3" s="943" t="s">
        <v>131</v>
      </c>
      <c r="B3" s="945" t="str">
        <f>+'1. Resumen'!Q4</f>
        <v>setiembre</v>
      </c>
      <c r="C3" s="946"/>
      <c r="D3" s="947"/>
      <c r="E3" s="159"/>
      <c r="F3" s="159"/>
      <c r="G3" s="948" t="s">
        <v>285</v>
      </c>
      <c r="H3" s="948"/>
      <c r="I3" s="948"/>
      <c r="J3" s="159"/>
      <c r="K3" s="171"/>
      <c r="L3" s="171"/>
    </row>
    <row r="4" spans="1:15" ht="11.25" customHeight="1">
      <c r="A4" s="943"/>
      <c r="B4" s="797">
        <v>2018</v>
      </c>
      <c r="C4" s="798">
        <v>2017</v>
      </c>
      <c r="D4" s="949" t="s">
        <v>35</v>
      </c>
      <c r="E4" s="159"/>
      <c r="F4" s="159"/>
      <c r="G4" s="159"/>
      <c r="H4" s="159"/>
      <c r="I4" s="159"/>
      <c r="J4" s="159"/>
      <c r="K4" s="31"/>
      <c r="L4" s="152"/>
    </row>
    <row r="5" spans="1:15" ht="11.25" customHeight="1">
      <c r="A5" s="943"/>
      <c r="B5" s="799">
        <f>+'8. Max Potencia'!D8</f>
        <v>43369.875</v>
      </c>
      <c r="C5" s="799">
        <f>+'8. Max Potencia'!E8</f>
        <v>42998.78125</v>
      </c>
      <c r="D5" s="949"/>
      <c r="E5" s="159"/>
      <c r="F5" s="159"/>
      <c r="G5" s="159"/>
      <c r="H5" s="159"/>
      <c r="I5" s="159"/>
      <c r="J5" s="159"/>
      <c r="K5" s="31"/>
      <c r="L5" s="26"/>
    </row>
    <row r="6" spans="1:15" ht="11.25" customHeight="1" thickBot="1">
      <c r="A6" s="944"/>
      <c r="B6" s="800">
        <f>+'8. Max Potencia'!D9</f>
        <v>43369.875</v>
      </c>
      <c r="C6" s="800">
        <f>+'8. Max Potencia'!E9</f>
        <v>42998.78125</v>
      </c>
      <c r="D6" s="950"/>
      <c r="E6" s="159"/>
      <c r="F6" s="159"/>
      <c r="G6" s="159"/>
      <c r="H6" s="159"/>
      <c r="I6" s="159"/>
      <c r="J6" s="159"/>
      <c r="K6" s="32"/>
      <c r="L6" s="279" t="s">
        <v>284</v>
      </c>
      <c r="M6" s="3">
        <v>2018</v>
      </c>
      <c r="N6" s="3">
        <v>2017</v>
      </c>
    </row>
    <row r="7" spans="1:15" ht="9.75" customHeight="1">
      <c r="A7" s="568" t="s">
        <v>555</v>
      </c>
      <c r="B7" s="569">
        <v>1146.93066</v>
      </c>
      <c r="C7" s="569">
        <v>564.47771</v>
      </c>
      <c r="D7" s="570">
        <f>IF(C7=0,"",B7/C7-1)</f>
        <v>1.031844020909169</v>
      </c>
      <c r="E7" s="159"/>
      <c r="F7" s="159"/>
      <c r="G7" s="159"/>
      <c r="H7" s="159"/>
      <c r="I7" s="159"/>
      <c r="J7" s="159"/>
      <c r="K7" s="30"/>
      <c r="L7" s="380" t="s">
        <v>128</v>
      </c>
      <c r="N7" s="3">
        <v>0</v>
      </c>
      <c r="O7" s="376"/>
    </row>
    <row r="8" spans="1:15" ht="9.75" customHeight="1">
      <c r="A8" s="571" t="s">
        <v>92</v>
      </c>
      <c r="B8" s="572">
        <v>986.46439999999996</v>
      </c>
      <c r="C8" s="572">
        <v>772.68303000000014</v>
      </c>
      <c r="D8" s="573">
        <f t="shared" ref="D8:D63" si="0">IF(C8=0,"",B8/C8-1)</f>
        <v>0.27667408458549914</v>
      </c>
      <c r="E8" s="159"/>
      <c r="F8" s="159"/>
      <c r="G8" s="159"/>
      <c r="H8" s="159"/>
      <c r="I8" s="159"/>
      <c r="J8" s="159"/>
      <c r="K8" s="33"/>
      <c r="L8" s="380" t="s">
        <v>576</v>
      </c>
      <c r="N8" s="3">
        <v>1.4001999999999999</v>
      </c>
      <c r="O8" s="376"/>
    </row>
    <row r="9" spans="1:15" ht="9.75" customHeight="1">
      <c r="A9" s="574" t="s">
        <v>93</v>
      </c>
      <c r="B9" s="575">
        <v>800.90036000000009</v>
      </c>
      <c r="C9" s="575">
        <v>582.73349000000007</v>
      </c>
      <c r="D9" s="576">
        <f t="shared" si="0"/>
        <v>0.37438533007601804</v>
      </c>
      <c r="E9" s="623"/>
      <c r="F9" s="159"/>
      <c r="G9" s="159"/>
      <c r="H9" s="159"/>
      <c r="I9" s="159"/>
      <c r="J9" s="159"/>
      <c r="K9" s="32"/>
      <c r="L9" s="380" t="s">
        <v>556</v>
      </c>
      <c r="N9" s="3">
        <v>478.39208000000008</v>
      </c>
      <c r="O9" s="376"/>
    </row>
    <row r="10" spans="1:15" ht="9.75" customHeight="1">
      <c r="A10" s="571" t="s">
        <v>94</v>
      </c>
      <c r="B10" s="572">
        <v>792.13103999999987</v>
      </c>
      <c r="C10" s="572">
        <v>875.58247000000006</v>
      </c>
      <c r="D10" s="573">
        <f t="shared" si="0"/>
        <v>-9.5309617151197901E-2</v>
      </c>
      <c r="E10" s="159"/>
      <c r="F10" s="159"/>
      <c r="G10" s="159"/>
      <c r="H10" s="159"/>
      <c r="I10" s="159"/>
      <c r="J10" s="159"/>
      <c r="K10" s="32"/>
      <c r="L10" s="376" t="s">
        <v>127</v>
      </c>
      <c r="M10" s="379">
        <v>0</v>
      </c>
      <c r="N10" s="379">
        <v>0</v>
      </c>
      <c r="O10" s="376"/>
    </row>
    <row r="11" spans="1:15" ht="9.75" customHeight="1">
      <c r="A11" s="574" t="s">
        <v>271</v>
      </c>
      <c r="B11" s="575">
        <v>548.98491999999999</v>
      </c>
      <c r="C11" s="575">
        <v>554.93299000000002</v>
      </c>
      <c r="D11" s="576">
        <f t="shared" si="0"/>
        <v>-1.0718537385928428E-2</v>
      </c>
      <c r="E11" s="159"/>
      <c r="F11" s="159"/>
      <c r="G11" s="159"/>
      <c r="H11" s="159"/>
      <c r="I11" s="159"/>
      <c r="J11" s="159"/>
      <c r="K11" s="32"/>
      <c r="L11" s="341" t="s">
        <v>126</v>
      </c>
      <c r="M11" s="379">
        <v>0</v>
      </c>
      <c r="N11" s="379">
        <v>0</v>
      </c>
      <c r="O11" s="376"/>
    </row>
    <row r="12" spans="1:15" ht="9.75" customHeight="1">
      <c r="A12" s="571" t="s">
        <v>105</v>
      </c>
      <c r="B12" s="572">
        <v>293.75164000000001</v>
      </c>
      <c r="C12" s="572">
        <v>0</v>
      </c>
      <c r="D12" s="573" t="str">
        <f t="shared" si="0"/>
        <v/>
      </c>
      <c r="E12" s="159"/>
      <c r="F12" s="159"/>
      <c r="G12" s="159"/>
      <c r="H12" s="159"/>
      <c r="I12" s="159"/>
      <c r="J12" s="159"/>
      <c r="K12" s="30"/>
      <c r="L12" s="380" t="s">
        <v>267</v>
      </c>
      <c r="M12" s="359">
        <v>0</v>
      </c>
      <c r="N12" s="3">
        <v>0</v>
      </c>
      <c r="O12" s="376"/>
    </row>
    <row r="13" spans="1:15" ht="9.75" customHeight="1">
      <c r="A13" s="574" t="s">
        <v>95</v>
      </c>
      <c r="B13" s="575">
        <v>231.81532000000004</v>
      </c>
      <c r="C13" s="575">
        <v>246.42573000000002</v>
      </c>
      <c r="D13" s="576">
        <f t="shared" si="0"/>
        <v>-5.9289303921307157E-2</v>
      </c>
      <c r="E13" s="159"/>
      <c r="F13" s="159"/>
      <c r="G13" s="159"/>
      <c r="H13" s="159"/>
      <c r="I13" s="159"/>
      <c r="J13" s="159"/>
      <c r="K13" s="33"/>
      <c r="L13" s="341" t="s">
        <v>124</v>
      </c>
      <c r="M13" s="379">
        <v>0</v>
      </c>
      <c r="N13" s="379">
        <v>0.26573999999999998</v>
      </c>
      <c r="O13" s="376"/>
    </row>
    <row r="14" spans="1:15" ht="9.75" customHeight="1">
      <c r="A14" s="571" t="s">
        <v>99</v>
      </c>
      <c r="B14" s="572">
        <v>206.23223999999999</v>
      </c>
      <c r="C14" s="572">
        <v>204.74214999999998</v>
      </c>
      <c r="D14" s="573">
        <f t="shared" si="0"/>
        <v>7.277885867663425E-3</v>
      </c>
      <c r="E14" s="159"/>
      <c r="F14" s="159"/>
      <c r="G14" s="159"/>
      <c r="H14" s="159"/>
      <c r="I14" s="159"/>
      <c r="J14" s="159"/>
      <c r="K14" s="33"/>
      <c r="L14" s="341" t="s">
        <v>120</v>
      </c>
      <c r="M14" s="379">
        <v>0</v>
      </c>
      <c r="N14" s="379">
        <v>2.6167400000000001</v>
      </c>
      <c r="O14" s="376"/>
    </row>
    <row r="15" spans="1:15" ht="9.75" customHeight="1">
      <c r="A15" s="574" t="s">
        <v>98</v>
      </c>
      <c r="B15" s="575">
        <v>166.84458000000001</v>
      </c>
      <c r="C15" s="575">
        <v>112.61616000000001</v>
      </c>
      <c r="D15" s="576">
        <f t="shared" si="0"/>
        <v>0.48153320091894436</v>
      </c>
      <c r="E15" s="159"/>
      <c r="F15" s="159"/>
      <c r="G15" s="159"/>
      <c r="H15" s="159"/>
      <c r="I15" s="159"/>
      <c r="J15" s="159"/>
      <c r="K15" s="33"/>
      <c r="L15" s="341" t="s">
        <v>116</v>
      </c>
      <c r="M15" s="379">
        <v>0</v>
      </c>
      <c r="N15" s="379">
        <v>0</v>
      </c>
      <c r="O15" s="376"/>
    </row>
    <row r="16" spans="1:15" ht="9.75" customHeight="1">
      <c r="A16" s="571" t="s">
        <v>110</v>
      </c>
      <c r="B16" s="572">
        <v>164.32933</v>
      </c>
      <c r="C16" s="572">
        <v>171.26250999999999</v>
      </c>
      <c r="D16" s="573">
        <f t="shared" si="0"/>
        <v>-4.0482765317406577E-2</v>
      </c>
      <c r="E16" s="159"/>
      <c r="F16" s="159"/>
      <c r="G16" s="159"/>
      <c r="H16" s="159"/>
      <c r="I16" s="159"/>
      <c r="J16" s="159"/>
      <c r="K16" s="33"/>
      <c r="L16" s="376" t="s">
        <v>117</v>
      </c>
      <c r="M16" s="379">
        <v>0</v>
      </c>
      <c r="N16" s="379">
        <v>0</v>
      </c>
      <c r="O16" s="376"/>
    </row>
    <row r="17" spans="1:15" ht="9.75" customHeight="1">
      <c r="A17" s="574" t="s">
        <v>268</v>
      </c>
      <c r="B17" s="575">
        <v>161.04167000000001</v>
      </c>
      <c r="C17" s="575">
        <v>235.83101000000002</v>
      </c>
      <c r="D17" s="576">
        <f t="shared" si="0"/>
        <v>-0.31713106770818644</v>
      </c>
      <c r="E17" s="159"/>
      <c r="F17" s="159"/>
      <c r="G17" s="159"/>
      <c r="H17" s="159"/>
      <c r="I17" s="159"/>
      <c r="J17" s="159"/>
      <c r="K17" s="33"/>
      <c r="L17" s="380" t="s">
        <v>123</v>
      </c>
      <c r="M17" s="3">
        <v>0</v>
      </c>
      <c r="N17" s="3">
        <v>0</v>
      </c>
      <c r="O17" s="376"/>
    </row>
    <row r="18" spans="1:15" ht="9.75" customHeight="1">
      <c r="A18" s="571" t="s">
        <v>96</v>
      </c>
      <c r="B18" s="572">
        <v>150.21046000000001</v>
      </c>
      <c r="C18" s="572">
        <v>155.71352999999999</v>
      </c>
      <c r="D18" s="573">
        <f t="shared" si="0"/>
        <v>-3.5340988031033582E-2</v>
      </c>
      <c r="E18" s="159"/>
      <c r="F18" s="159"/>
      <c r="G18" s="159"/>
      <c r="H18" s="159"/>
      <c r="I18" s="159"/>
      <c r="J18" s="159"/>
      <c r="K18" s="33"/>
      <c r="L18" s="376" t="s">
        <v>115</v>
      </c>
      <c r="M18" s="379">
        <v>0</v>
      </c>
      <c r="N18" s="379">
        <v>0</v>
      </c>
      <c r="O18" s="376"/>
    </row>
    <row r="19" spans="1:15" ht="9.75" customHeight="1">
      <c r="A19" s="574" t="s">
        <v>97</v>
      </c>
      <c r="B19" s="575">
        <v>112.90755</v>
      </c>
      <c r="C19" s="575">
        <v>119.14735999999999</v>
      </c>
      <c r="D19" s="576">
        <f t="shared" si="0"/>
        <v>-5.2370526715824761E-2</v>
      </c>
      <c r="E19" s="159"/>
      <c r="F19" s="159"/>
      <c r="G19" s="159"/>
      <c r="H19" s="159"/>
      <c r="I19" s="159"/>
      <c r="J19" s="159"/>
      <c r="K19" s="33"/>
      <c r="L19" s="378" t="s">
        <v>112</v>
      </c>
      <c r="M19" s="379">
        <v>0</v>
      </c>
      <c r="N19" s="379">
        <v>0</v>
      </c>
      <c r="O19" s="376"/>
    </row>
    <row r="20" spans="1:15" ht="9.75" customHeight="1">
      <c r="A20" s="571" t="s">
        <v>273</v>
      </c>
      <c r="B20" s="572">
        <v>106.45755</v>
      </c>
      <c r="C20" s="572">
        <v>174.37673999999998</v>
      </c>
      <c r="D20" s="573">
        <f t="shared" si="0"/>
        <v>-0.38949684459062595</v>
      </c>
      <c r="E20" s="159"/>
      <c r="F20" s="159"/>
      <c r="G20" s="159"/>
      <c r="H20" s="159"/>
      <c r="I20" s="159"/>
      <c r="J20" s="159"/>
      <c r="K20" s="38"/>
      <c r="L20" s="376" t="s">
        <v>275</v>
      </c>
      <c r="M20" s="379">
        <v>0</v>
      </c>
      <c r="N20" s="379">
        <v>0</v>
      </c>
      <c r="O20" s="376"/>
    </row>
    <row r="21" spans="1:15" ht="9.75" customHeight="1">
      <c r="A21" s="574" t="s">
        <v>269</v>
      </c>
      <c r="B21" s="575">
        <v>94.41113</v>
      </c>
      <c r="C21" s="575">
        <v>88.500439999999998</v>
      </c>
      <c r="D21" s="576">
        <f t="shared" si="0"/>
        <v>6.6787125578132711E-2</v>
      </c>
      <c r="E21" s="159"/>
      <c r="F21" s="159"/>
      <c r="G21" s="159"/>
      <c r="H21" s="159"/>
      <c r="I21" s="159"/>
      <c r="J21" s="159"/>
      <c r="K21" s="33"/>
      <c r="L21" s="380" t="s">
        <v>109</v>
      </c>
      <c r="M21" s="3">
        <v>0</v>
      </c>
      <c r="N21" s="3">
        <v>3.32057</v>
      </c>
      <c r="O21" s="376"/>
    </row>
    <row r="22" spans="1:15" ht="9.75" customHeight="1">
      <c r="A22" s="571" t="s">
        <v>101</v>
      </c>
      <c r="B22" s="572">
        <v>91.824759999999998</v>
      </c>
      <c r="C22" s="572">
        <v>96.199489999999997</v>
      </c>
      <c r="D22" s="573">
        <f t="shared" si="0"/>
        <v>-4.5475604912250556E-2</v>
      </c>
      <c r="E22" s="159"/>
      <c r="F22" s="159"/>
      <c r="G22" s="159"/>
      <c r="H22" s="159"/>
      <c r="I22" s="159"/>
      <c r="J22" s="159"/>
      <c r="K22" s="33"/>
      <c r="L22" s="380" t="s">
        <v>276</v>
      </c>
      <c r="M22" s="3">
        <v>0</v>
      </c>
      <c r="N22" s="3">
        <v>304.78504000000004</v>
      </c>
      <c r="O22" s="376"/>
    </row>
    <row r="23" spans="1:15" ht="9.75" customHeight="1">
      <c r="A23" s="574" t="s">
        <v>100</v>
      </c>
      <c r="B23" s="575">
        <v>90.594169999999991</v>
      </c>
      <c r="C23" s="575">
        <v>98.905059999999992</v>
      </c>
      <c r="D23" s="576">
        <f t="shared" si="0"/>
        <v>-8.4028966768737612E-2</v>
      </c>
      <c r="E23" s="159"/>
      <c r="F23" s="159"/>
      <c r="G23" s="159"/>
      <c r="H23" s="159"/>
      <c r="I23" s="159"/>
      <c r="J23" s="159"/>
      <c r="K23" s="33"/>
      <c r="L23" s="376" t="s">
        <v>125</v>
      </c>
      <c r="M23" s="379">
        <v>0</v>
      </c>
      <c r="N23" s="379">
        <v>54.93544</v>
      </c>
      <c r="O23" s="376"/>
    </row>
    <row r="24" spans="1:15" ht="9.75" customHeight="1">
      <c r="A24" s="571" t="s">
        <v>102</v>
      </c>
      <c r="B24" s="572">
        <v>60.201239999999999</v>
      </c>
      <c r="C24" s="572">
        <v>106.78634</v>
      </c>
      <c r="D24" s="573">
        <f t="shared" si="0"/>
        <v>-0.4362458718970984</v>
      </c>
      <c r="E24" s="159"/>
      <c r="F24" s="159"/>
      <c r="G24" s="159"/>
      <c r="H24" s="159"/>
      <c r="I24" s="159"/>
      <c r="J24" s="159"/>
      <c r="K24" s="38"/>
      <c r="L24" s="376" t="s">
        <v>114</v>
      </c>
      <c r="M24" s="379">
        <v>0</v>
      </c>
      <c r="N24" s="379">
        <v>0</v>
      </c>
      <c r="O24" s="376"/>
    </row>
    <row r="25" spans="1:15" ht="9.75" customHeight="1">
      <c r="A25" s="574" t="s">
        <v>573</v>
      </c>
      <c r="B25" s="575">
        <v>56.733849999999997</v>
      </c>
      <c r="C25" s="575">
        <v>56.884999999999998</v>
      </c>
      <c r="D25" s="576">
        <f t="shared" si="0"/>
        <v>-2.6571152324865732E-3</v>
      </c>
      <c r="E25" s="159"/>
      <c r="F25" s="159"/>
      <c r="G25" s="159"/>
      <c r="H25" s="159"/>
      <c r="I25" s="159"/>
      <c r="J25" s="159"/>
      <c r="K25" s="33"/>
      <c r="L25" s="380" t="s">
        <v>603</v>
      </c>
      <c r="M25" s="359">
        <v>0</v>
      </c>
      <c r="O25" s="376"/>
    </row>
    <row r="26" spans="1:15" ht="9.75" customHeight="1">
      <c r="A26" s="571" t="s">
        <v>106</v>
      </c>
      <c r="B26" s="572">
        <v>41.58867</v>
      </c>
      <c r="C26" s="572">
        <v>37.275000000000006</v>
      </c>
      <c r="D26" s="573">
        <f t="shared" si="0"/>
        <v>0.11572555331991929</v>
      </c>
      <c r="E26" s="159"/>
      <c r="F26" s="159"/>
      <c r="G26" s="159"/>
      <c r="H26" s="159"/>
      <c r="I26" s="159"/>
      <c r="J26" s="159"/>
      <c r="K26" s="33"/>
      <c r="L26" s="376" t="s">
        <v>122</v>
      </c>
      <c r="M26" s="379">
        <v>1.3140000000000001</v>
      </c>
      <c r="N26" s="379">
        <v>1.9830000000000001</v>
      </c>
      <c r="O26" s="376"/>
    </row>
    <row r="27" spans="1:15" ht="9.75" customHeight="1">
      <c r="A27" s="574" t="s">
        <v>103</v>
      </c>
      <c r="B27" s="575">
        <v>36.500799999999998</v>
      </c>
      <c r="C27" s="575"/>
      <c r="D27" s="576" t="str">
        <f t="shared" si="0"/>
        <v/>
      </c>
      <c r="E27" s="159"/>
      <c r="F27" s="159"/>
      <c r="G27" s="159"/>
      <c r="H27" s="159"/>
      <c r="I27" s="159"/>
      <c r="J27" s="159"/>
      <c r="K27" s="33"/>
      <c r="L27" s="376" t="s">
        <v>119</v>
      </c>
      <c r="M27" s="379">
        <v>1.70146</v>
      </c>
      <c r="N27" s="379">
        <v>2.52</v>
      </c>
      <c r="O27" s="376"/>
    </row>
    <row r="28" spans="1:15" ht="9.75" customHeight="1">
      <c r="A28" s="571" t="s">
        <v>107</v>
      </c>
      <c r="B28" s="572">
        <v>28.01699</v>
      </c>
      <c r="C28" s="572">
        <v>28.146830000000001</v>
      </c>
      <c r="D28" s="573">
        <f t="shared" si="0"/>
        <v>-4.6129528618320537E-3</v>
      </c>
      <c r="E28" s="159"/>
      <c r="F28" s="159"/>
      <c r="G28" s="159"/>
      <c r="H28" s="159"/>
      <c r="I28" s="159"/>
      <c r="J28" s="159"/>
      <c r="K28" s="33"/>
      <c r="L28" s="376" t="s">
        <v>121</v>
      </c>
      <c r="M28" s="379">
        <v>3.2</v>
      </c>
      <c r="N28" s="379">
        <v>3.2</v>
      </c>
      <c r="O28" s="376"/>
    </row>
    <row r="29" spans="1:15" ht="9.75" customHeight="1">
      <c r="A29" s="577" t="s">
        <v>104</v>
      </c>
      <c r="B29" s="578">
        <v>27.201519999999999</v>
      </c>
      <c r="C29" s="578">
        <v>95.217250000000007</v>
      </c>
      <c r="D29" s="579">
        <f t="shared" si="0"/>
        <v>-0.71432151212096551</v>
      </c>
      <c r="E29" s="159"/>
      <c r="F29" s="159"/>
      <c r="G29" s="159"/>
      <c r="H29" s="159"/>
      <c r="I29" s="159"/>
      <c r="J29" s="159"/>
      <c r="K29" s="33"/>
      <c r="L29" s="377" t="s">
        <v>118</v>
      </c>
      <c r="M29" s="379">
        <v>3.8841299999999999</v>
      </c>
      <c r="N29" s="379">
        <v>6.2851699999999999</v>
      </c>
      <c r="O29" s="376"/>
    </row>
    <row r="30" spans="1:15" ht="9.75" customHeight="1">
      <c r="A30" s="580" t="s">
        <v>113</v>
      </c>
      <c r="B30" s="581">
        <v>20.758320000000001</v>
      </c>
      <c r="C30" s="581">
        <v>7.6752200000000004</v>
      </c>
      <c r="D30" s="582">
        <f t="shared" si="0"/>
        <v>1.7045895752825326</v>
      </c>
      <c r="E30" s="159"/>
      <c r="F30" s="159"/>
      <c r="G30" s="159"/>
      <c r="H30" s="159"/>
      <c r="I30" s="159"/>
      <c r="J30" s="159"/>
      <c r="K30" s="33"/>
      <c r="L30" s="341" t="s">
        <v>274</v>
      </c>
      <c r="M30" s="379">
        <v>7.48719</v>
      </c>
      <c r="N30" s="379">
        <v>32.054560000000002</v>
      </c>
      <c r="O30" s="376"/>
    </row>
    <row r="31" spans="1:15" ht="9.75" customHeight="1">
      <c r="A31" s="583" t="s">
        <v>511</v>
      </c>
      <c r="B31" s="584">
        <v>19.992550000000001</v>
      </c>
      <c r="C31" s="584"/>
      <c r="D31" s="585" t="str">
        <f t="shared" si="0"/>
        <v/>
      </c>
      <c r="E31" s="159"/>
      <c r="F31" s="159"/>
      <c r="G31" s="159"/>
      <c r="H31" s="159"/>
      <c r="I31" s="159"/>
      <c r="J31" s="159"/>
      <c r="K31" s="33"/>
      <c r="L31" s="341" t="s">
        <v>277</v>
      </c>
      <c r="M31" s="379">
        <v>7.5141200000000001</v>
      </c>
      <c r="N31" s="379">
        <v>7.6753900000000002</v>
      </c>
      <c r="O31" s="376"/>
    </row>
    <row r="32" spans="1:15" ht="9.75" customHeight="1">
      <c r="A32" s="580" t="s">
        <v>572</v>
      </c>
      <c r="B32" s="581">
        <v>18.52233</v>
      </c>
      <c r="C32" s="581">
        <v>14.92867</v>
      </c>
      <c r="D32" s="582">
        <f t="shared" si="0"/>
        <v>0.24072204690705878</v>
      </c>
      <c r="E32" s="159"/>
      <c r="F32" s="159"/>
      <c r="G32" s="159"/>
      <c r="H32" s="159"/>
      <c r="I32" s="159"/>
      <c r="J32" s="159"/>
      <c r="K32" s="33"/>
      <c r="L32" s="376" t="s">
        <v>575</v>
      </c>
      <c r="M32" s="379">
        <v>8.0169999999999995</v>
      </c>
      <c r="N32" s="379">
        <v>3.0094000000000003</v>
      </c>
      <c r="O32" s="376"/>
    </row>
    <row r="33" spans="1:15" ht="9.75" customHeight="1">
      <c r="A33" s="583" t="s">
        <v>270</v>
      </c>
      <c r="B33" s="584">
        <v>17.615069999999999</v>
      </c>
      <c r="C33" s="584">
        <v>11.39776</v>
      </c>
      <c r="D33" s="585">
        <f t="shared" si="0"/>
        <v>0.54548525324274233</v>
      </c>
      <c r="E33" s="159"/>
      <c r="F33" s="159"/>
      <c r="G33" s="159"/>
      <c r="H33" s="159"/>
      <c r="I33" s="159"/>
      <c r="J33" s="159"/>
      <c r="K33" s="33"/>
      <c r="L33" s="341" t="s">
        <v>111</v>
      </c>
      <c r="M33" s="379">
        <v>13.7403</v>
      </c>
      <c r="N33" s="379">
        <v>0</v>
      </c>
      <c r="O33" s="376"/>
    </row>
    <row r="34" spans="1:15" ht="9.75" customHeight="1">
      <c r="A34" s="580" t="s">
        <v>108</v>
      </c>
      <c r="B34" s="581">
        <v>17.507999999999999</v>
      </c>
      <c r="C34" s="581">
        <v>17.475999999999999</v>
      </c>
      <c r="D34" s="582">
        <f t="shared" si="0"/>
        <v>1.8310826276035641E-3</v>
      </c>
      <c r="E34" s="159"/>
      <c r="F34" s="159"/>
      <c r="G34" s="159"/>
      <c r="H34" s="159"/>
      <c r="I34" s="159"/>
      <c r="J34" s="159"/>
      <c r="K34" s="33"/>
      <c r="L34" s="376" t="s">
        <v>272</v>
      </c>
      <c r="M34" s="379">
        <v>16.865650000000002</v>
      </c>
      <c r="N34" s="379">
        <v>9.1316000000000006</v>
      </c>
      <c r="O34" s="376"/>
    </row>
    <row r="35" spans="1:15" ht="9.75" customHeight="1">
      <c r="A35" s="583" t="s">
        <v>272</v>
      </c>
      <c r="B35" s="584">
        <v>16.865650000000002</v>
      </c>
      <c r="C35" s="584">
        <v>9.1316000000000006</v>
      </c>
      <c r="D35" s="585">
        <f t="shared" si="0"/>
        <v>0.84695453151693045</v>
      </c>
      <c r="E35" s="159"/>
      <c r="F35" s="159"/>
      <c r="G35" s="159"/>
      <c r="H35" s="159"/>
      <c r="I35" s="159"/>
      <c r="J35" s="159"/>
      <c r="K35" s="33"/>
      <c r="L35" s="377" t="s">
        <v>108</v>
      </c>
      <c r="M35" s="379">
        <v>17.507999999999999</v>
      </c>
      <c r="N35" s="379">
        <v>17.475999999999999</v>
      </c>
      <c r="O35" s="376"/>
    </row>
    <row r="36" spans="1:15" ht="9.75" customHeight="1">
      <c r="A36" s="580" t="s">
        <v>111</v>
      </c>
      <c r="B36" s="581">
        <v>13.7403</v>
      </c>
      <c r="C36" s="581">
        <v>0</v>
      </c>
      <c r="D36" s="582" t="str">
        <f t="shared" si="0"/>
        <v/>
      </c>
      <c r="E36" s="159"/>
      <c r="F36" s="159"/>
      <c r="G36" s="159"/>
      <c r="H36" s="159"/>
      <c r="I36" s="159"/>
      <c r="J36" s="159"/>
      <c r="K36" s="43"/>
      <c r="L36" s="341" t="s">
        <v>270</v>
      </c>
      <c r="M36" s="379">
        <v>17.615069999999999</v>
      </c>
      <c r="N36" s="379">
        <v>11.39776</v>
      </c>
      <c r="O36" s="376"/>
    </row>
    <row r="37" spans="1:15" ht="9.75" customHeight="1">
      <c r="A37" s="583" t="s">
        <v>575</v>
      </c>
      <c r="B37" s="584">
        <v>8.0169999999999995</v>
      </c>
      <c r="C37" s="584">
        <v>3.0094000000000003</v>
      </c>
      <c r="D37" s="585">
        <f t="shared" si="0"/>
        <v>1.6639861766465072</v>
      </c>
      <c r="E37" s="159"/>
      <c r="F37" s="159"/>
      <c r="G37" s="159"/>
      <c r="H37" s="159"/>
      <c r="I37" s="159"/>
      <c r="J37" s="159"/>
      <c r="K37" s="43"/>
      <c r="L37" s="380" t="s">
        <v>572</v>
      </c>
      <c r="M37" s="359">
        <v>18.52233</v>
      </c>
      <c r="N37" s="3">
        <v>14.92867</v>
      </c>
      <c r="O37" s="376"/>
    </row>
    <row r="38" spans="1:15" ht="9.75" customHeight="1">
      <c r="A38" s="580" t="s">
        <v>277</v>
      </c>
      <c r="B38" s="581">
        <v>7.5141200000000001</v>
      </c>
      <c r="C38" s="581">
        <v>7.6753900000000002</v>
      </c>
      <c r="D38" s="582">
        <f t="shared" si="0"/>
        <v>-2.1011310174466669E-2</v>
      </c>
      <c r="E38" s="159"/>
      <c r="F38" s="159"/>
      <c r="G38" s="159"/>
      <c r="H38" s="159"/>
      <c r="I38" s="159"/>
      <c r="J38" s="159"/>
      <c r="K38" s="38"/>
      <c r="L38" s="341" t="s">
        <v>511</v>
      </c>
      <c r="M38" s="379">
        <v>19.992550000000001</v>
      </c>
      <c r="N38" s="379"/>
      <c r="O38" s="376"/>
    </row>
    <row r="39" spans="1:15" ht="9.75" customHeight="1">
      <c r="A39" s="583" t="s">
        <v>274</v>
      </c>
      <c r="B39" s="584">
        <v>7.48719</v>
      </c>
      <c r="C39" s="584">
        <v>32.054560000000002</v>
      </c>
      <c r="D39" s="585">
        <f t="shared" si="0"/>
        <v>-0.76642356032963799</v>
      </c>
      <c r="E39" s="159"/>
      <c r="F39" s="159"/>
      <c r="G39" s="159"/>
      <c r="H39" s="159"/>
      <c r="I39" s="159"/>
      <c r="J39" s="159"/>
      <c r="K39" s="38"/>
      <c r="L39" s="341" t="s">
        <v>113</v>
      </c>
      <c r="M39" s="379">
        <v>20.758320000000001</v>
      </c>
      <c r="N39" s="379">
        <v>7.6752200000000004</v>
      </c>
      <c r="O39" s="376"/>
    </row>
    <row r="40" spans="1:15" ht="9.75" customHeight="1">
      <c r="A40" s="580" t="s">
        <v>118</v>
      </c>
      <c r="B40" s="581">
        <v>3.8841299999999999</v>
      </c>
      <c r="C40" s="581">
        <v>6.2851699999999999</v>
      </c>
      <c r="D40" s="582">
        <f t="shared" si="0"/>
        <v>-0.38201671553832273</v>
      </c>
      <c r="E40" s="159"/>
      <c r="F40" s="159"/>
      <c r="G40" s="159"/>
      <c r="H40" s="159"/>
      <c r="I40" s="159"/>
      <c r="J40" s="159"/>
      <c r="K40" s="38"/>
      <c r="L40" s="341" t="s">
        <v>104</v>
      </c>
      <c r="M40" s="379">
        <v>27.201519999999999</v>
      </c>
      <c r="N40" s="379">
        <v>95.217250000000007</v>
      </c>
      <c r="O40" s="376"/>
    </row>
    <row r="41" spans="1:15" ht="9.75" customHeight="1">
      <c r="A41" s="583" t="s">
        <v>121</v>
      </c>
      <c r="B41" s="584">
        <v>3.2</v>
      </c>
      <c r="C41" s="584">
        <v>3.2</v>
      </c>
      <c r="D41" s="585">
        <f t="shared" si="0"/>
        <v>0</v>
      </c>
      <c r="E41" s="159"/>
      <c r="F41" s="159"/>
      <c r="G41" s="159"/>
      <c r="H41" s="159"/>
      <c r="I41" s="159"/>
      <c r="J41" s="159"/>
      <c r="K41" s="43"/>
      <c r="L41" s="341" t="s">
        <v>107</v>
      </c>
      <c r="M41" s="379">
        <v>28.01699</v>
      </c>
      <c r="N41" s="379">
        <v>28.146830000000001</v>
      </c>
      <c r="O41" s="376"/>
    </row>
    <row r="42" spans="1:15" ht="9.75" customHeight="1">
      <c r="A42" s="580" t="s">
        <v>119</v>
      </c>
      <c r="B42" s="581">
        <v>1.70146</v>
      </c>
      <c r="C42" s="581">
        <v>2.52</v>
      </c>
      <c r="D42" s="582">
        <f t="shared" si="0"/>
        <v>-0.32481746031746028</v>
      </c>
      <c r="E42" s="159"/>
      <c r="F42" s="159"/>
      <c r="G42" s="159"/>
      <c r="H42" s="159"/>
      <c r="I42" s="159"/>
      <c r="J42" s="159"/>
      <c r="K42" s="43"/>
      <c r="L42" s="376" t="s">
        <v>103</v>
      </c>
      <c r="M42" s="379">
        <v>36.500799999999998</v>
      </c>
      <c r="N42" s="379"/>
      <c r="O42" s="376"/>
    </row>
    <row r="43" spans="1:15" ht="9.75" customHeight="1">
      <c r="A43" s="583" t="s">
        <v>122</v>
      </c>
      <c r="B43" s="584">
        <v>1.3140000000000001</v>
      </c>
      <c r="C43" s="584">
        <v>1.9830000000000001</v>
      </c>
      <c r="D43" s="585">
        <f t="shared" si="0"/>
        <v>-0.33736762481089255</v>
      </c>
      <c r="E43" s="159"/>
      <c r="F43" s="159"/>
      <c r="G43" s="159"/>
      <c r="H43" s="159"/>
      <c r="I43" s="159"/>
      <c r="J43" s="159"/>
      <c r="K43" s="43"/>
      <c r="L43" s="341" t="s">
        <v>106</v>
      </c>
      <c r="M43" s="379">
        <v>41.58867</v>
      </c>
      <c r="N43" s="379">
        <v>37.275000000000006</v>
      </c>
      <c r="O43" s="376"/>
    </row>
    <row r="44" spans="1:15" ht="9.75" customHeight="1">
      <c r="A44" s="580" t="s">
        <v>127</v>
      </c>
      <c r="B44" s="581">
        <v>0</v>
      </c>
      <c r="C44" s="581">
        <v>0</v>
      </c>
      <c r="D44" s="582" t="str">
        <f t="shared" si="0"/>
        <v/>
      </c>
      <c r="E44" s="159"/>
      <c r="F44" s="159"/>
      <c r="G44" s="159"/>
      <c r="H44" s="159"/>
      <c r="I44" s="159"/>
      <c r="J44" s="159"/>
      <c r="K44" s="160"/>
      <c r="L44" s="341" t="s">
        <v>573</v>
      </c>
      <c r="M44" s="379">
        <v>56.733849999999997</v>
      </c>
      <c r="N44" s="379">
        <v>56.884999999999998</v>
      </c>
      <c r="O44" s="376"/>
    </row>
    <row r="45" spans="1:15" ht="9.75" customHeight="1">
      <c r="A45" s="583" t="s">
        <v>126</v>
      </c>
      <c r="B45" s="584">
        <v>0</v>
      </c>
      <c r="C45" s="584">
        <v>0</v>
      </c>
      <c r="D45" s="585" t="str">
        <f t="shared" si="0"/>
        <v/>
      </c>
      <c r="E45" s="159"/>
      <c r="F45" s="159"/>
      <c r="G45" s="159"/>
      <c r="H45" s="159"/>
      <c r="I45" s="159"/>
      <c r="J45" s="159"/>
      <c r="L45" s="376" t="s">
        <v>102</v>
      </c>
      <c r="M45" s="379">
        <v>60.201239999999999</v>
      </c>
      <c r="N45" s="379">
        <v>106.78634</v>
      </c>
      <c r="O45" s="376"/>
    </row>
    <row r="46" spans="1:15" ht="9.75" customHeight="1">
      <c r="A46" s="580" t="s">
        <v>267</v>
      </c>
      <c r="B46" s="581">
        <v>0</v>
      </c>
      <c r="C46" s="581">
        <v>0</v>
      </c>
      <c r="D46" s="582" t="str">
        <f t="shared" si="0"/>
        <v/>
      </c>
      <c r="E46" s="159"/>
      <c r="F46" s="159"/>
      <c r="G46" s="159"/>
      <c r="H46" s="159"/>
      <c r="I46" s="159"/>
      <c r="J46" s="159"/>
      <c r="L46" s="378" t="s">
        <v>100</v>
      </c>
      <c r="M46" s="379">
        <v>90.594169999999991</v>
      </c>
      <c r="N46" s="379">
        <v>98.905059999999992</v>
      </c>
      <c r="O46" s="376"/>
    </row>
    <row r="47" spans="1:15" ht="9.75" customHeight="1">
      <c r="A47" s="583" t="s">
        <v>124</v>
      </c>
      <c r="B47" s="584">
        <v>0</v>
      </c>
      <c r="C47" s="584">
        <v>0.26573999999999998</v>
      </c>
      <c r="D47" s="585">
        <f t="shared" si="0"/>
        <v>-1</v>
      </c>
      <c r="E47" s="159"/>
      <c r="F47" s="159"/>
      <c r="G47" s="159"/>
      <c r="H47" s="159"/>
      <c r="I47" s="159"/>
      <c r="J47" s="159"/>
      <c r="L47" s="376" t="s">
        <v>101</v>
      </c>
      <c r="M47" s="379">
        <v>91.824759999999998</v>
      </c>
      <c r="N47" s="379">
        <v>96.199489999999997</v>
      </c>
      <c r="O47" s="376"/>
    </row>
    <row r="48" spans="1:15" ht="9.75" customHeight="1">
      <c r="A48" s="580" t="s">
        <v>120</v>
      </c>
      <c r="B48" s="581">
        <v>0</v>
      </c>
      <c r="C48" s="581">
        <v>2.6167400000000001</v>
      </c>
      <c r="D48" s="582">
        <f t="shared" si="0"/>
        <v>-1</v>
      </c>
      <c r="E48" s="159"/>
      <c r="F48" s="159"/>
      <c r="G48" s="159"/>
      <c r="H48" s="159"/>
      <c r="I48" s="159"/>
      <c r="J48" s="159"/>
      <c r="L48" s="376" t="s">
        <v>269</v>
      </c>
      <c r="M48" s="379">
        <v>94.41113</v>
      </c>
      <c r="N48" s="379">
        <v>88.500439999999998</v>
      </c>
      <c r="O48" s="376"/>
    </row>
    <row r="49" spans="1:15" ht="9.75" customHeight="1">
      <c r="A49" s="583" t="s">
        <v>116</v>
      </c>
      <c r="B49" s="584">
        <v>0</v>
      </c>
      <c r="C49" s="584">
        <v>0</v>
      </c>
      <c r="D49" s="585" t="str">
        <f t="shared" si="0"/>
        <v/>
      </c>
      <c r="E49" s="159"/>
      <c r="F49" s="159"/>
      <c r="G49" s="159"/>
      <c r="H49" s="159"/>
      <c r="I49" s="159"/>
      <c r="J49" s="159"/>
      <c r="L49" s="341" t="s">
        <v>273</v>
      </c>
      <c r="M49" s="379">
        <v>106.45755</v>
      </c>
      <c r="N49" s="379">
        <v>174.37673999999998</v>
      </c>
      <c r="O49" s="376"/>
    </row>
    <row r="50" spans="1:15" ht="9.75" customHeight="1">
      <c r="A50" s="580" t="s">
        <v>117</v>
      </c>
      <c r="B50" s="581">
        <v>0</v>
      </c>
      <c r="C50" s="581">
        <v>0</v>
      </c>
      <c r="D50" s="582" t="str">
        <f t="shared" si="0"/>
        <v/>
      </c>
      <c r="E50" s="159"/>
      <c r="F50" s="159"/>
      <c r="G50" s="159"/>
      <c r="H50" s="159"/>
      <c r="I50" s="159"/>
      <c r="J50" s="159"/>
      <c r="L50" s="341" t="s">
        <v>97</v>
      </c>
      <c r="M50" s="379">
        <v>112.90755</v>
      </c>
      <c r="N50" s="379">
        <v>119.14735999999999</v>
      </c>
      <c r="O50" s="376"/>
    </row>
    <row r="51" spans="1:15" ht="9.75" customHeight="1">
      <c r="A51" s="583" t="s">
        <v>123</v>
      </c>
      <c r="B51" s="584">
        <v>0</v>
      </c>
      <c r="C51" s="584">
        <v>0</v>
      </c>
      <c r="D51" s="585" t="str">
        <f t="shared" si="0"/>
        <v/>
      </c>
      <c r="E51" s="159"/>
      <c r="F51" s="159"/>
      <c r="G51" s="159"/>
      <c r="H51" s="159"/>
      <c r="I51" s="159"/>
      <c r="J51" s="159"/>
      <c r="L51" s="341" t="s">
        <v>96</v>
      </c>
      <c r="M51" s="379">
        <v>150.21046000000001</v>
      </c>
      <c r="N51" s="379">
        <v>155.71352999999999</v>
      </c>
      <c r="O51" s="376"/>
    </row>
    <row r="52" spans="1:15" ht="9.75" customHeight="1">
      <c r="A52" s="580" t="s">
        <v>115</v>
      </c>
      <c r="B52" s="581">
        <v>0</v>
      </c>
      <c r="C52" s="581">
        <v>0</v>
      </c>
      <c r="D52" s="582" t="str">
        <f t="shared" si="0"/>
        <v/>
      </c>
      <c r="E52" s="159"/>
      <c r="F52" s="159"/>
      <c r="G52" s="159"/>
      <c r="H52" s="159"/>
      <c r="I52" s="159"/>
      <c r="J52" s="159"/>
      <c r="L52" s="341" t="s">
        <v>268</v>
      </c>
      <c r="M52" s="379">
        <v>161.04167000000001</v>
      </c>
      <c r="N52" s="379">
        <v>235.83101000000002</v>
      </c>
      <c r="O52" s="376"/>
    </row>
    <row r="53" spans="1:15" ht="9.75" customHeight="1">
      <c r="A53" s="583" t="s">
        <v>112</v>
      </c>
      <c r="B53" s="584">
        <v>0</v>
      </c>
      <c r="C53" s="584">
        <v>0</v>
      </c>
      <c r="D53" s="585" t="str">
        <f t="shared" si="0"/>
        <v/>
      </c>
      <c r="E53" s="159"/>
      <c r="F53" s="159"/>
      <c r="G53" s="159"/>
      <c r="H53" s="159"/>
      <c r="I53" s="159"/>
      <c r="J53" s="159"/>
      <c r="L53" s="341" t="s">
        <v>110</v>
      </c>
      <c r="M53" s="379">
        <v>164.32933</v>
      </c>
      <c r="N53" s="379">
        <v>171.26250999999999</v>
      </c>
      <c r="O53" s="376"/>
    </row>
    <row r="54" spans="1:15" ht="9.75" customHeight="1">
      <c r="A54" s="580" t="s">
        <v>275</v>
      </c>
      <c r="B54" s="581">
        <v>0</v>
      </c>
      <c r="C54" s="581">
        <v>0</v>
      </c>
      <c r="D54" s="582" t="str">
        <f t="shared" si="0"/>
        <v/>
      </c>
      <c r="E54" s="159"/>
      <c r="F54" s="159"/>
      <c r="G54" s="159"/>
      <c r="H54" s="159"/>
      <c r="I54" s="159"/>
      <c r="J54" s="159"/>
      <c r="L54" s="341" t="s">
        <v>98</v>
      </c>
      <c r="M54" s="379">
        <v>166.84458000000001</v>
      </c>
      <c r="N54" s="379">
        <v>112.61616000000001</v>
      </c>
      <c r="O54" s="376"/>
    </row>
    <row r="55" spans="1:15" ht="9.75" customHeight="1">
      <c r="A55" s="583" t="s">
        <v>109</v>
      </c>
      <c r="B55" s="584">
        <v>0</v>
      </c>
      <c r="C55" s="584">
        <v>3.32057</v>
      </c>
      <c r="D55" s="585">
        <f t="shared" si="0"/>
        <v>-1</v>
      </c>
      <c r="E55" s="159"/>
      <c r="F55" s="159"/>
      <c r="G55" s="159"/>
      <c r="H55" s="159"/>
      <c r="I55" s="159"/>
      <c r="J55" s="159"/>
      <c r="L55" s="341" t="s">
        <v>99</v>
      </c>
      <c r="M55" s="379">
        <v>206.23223999999999</v>
      </c>
      <c r="N55" s="379">
        <v>204.74214999999998</v>
      </c>
      <c r="O55" s="376"/>
    </row>
    <row r="56" spans="1:15" ht="9.75" customHeight="1">
      <c r="A56" s="580" t="s">
        <v>276</v>
      </c>
      <c r="B56" s="581">
        <v>0</v>
      </c>
      <c r="C56" s="581">
        <v>304.78504000000004</v>
      </c>
      <c r="D56" s="582">
        <f t="shared" si="0"/>
        <v>-1</v>
      </c>
      <c r="E56" s="159"/>
      <c r="F56" s="159"/>
      <c r="G56" s="159"/>
      <c r="H56" s="159"/>
      <c r="I56" s="159"/>
      <c r="J56" s="159"/>
      <c r="L56" s="341" t="s">
        <v>95</v>
      </c>
      <c r="M56" s="379">
        <v>231.81532000000004</v>
      </c>
      <c r="N56" s="379">
        <v>246.42573000000002</v>
      </c>
      <c r="O56" s="376"/>
    </row>
    <row r="57" spans="1:15" ht="9.75" customHeight="1">
      <c r="A57" s="583" t="s">
        <v>125</v>
      </c>
      <c r="B57" s="584">
        <v>0</v>
      </c>
      <c r="C57" s="584">
        <v>54.93544</v>
      </c>
      <c r="D57" s="585">
        <f t="shared" si="0"/>
        <v>-1</v>
      </c>
      <c r="E57" s="159"/>
      <c r="F57" s="159"/>
      <c r="G57" s="159"/>
      <c r="H57" s="159"/>
      <c r="I57" s="159"/>
      <c r="J57" s="159"/>
      <c r="L57" s="341" t="s">
        <v>105</v>
      </c>
      <c r="M57" s="379">
        <v>293.75164000000001</v>
      </c>
      <c r="N57" s="379">
        <v>0</v>
      </c>
      <c r="O57" s="376"/>
    </row>
    <row r="58" spans="1:15" ht="9.75" customHeight="1">
      <c r="A58" s="580" t="s">
        <v>114</v>
      </c>
      <c r="B58" s="581">
        <v>0</v>
      </c>
      <c r="C58" s="581">
        <v>0</v>
      </c>
      <c r="D58" s="582" t="str">
        <f t="shared" si="0"/>
        <v/>
      </c>
      <c r="E58" s="159"/>
      <c r="F58" s="159"/>
      <c r="G58" s="159"/>
      <c r="H58" s="159"/>
      <c r="I58" s="159"/>
      <c r="J58" s="159"/>
      <c r="L58" s="341" t="s">
        <v>271</v>
      </c>
      <c r="M58" s="379">
        <v>548.98491999999999</v>
      </c>
      <c r="N58" s="379">
        <v>554.93299000000002</v>
      </c>
      <c r="O58" s="376"/>
    </row>
    <row r="59" spans="1:15" ht="9.75" customHeight="1">
      <c r="A59" s="563" t="s">
        <v>603</v>
      </c>
      <c r="B59" s="564">
        <v>0</v>
      </c>
      <c r="C59" s="564"/>
      <c r="D59" s="585" t="str">
        <f t="shared" si="0"/>
        <v/>
      </c>
      <c r="E59" s="159"/>
      <c r="F59" s="159"/>
      <c r="G59" s="159"/>
      <c r="H59" s="159"/>
      <c r="I59" s="159"/>
      <c r="J59" s="159"/>
      <c r="L59" s="376" t="s">
        <v>94</v>
      </c>
      <c r="M59" s="379">
        <v>792.13103999999987</v>
      </c>
      <c r="N59" s="379">
        <v>875.58247000000006</v>
      </c>
      <c r="O59" s="376"/>
    </row>
    <row r="60" spans="1:15" ht="9.75" customHeight="1">
      <c r="A60" s="586" t="s">
        <v>556</v>
      </c>
      <c r="B60" s="587"/>
      <c r="C60" s="587">
        <v>478.39208000000008</v>
      </c>
      <c r="D60" s="588">
        <f t="shared" si="0"/>
        <v>-1</v>
      </c>
      <c r="E60" s="159"/>
      <c r="F60" s="159"/>
      <c r="G60" s="159"/>
      <c r="H60" s="159"/>
      <c r="I60" s="159"/>
      <c r="J60" s="159"/>
      <c r="L60" s="341" t="s">
        <v>93</v>
      </c>
      <c r="M60" s="379">
        <v>800.90036000000009</v>
      </c>
      <c r="N60" s="379">
        <v>582.73349000000007</v>
      </c>
      <c r="O60" s="376"/>
    </row>
    <row r="61" spans="1:15" ht="9.75" customHeight="1">
      <c r="A61" s="563" t="s">
        <v>576</v>
      </c>
      <c r="B61" s="564"/>
      <c r="C61" s="564">
        <v>1.4001999999999999</v>
      </c>
      <c r="D61" s="576">
        <f t="shared" si="0"/>
        <v>-1</v>
      </c>
      <c r="E61" s="159"/>
      <c r="F61" s="159"/>
      <c r="G61" s="159"/>
      <c r="H61" s="159"/>
      <c r="I61" s="159"/>
      <c r="J61" s="159"/>
      <c r="L61" s="341" t="s">
        <v>92</v>
      </c>
      <c r="M61" s="379">
        <v>986.46439999999996</v>
      </c>
      <c r="N61" s="379">
        <v>772.68303000000014</v>
      </c>
      <c r="O61" s="376"/>
    </row>
    <row r="62" spans="1:15" ht="9.75" customHeight="1">
      <c r="A62" s="571" t="s">
        <v>128</v>
      </c>
      <c r="B62" s="572"/>
      <c r="C62" s="572">
        <v>0</v>
      </c>
      <c r="D62" s="573"/>
      <c r="E62" s="159"/>
      <c r="F62" s="159"/>
      <c r="G62" s="159"/>
      <c r="H62" s="159"/>
      <c r="I62" s="159"/>
      <c r="J62" s="159"/>
      <c r="L62" s="341" t="s">
        <v>555</v>
      </c>
      <c r="M62" s="379">
        <v>1146.93066</v>
      </c>
      <c r="N62" s="379">
        <v>564.47771</v>
      </c>
      <c r="O62" s="376"/>
    </row>
    <row r="63" spans="1:15" ht="9.75" customHeight="1">
      <c r="A63" s="565" t="s">
        <v>44</v>
      </c>
      <c r="B63" s="566">
        <f>SUM(B7:B62)</f>
        <v>6554.1949699999996</v>
      </c>
      <c r="C63" s="566">
        <f>SUM(C7:C62)</f>
        <v>6341.4928699999982</v>
      </c>
      <c r="D63" s="567">
        <f t="shared" si="0"/>
        <v>3.3541329204396231E-2</v>
      </c>
      <c r="E63" s="191"/>
      <c r="F63" s="191"/>
      <c r="G63" s="191"/>
      <c r="H63" s="192"/>
      <c r="I63" s="192"/>
      <c r="J63" s="192"/>
      <c r="L63" s="341"/>
      <c r="M63" s="379"/>
      <c r="N63" s="379"/>
    </row>
    <row r="64" spans="1:15" ht="32.25" customHeight="1">
      <c r="A64" s="931" t="str">
        <f>"Cuadro N° 8: Participación de las empresas generadoras del COES en la máxima potencia coincidente (MW) en "&amp;'1. Resumen'!Q4</f>
        <v>Cuadro N° 8: Participación de las empresas generadoras del COES en la máxima potencia coincidente (MW) en setiembre</v>
      </c>
      <c r="B64" s="931"/>
      <c r="C64" s="931"/>
      <c r="D64" s="931"/>
      <c r="E64" s="174"/>
      <c r="F64" s="931" t="str">
        <f>"Gráfico N° 12: Comparación de la máxima potencia coincidente  (MW) de las empresas generadoras del COES en "&amp;'1. Resumen'!Q4</f>
        <v>Gráfico N° 12: Comparación de la máxima potencia coincidente  (MW) de las empresas generadoras del COES en setiembre</v>
      </c>
      <c r="G64" s="931"/>
      <c r="H64" s="931"/>
      <c r="I64" s="931"/>
      <c r="J64" s="931"/>
    </row>
    <row r="65" spans="1:10" ht="7.5" customHeight="1">
      <c r="A65" s="559"/>
      <c r="B65" s="559"/>
      <c r="C65" s="559"/>
      <c r="D65" s="559"/>
      <c r="E65" s="174"/>
      <c r="F65" s="559"/>
      <c r="G65" s="559"/>
      <c r="H65" s="559"/>
      <c r="I65" s="559"/>
      <c r="J65" s="559"/>
    </row>
    <row r="66" spans="1:10" ht="12.75" customHeight="1">
      <c r="A66" s="933" t="s">
        <v>554</v>
      </c>
      <c r="B66" s="933"/>
      <c r="C66" s="933"/>
      <c r="D66" s="933"/>
      <c r="E66" s="933"/>
      <c r="F66" s="933"/>
      <c r="G66" s="933"/>
      <c r="H66" s="933"/>
      <c r="I66" s="933"/>
      <c r="J66" s="933"/>
    </row>
    <row r="67" spans="1:10" ht="12.75" customHeight="1">
      <c r="A67" s="933" t="s">
        <v>577</v>
      </c>
      <c r="B67" s="933"/>
      <c r="C67" s="933"/>
      <c r="D67" s="933"/>
      <c r="E67" s="933"/>
      <c r="F67" s="933"/>
      <c r="G67" s="933"/>
      <c r="H67" s="933"/>
      <c r="I67" s="933"/>
      <c r="J67" s="933"/>
    </row>
    <row r="68" spans="1:10" ht="12.75" customHeight="1">
      <c r="A68" s="933" t="s">
        <v>570</v>
      </c>
      <c r="B68" s="933"/>
      <c r="C68" s="933"/>
      <c r="D68" s="933"/>
      <c r="E68" s="933"/>
      <c r="F68" s="933"/>
      <c r="G68" s="933"/>
      <c r="H68" s="933"/>
      <c r="I68" s="933"/>
      <c r="J68" s="933"/>
    </row>
    <row r="69" spans="1:10">
      <c r="A69" s="933" t="s">
        <v>571</v>
      </c>
      <c r="B69" s="933"/>
      <c r="C69" s="933"/>
      <c r="D69" s="933"/>
      <c r="E69" s="933"/>
      <c r="F69" s="933"/>
      <c r="G69" s="933"/>
      <c r="H69" s="933"/>
      <c r="I69" s="933"/>
      <c r="J69" s="933"/>
    </row>
    <row r="70" spans="1:10">
      <c r="A70" s="926"/>
      <c r="B70" s="926"/>
      <c r="C70" s="926"/>
      <c r="D70" s="926"/>
      <c r="E70" s="926"/>
      <c r="F70" s="926"/>
      <c r="G70" s="926"/>
      <c r="H70" s="926"/>
      <c r="I70" s="926"/>
      <c r="J70" s="926"/>
    </row>
    <row r="71" spans="1:10">
      <c r="A71" s="925"/>
      <c r="B71" s="925"/>
      <c r="C71" s="925"/>
      <c r="D71" s="925"/>
      <c r="E71" s="925"/>
      <c r="F71" s="925"/>
      <c r="G71" s="925"/>
      <c r="H71" s="925"/>
      <c r="I71" s="925"/>
      <c r="J71" s="925"/>
    </row>
    <row r="72" spans="1:10">
      <c r="A72" s="940"/>
      <c r="B72" s="940"/>
      <c r="C72" s="940"/>
      <c r="D72" s="940"/>
      <c r="E72" s="940"/>
      <c r="F72" s="940"/>
      <c r="G72" s="940"/>
      <c r="H72" s="940"/>
      <c r="I72" s="940"/>
      <c r="J72" s="940"/>
    </row>
    <row r="73" spans="1:10">
      <c r="A73" s="941"/>
      <c r="B73" s="941"/>
      <c r="C73" s="941"/>
      <c r="D73" s="941"/>
      <c r="E73" s="941"/>
      <c r="F73" s="941"/>
      <c r="G73" s="941"/>
      <c r="H73" s="941"/>
      <c r="I73" s="941"/>
      <c r="J73" s="941"/>
    </row>
  </sheetData>
  <autoFilter ref="L6:N62" xr:uid="{51C3E269-94FB-4FDB-993A-26794E6E080A}">
    <sortState ref="L7:N62">
      <sortCondition ref="M6:M62"/>
    </sortState>
  </autoFilter>
  <mergeCells count="15">
    <mergeCell ref="A68:J68"/>
    <mergeCell ref="A66:J66"/>
    <mergeCell ref="A64:D64"/>
    <mergeCell ref="F64:J64"/>
    <mergeCell ref="A1:J1"/>
    <mergeCell ref="A3:A6"/>
    <mergeCell ref="B3:D3"/>
    <mergeCell ref="G3:I3"/>
    <mergeCell ref="D4:D6"/>
    <mergeCell ref="A67:J67"/>
    <mergeCell ref="A69:J69"/>
    <mergeCell ref="A70:J70"/>
    <mergeCell ref="A71:J71"/>
    <mergeCell ref="A72:J72"/>
    <mergeCell ref="A73:J73"/>
  </mergeCells>
  <pageMargins left="0.7" right="0.5892857142857143" top="0.86956521739130432" bottom="0.61458333333333337" header="0.3" footer="0.3"/>
  <pageSetup orientation="portrait" r:id="rId1"/>
  <headerFooter>
    <oddHeader>&amp;R&amp;7Informe de la Operación Mensual - Setiembre 2018
INFSGI-MES-09-2018
11/10/2018
Versión: 01</oddHeader>
    <oddFooter>&amp;L&amp;7COES, 2018&amp;C9&amp;R&amp;7Dirección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M27" sqref="M27"/>
    </sheetView>
  </sheetViews>
  <sheetFormatPr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488" customWidth="1"/>
    <col min="12" max="31" width="9.33203125" style="488"/>
    <col min="32" max="16384" width="9.33203125" style="95"/>
  </cols>
  <sheetData>
    <row r="1" spans="1:38" ht="11.25" customHeight="1"/>
    <row r="2" spans="1:38" ht="17.25" customHeight="1">
      <c r="A2" s="936" t="s">
        <v>287</v>
      </c>
      <c r="B2" s="936"/>
      <c r="C2" s="936"/>
      <c r="D2" s="936"/>
      <c r="E2" s="936"/>
      <c r="F2" s="936"/>
      <c r="G2" s="936"/>
      <c r="H2" s="936"/>
    </row>
    <row r="3" spans="1:38" ht="11.25" customHeight="1">
      <c r="A3" s="198"/>
      <c r="B3" s="198"/>
      <c r="C3" s="198"/>
      <c r="D3" s="198"/>
      <c r="E3" s="198"/>
      <c r="F3" s="102"/>
      <c r="G3" s="102"/>
      <c r="H3" s="102"/>
      <c r="I3" s="45"/>
      <c r="J3" s="489"/>
    </row>
    <row r="4" spans="1:38" ht="11.25" customHeight="1">
      <c r="A4" s="951" t="s">
        <v>288</v>
      </c>
      <c r="B4" s="951"/>
      <c r="C4" s="951"/>
      <c r="D4" s="951"/>
      <c r="E4" s="951"/>
      <c r="F4" s="951"/>
      <c r="G4" s="951"/>
      <c r="H4" s="951"/>
      <c r="I4" s="45"/>
      <c r="J4" s="489"/>
    </row>
    <row r="5" spans="1:38" ht="11.25" customHeight="1">
      <c r="A5" s="97"/>
      <c r="B5" s="199"/>
      <c r="C5" s="99"/>
      <c r="D5" s="99"/>
      <c r="E5" s="100"/>
      <c r="F5" s="96"/>
      <c r="G5" s="96"/>
      <c r="H5" s="101"/>
      <c r="I5" s="200"/>
      <c r="J5" s="490"/>
    </row>
    <row r="6" spans="1:38" ht="42.75" customHeight="1">
      <c r="A6" s="97"/>
      <c r="C6" s="801" t="s">
        <v>132</v>
      </c>
      <c r="D6" s="802" t="s">
        <v>774</v>
      </c>
      <c r="E6" s="802" t="s">
        <v>775</v>
      </c>
      <c r="F6" s="803" t="s">
        <v>133</v>
      </c>
      <c r="G6" s="207"/>
      <c r="H6" s="208"/>
    </row>
    <row r="7" spans="1:38" ht="11.25" customHeight="1">
      <c r="A7" s="97"/>
      <c r="C7" s="209" t="s">
        <v>134</v>
      </c>
      <c r="D7" s="210">
        <v>29.792000000000002</v>
      </c>
      <c r="E7" s="210">
        <v>24.364999770000001</v>
      </c>
      <c r="F7" s="211">
        <f>IF(E7=0,"",(D7-E7)/E7)</f>
        <v>0.22273754488937558</v>
      </c>
      <c r="G7" s="158"/>
      <c r="H7" s="668"/>
    </row>
    <row r="8" spans="1:38" ht="11.25" customHeight="1">
      <c r="A8" s="97"/>
      <c r="C8" s="212" t="s">
        <v>135</v>
      </c>
      <c r="D8" s="213">
        <v>97.497</v>
      </c>
      <c r="E8" s="213">
        <v>80.260002139999997</v>
      </c>
      <c r="F8" s="214">
        <f t="shared" ref="F8:F28" si="0">IF(E8=0,"",(D8-E8)/E8)</f>
        <v>0.2147644829355097</v>
      </c>
      <c r="G8" s="158"/>
      <c r="H8" s="668"/>
    </row>
    <row r="9" spans="1:38" ht="11.25" customHeight="1">
      <c r="A9" s="97"/>
      <c r="C9" s="209" t="s">
        <v>136</v>
      </c>
      <c r="D9" s="210">
        <v>91.875</v>
      </c>
      <c r="E9" s="210">
        <v>53.236999509999997</v>
      </c>
      <c r="F9" s="211">
        <f t="shared" si="0"/>
        <v>0.72577344413901967</v>
      </c>
      <c r="G9" s="158"/>
      <c r="H9" s="668"/>
      <c r="M9" s="491" t="s">
        <v>294</v>
      </c>
      <c r="N9" s="492"/>
      <c r="O9" s="492"/>
      <c r="P9" s="492"/>
      <c r="Q9" s="492"/>
      <c r="R9" s="492"/>
      <c r="S9" s="492"/>
      <c r="T9" s="492"/>
      <c r="U9" s="492"/>
      <c r="V9" s="492"/>
      <c r="W9" s="492"/>
      <c r="X9" s="492"/>
      <c r="Y9" s="492"/>
      <c r="Z9" s="492"/>
      <c r="AA9" s="492"/>
      <c r="AB9" s="492"/>
      <c r="AC9" s="492"/>
      <c r="AD9" s="492"/>
      <c r="AE9" s="492"/>
      <c r="AF9" s="384"/>
      <c r="AG9" s="384"/>
      <c r="AH9" s="384"/>
      <c r="AI9" s="384"/>
      <c r="AJ9" s="384"/>
      <c r="AK9" s="384"/>
      <c r="AL9" s="384"/>
    </row>
    <row r="10" spans="1:38" ht="11.25" customHeight="1">
      <c r="A10" s="97"/>
      <c r="C10" s="212" t="s">
        <v>137</v>
      </c>
      <c r="D10" s="213">
        <v>47.484000000000002</v>
      </c>
      <c r="E10" s="213">
        <v>68.339996339999999</v>
      </c>
      <c r="F10" s="214">
        <f t="shared" si="0"/>
        <v>-0.30517994522912784</v>
      </c>
      <c r="G10" s="158"/>
      <c r="H10" s="668"/>
      <c r="M10" s="491" t="s">
        <v>295</v>
      </c>
      <c r="N10" s="492"/>
      <c r="O10" s="492"/>
      <c r="P10" s="492"/>
      <c r="Q10" s="492"/>
      <c r="R10" s="492"/>
      <c r="S10" s="492"/>
      <c r="T10" s="492"/>
      <c r="AD10" s="492"/>
      <c r="AE10" s="492"/>
      <c r="AF10" s="384"/>
      <c r="AG10" s="384"/>
      <c r="AH10" s="384"/>
      <c r="AI10" s="384"/>
      <c r="AJ10" s="384"/>
      <c r="AK10" s="384"/>
      <c r="AL10" s="384"/>
    </row>
    <row r="11" spans="1:38" ht="11.25" customHeight="1">
      <c r="A11" s="97"/>
      <c r="C11" s="209" t="s">
        <v>138</v>
      </c>
      <c r="D11" s="210">
        <v>1.6679999999999999</v>
      </c>
      <c r="E11" s="210">
        <v>28.804000850000001</v>
      </c>
      <c r="F11" s="211">
        <f>IF(E11=0,"",(D11-E11)/E11)</f>
        <v>-0.94209137790662167</v>
      </c>
      <c r="G11" s="158"/>
      <c r="H11" s="668"/>
      <c r="M11" s="492"/>
      <c r="N11" s="493">
        <v>2016</v>
      </c>
      <c r="O11" s="493">
        <v>2017</v>
      </c>
      <c r="P11" s="493">
        <v>2018</v>
      </c>
      <c r="Q11" s="492"/>
      <c r="R11" s="492"/>
      <c r="S11" s="492"/>
      <c r="T11" s="492"/>
      <c r="AD11" s="492"/>
      <c r="AE11" s="492"/>
      <c r="AF11" s="384"/>
      <c r="AG11" s="384"/>
      <c r="AH11" s="384"/>
      <c r="AI11" s="384"/>
      <c r="AJ11" s="384"/>
      <c r="AK11" s="384"/>
      <c r="AL11" s="384"/>
    </row>
    <row r="12" spans="1:38" ht="11.25" customHeight="1">
      <c r="A12" s="97"/>
      <c r="C12" s="212" t="s">
        <v>139</v>
      </c>
      <c r="D12" s="213">
        <v>15.513</v>
      </c>
      <c r="E12" s="213">
        <v>19.579999919999999</v>
      </c>
      <c r="F12" s="214">
        <f t="shared" si="0"/>
        <v>-0.20771194773324592</v>
      </c>
      <c r="G12" s="158"/>
      <c r="H12" s="668"/>
      <c r="M12" s="494">
        <v>1</v>
      </c>
      <c r="N12" s="495">
        <v>138.54</v>
      </c>
      <c r="O12" s="495">
        <v>93.1</v>
      </c>
      <c r="P12" s="495">
        <v>104.46</v>
      </c>
      <c r="Q12" s="492"/>
      <c r="R12" s="492"/>
      <c r="S12" s="492"/>
      <c r="T12" s="492"/>
      <c r="AD12" s="492"/>
      <c r="AE12" s="492"/>
      <c r="AF12" s="384"/>
      <c r="AG12" s="384"/>
      <c r="AH12" s="384"/>
      <c r="AI12" s="384"/>
      <c r="AJ12" s="384"/>
      <c r="AK12" s="384"/>
      <c r="AL12" s="384"/>
    </row>
    <row r="13" spans="1:38" ht="11.25" customHeight="1">
      <c r="A13" s="97"/>
      <c r="C13" s="209" t="s">
        <v>140</v>
      </c>
      <c r="D13" s="210">
        <v>69.31</v>
      </c>
      <c r="E13" s="210">
        <v>61.400001529999997</v>
      </c>
      <c r="F13" s="211">
        <f t="shared" si="0"/>
        <v>0.12882733343475872</v>
      </c>
      <c r="G13" s="158"/>
      <c r="H13" s="668"/>
      <c r="M13" s="494">
        <v>2</v>
      </c>
      <c r="N13" s="495">
        <v>140.53</v>
      </c>
      <c r="O13" s="495">
        <v>93.1</v>
      </c>
      <c r="P13" s="495">
        <v>103.4720001</v>
      </c>
      <c r="Q13" s="492"/>
      <c r="R13" s="492"/>
      <c r="S13" s="492"/>
      <c r="T13" s="492"/>
      <c r="AD13" s="492"/>
      <c r="AE13" s="492"/>
      <c r="AF13" s="384"/>
      <c r="AG13" s="384"/>
      <c r="AH13" s="384"/>
      <c r="AI13" s="384"/>
      <c r="AJ13" s="384"/>
      <c r="AK13" s="384"/>
      <c r="AL13" s="384"/>
    </row>
    <row r="14" spans="1:38" ht="11.25" customHeight="1">
      <c r="A14" s="97"/>
      <c r="C14" s="212" t="s">
        <v>141</v>
      </c>
      <c r="D14" s="213">
        <v>215.977</v>
      </c>
      <c r="E14" s="213">
        <v>222.98300169999999</v>
      </c>
      <c r="F14" s="214">
        <f t="shared" si="0"/>
        <v>-3.1419442946713123E-2</v>
      </c>
      <c r="G14" s="158"/>
      <c r="H14" s="668"/>
      <c r="M14" s="494">
        <v>3</v>
      </c>
      <c r="N14" s="495">
        <v>140.53</v>
      </c>
      <c r="O14" s="495">
        <v>98.74</v>
      </c>
      <c r="P14" s="495">
        <v>106.08699799999999</v>
      </c>
      <c r="Q14" s="492"/>
      <c r="R14" s="492"/>
      <c r="S14" s="492"/>
      <c r="T14" s="492"/>
      <c r="AD14" s="492"/>
      <c r="AE14" s="492"/>
      <c r="AF14" s="384"/>
      <c r="AG14" s="384"/>
      <c r="AH14" s="384"/>
      <c r="AI14" s="384"/>
      <c r="AJ14" s="384"/>
      <c r="AK14" s="384"/>
      <c r="AL14" s="384"/>
    </row>
    <row r="15" spans="1:38" ht="11.25" customHeight="1">
      <c r="A15" s="97"/>
      <c r="C15" s="209" t="s">
        <v>142</v>
      </c>
      <c r="D15" s="210">
        <v>9.08</v>
      </c>
      <c r="E15" s="210">
        <v>11.27000046</v>
      </c>
      <c r="F15" s="211">
        <f t="shared" si="0"/>
        <v>-0.19432123962841438</v>
      </c>
      <c r="G15" s="158"/>
      <c r="H15" s="668"/>
      <c r="M15" s="494">
        <v>4</v>
      </c>
      <c r="N15" s="495">
        <v>137.43800000000002</v>
      </c>
      <c r="O15" s="495">
        <v>98.74</v>
      </c>
      <c r="P15" s="495">
        <v>112.7200012</v>
      </c>
      <c r="Q15" s="492"/>
      <c r="R15" s="492"/>
      <c r="S15" s="492"/>
      <c r="T15" s="492"/>
      <c r="AD15" s="492"/>
      <c r="AE15" s="492"/>
      <c r="AF15" s="384"/>
      <c r="AG15" s="384"/>
      <c r="AH15" s="384"/>
      <c r="AI15" s="384"/>
      <c r="AJ15" s="384"/>
      <c r="AK15" s="384"/>
      <c r="AL15" s="384"/>
    </row>
    <row r="16" spans="1:38" ht="11.25" customHeight="1">
      <c r="A16" s="97"/>
      <c r="C16" s="212" t="s">
        <v>143</v>
      </c>
      <c r="D16" s="213">
        <v>108.82899999999999</v>
      </c>
      <c r="E16" s="213">
        <v>138.03199770000001</v>
      </c>
      <c r="F16" s="214">
        <f t="shared" si="0"/>
        <v>-0.21156686990410783</v>
      </c>
      <c r="G16" s="158"/>
      <c r="H16" s="668"/>
      <c r="M16" s="494">
        <v>5</v>
      </c>
      <c r="N16" s="495">
        <v>137.43800000000002</v>
      </c>
      <c r="O16" s="495">
        <v>125.15</v>
      </c>
      <c r="P16" s="495">
        <v>122.3190002</v>
      </c>
      <c r="Q16" s="492"/>
      <c r="R16" s="492"/>
      <c r="S16" s="492"/>
      <c r="T16" s="492"/>
      <c r="AD16" s="492"/>
      <c r="AE16" s="492"/>
      <c r="AF16" s="384"/>
      <c r="AG16" s="384"/>
      <c r="AH16" s="384"/>
      <c r="AI16" s="384"/>
      <c r="AJ16" s="384"/>
      <c r="AK16" s="384"/>
      <c r="AL16" s="384"/>
    </row>
    <row r="17" spans="1:38" ht="11.25" customHeight="1">
      <c r="A17" s="97"/>
      <c r="C17" s="209" t="s">
        <v>144</v>
      </c>
      <c r="D17" s="210">
        <v>115.51</v>
      </c>
      <c r="E17" s="210">
        <v>155.78999329999999</v>
      </c>
      <c r="F17" s="211">
        <f t="shared" si="0"/>
        <v>-0.25855314867646245</v>
      </c>
      <c r="G17" s="158"/>
      <c r="H17" s="668"/>
      <c r="M17" s="494">
        <v>6</v>
      </c>
      <c r="N17" s="495">
        <v>137.43800000000002</v>
      </c>
      <c r="O17" s="495">
        <v>125.15</v>
      </c>
      <c r="P17" s="495">
        <v>126.1559982</v>
      </c>
      <c r="Q17" s="492"/>
      <c r="R17" s="492"/>
      <c r="S17" s="492"/>
      <c r="T17" s="492"/>
      <c r="AD17" s="492"/>
      <c r="AE17" s="492"/>
      <c r="AF17" s="384"/>
      <c r="AG17" s="384"/>
      <c r="AH17" s="384"/>
      <c r="AI17" s="384"/>
      <c r="AJ17" s="384"/>
      <c r="AK17" s="384"/>
      <c r="AL17" s="384"/>
    </row>
    <row r="18" spans="1:38" ht="11.25" customHeight="1">
      <c r="A18" s="97"/>
      <c r="C18" s="212" t="s">
        <v>145</v>
      </c>
      <c r="D18" s="213">
        <v>0.85</v>
      </c>
      <c r="E18" s="213">
        <v>0.293000013</v>
      </c>
      <c r="F18" s="214">
        <f t="shared" si="0"/>
        <v>1.9010237620706179</v>
      </c>
      <c r="G18" s="158"/>
      <c r="H18" s="668"/>
      <c r="M18" s="494">
        <v>7</v>
      </c>
      <c r="N18" s="495">
        <v>151.05499267578099</v>
      </c>
      <c r="O18" s="495">
        <v>142.99</v>
      </c>
      <c r="P18" s="495">
        <v>142.9900055</v>
      </c>
      <c r="Q18" s="492"/>
      <c r="R18" s="492"/>
      <c r="S18" s="492"/>
      <c r="T18" s="492"/>
      <c r="AD18" s="492"/>
      <c r="AE18" s="492"/>
      <c r="AF18" s="384"/>
      <c r="AG18" s="384"/>
      <c r="AH18" s="384"/>
      <c r="AI18" s="384"/>
      <c r="AJ18" s="384"/>
      <c r="AK18" s="384"/>
      <c r="AL18" s="384"/>
    </row>
    <row r="19" spans="1:38" ht="11.25" customHeight="1">
      <c r="A19" s="97"/>
      <c r="C19" s="209" t="s">
        <v>146</v>
      </c>
      <c r="D19" s="210">
        <v>23.027999999999999</v>
      </c>
      <c r="E19" s="210">
        <v>8.6909999849999995</v>
      </c>
      <c r="F19" s="211">
        <f t="shared" si="0"/>
        <v>1.6496375606655809</v>
      </c>
      <c r="G19" s="158"/>
      <c r="H19" s="668"/>
      <c r="M19" s="494">
        <v>8</v>
      </c>
      <c r="N19" s="495">
        <v>151.05499267578099</v>
      </c>
      <c r="O19" s="495">
        <v>142.99</v>
      </c>
      <c r="P19" s="495">
        <v>134.13600159999999</v>
      </c>
      <c r="Q19" s="492"/>
      <c r="R19" s="492"/>
      <c r="S19" s="492"/>
      <c r="T19" s="492"/>
      <c r="AD19" s="492"/>
      <c r="AE19" s="492"/>
      <c r="AF19" s="384"/>
      <c r="AG19" s="384"/>
      <c r="AH19" s="384"/>
      <c r="AI19" s="384"/>
      <c r="AJ19" s="384"/>
      <c r="AK19" s="384"/>
      <c r="AL19" s="384"/>
    </row>
    <row r="20" spans="1:38" ht="11.25" customHeight="1">
      <c r="A20" s="97"/>
      <c r="C20" s="212" t="s">
        <v>147</v>
      </c>
      <c r="D20" s="213">
        <v>16.632000000000001</v>
      </c>
      <c r="E20" s="213">
        <v>12.30000019</v>
      </c>
      <c r="F20" s="214">
        <f t="shared" si="0"/>
        <v>0.35219510106365298</v>
      </c>
      <c r="G20" s="158"/>
      <c r="H20" s="668"/>
      <c r="M20" s="494">
        <v>9</v>
      </c>
      <c r="N20" s="495">
        <v>165.00500489999999</v>
      </c>
      <c r="O20" s="495">
        <v>159.53</v>
      </c>
      <c r="P20" s="495">
        <v>153.34500120000001</v>
      </c>
      <c r="Q20" s="492"/>
      <c r="R20" s="492"/>
      <c r="S20" s="492"/>
      <c r="T20" s="492"/>
      <c r="AD20" s="492"/>
      <c r="AE20" s="492"/>
      <c r="AF20" s="384"/>
      <c r="AG20" s="384"/>
      <c r="AH20" s="384"/>
      <c r="AI20" s="384"/>
      <c r="AJ20" s="384"/>
      <c r="AK20" s="384"/>
      <c r="AL20" s="384"/>
    </row>
    <row r="21" spans="1:38" ht="11.25" hidden="1" customHeight="1">
      <c r="A21" s="97"/>
      <c r="C21" s="209" t="s">
        <v>148</v>
      </c>
      <c r="D21" s="866" t="s">
        <v>311</v>
      </c>
      <c r="E21" s="866" t="s">
        <v>311</v>
      </c>
      <c r="F21" s="211"/>
      <c r="G21" s="158"/>
      <c r="H21" s="668"/>
      <c r="M21" s="494">
        <v>10</v>
      </c>
      <c r="N21" s="495">
        <v>165.00500489999999</v>
      </c>
      <c r="O21" s="495">
        <v>159.53</v>
      </c>
      <c r="P21" s="495">
        <v>153.0590057</v>
      </c>
      <c r="Q21" s="492"/>
      <c r="R21" s="492"/>
      <c r="S21" s="492"/>
      <c r="T21" s="492"/>
      <c r="AD21" s="492"/>
      <c r="AE21" s="492"/>
      <c r="AF21" s="384"/>
      <c r="AG21" s="384"/>
      <c r="AH21" s="384"/>
      <c r="AI21" s="384"/>
      <c r="AJ21" s="384"/>
      <c r="AK21" s="384"/>
      <c r="AL21" s="384"/>
    </row>
    <row r="22" spans="1:38" ht="11.25" customHeight="1">
      <c r="A22" s="97"/>
      <c r="C22" s="212" t="s">
        <v>149</v>
      </c>
      <c r="D22" s="213">
        <v>2.6709999999999998</v>
      </c>
      <c r="E22" s="213">
        <v>3.0599999430000002</v>
      </c>
      <c r="F22" s="214">
        <f t="shared" si="0"/>
        <v>-0.12712416674708427</v>
      </c>
      <c r="G22" s="158"/>
      <c r="H22" s="668"/>
      <c r="M22" s="494">
        <v>11</v>
      </c>
      <c r="N22" s="495">
        <v>186.45199584960901</v>
      </c>
      <c r="O22" s="495">
        <v>184.94</v>
      </c>
      <c r="P22" s="495">
        <v>162.93200680000001</v>
      </c>
      <c r="Q22" s="496"/>
      <c r="R22" s="496"/>
      <c r="S22" s="496"/>
      <c r="T22" s="496"/>
      <c r="AD22" s="496"/>
      <c r="AE22" s="496"/>
      <c r="AF22" s="385"/>
      <c r="AG22" s="385"/>
      <c r="AH22" s="385"/>
      <c r="AI22" s="385"/>
      <c r="AJ22" s="385"/>
      <c r="AK22" s="385"/>
      <c r="AL22" s="385"/>
    </row>
    <row r="23" spans="1:38" ht="11.25" customHeight="1">
      <c r="A23" s="97"/>
      <c r="C23" s="209" t="s">
        <v>150</v>
      </c>
      <c r="D23" s="210">
        <v>1.5169999999999999</v>
      </c>
      <c r="E23" s="210">
        <v>0.76899999399999996</v>
      </c>
      <c r="F23" s="211">
        <f t="shared" si="0"/>
        <v>0.97269182293387635</v>
      </c>
      <c r="G23" s="158"/>
      <c r="H23" s="668"/>
      <c r="M23" s="494">
        <v>12</v>
      </c>
      <c r="N23" s="495">
        <v>186.45199584960901</v>
      </c>
      <c r="O23" s="495">
        <v>184.94</v>
      </c>
      <c r="P23" s="495">
        <v>172.76199339999999</v>
      </c>
      <c r="Q23" s="496"/>
      <c r="R23" s="496"/>
      <c r="S23" s="496"/>
      <c r="T23" s="496"/>
      <c r="AD23" s="496"/>
      <c r="AE23" s="496"/>
      <c r="AF23" s="385"/>
      <c r="AG23" s="385"/>
      <c r="AH23" s="385"/>
      <c r="AI23" s="385"/>
      <c r="AJ23" s="385"/>
      <c r="AK23" s="385"/>
      <c r="AL23" s="385"/>
    </row>
    <row r="24" spans="1:38" ht="11.25" customHeight="1">
      <c r="A24" s="97"/>
      <c r="C24" s="212" t="s">
        <v>626</v>
      </c>
      <c r="D24" s="213">
        <v>0.13900000000000001</v>
      </c>
      <c r="E24" s="213">
        <v>9.4610004429999996</v>
      </c>
      <c r="F24" s="214">
        <f t="shared" si="0"/>
        <v>-0.9853081076533674</v>
      </c>
      <c r="G24" s="158"/>
      <c r="H24" s="668"/>
      <c r="M24" s="494">
        <v>13</v>
      </c>
      <c r="N24" s="495">
        <v>195.64999389648401</v>
      </c>
      <c r="O24" s="495">
        <v>203.73</v>
      </c>
      <c r="P24" s="495">
        <v>182.13900760000001</v>
      </c>
      <c r="Q24" s="496"/>
      <c r="R24" s="496"/>
      <c r="S24" s="496"/>
      <c r="T24" s="496"/>
      <c r="AD24" s="496"/>
      <c r="AE24" s="496"/>
      <c r="AF24" s="385"/>
      <c r="AG24" s="385"/>
      <c r="AH24" s="385"/>
      <c r="AI24" s="385"/>
      <c r="AJ24" s="385"/>
      <c r="AK24" s="385"/>
      <c r="AL24" s="385"/>
    </row>
    <row r="25" spans="1:38" ht="11.25" customHeight="1">
      <c r="A25" s="97"/>
      <c r="C25" s="209" t="s">
        <v>151</v>
      </c>
      <c r="D25" s="210">
        <v>154.08000179999999</v>
      </c>
      <c r="E25" s="210">
        <v>165.56</v>
      </c>
      <c r="F25" s="211">
        <f t="shared" si="0"/>
        <v>-6.9340409519207599E-2</v>
      </c>
      <c r="G25" s="158"/>
      <c r="H25" s="668"/>
      <c r="M25" s="494">
        <v>14</v>
      </c>
      <c r="N25" s="495">
        <v>195.64999389648401</v>
      </c>
      <c r="O25" s="495">
        <v>203.73</v>
      </c>
      <c r="P25" s="495">
        <v>191.4750061</v>
      </c>
      <c r="Q25" s="496"/>
      <c r="R25" s="496"/>
      <c r="S25" s="496"/>
      <c r="T25" s="496"/>
      <c r="AD25" s="496"/>
      <c r="AE25" s="496"/>
      <c r="AF25" s="385"/>
      <c r="AG25" s="385"/>
      <c r="AH25" s="385"/>
      <c r="AI25" s="385"/>
      <c r="AJ25" s="385"/>
      <c r="AK25" s="385"/>
      <c r="AL25" s="385"/>
    </row>
    <row r="26" spans="1:38" ht="11.25" customHeight="1">
      <c r="A26" s="97"/>
      <c r="C26" s="212" t="s">
        <v>152</v>
      </c>
      <c r="D26" s="213">
        <v>21.131999969999999</v>
      </c>
      <c r="E26" s="213">
        <v>34.5</v>
      </c>
      <c r="F26" s="214">
        <f t="shared" si="0"/>
        <v>-0.38747826173913047</v>
      </c>
      <c r="G26" s="669"/>
      <c r="H26" s="669"/>
      <c r="M26" s="494">
        <v>15</v>
      </c>
      <c r="N26" s="495">
        <v>201.93600463867099</v>
      </c>
      <c r="O26" s="495">
        <v>203.73</v>
      </c>
      <c r="P26" s="495">
        <v>198.43899540000001</v>
      </c>
      <c r="Q26" s="496"/>
      <c r="R26" s="496"/>
      <c r="S26" s="496"/>
      <c r="T26" s="496"/>
      <c r="AD26" s="496"/>
      <c r="AE26" s="496"/>
      <c r="AF26" s="385"/>
      <c r="AG26" s="385"/>
      <c r="AH26" s="385"/>
      <c r="AI26" s="385"/>
      <c r="AJ26" s="385"/>
      <c r="AK26" s="385"/>
      <c r="AL26" s="385"/>
    </row>
    <row r="27" spans="1:38" ht="11.25" customHeight="1">
      <c r="A27" s="97"/>
      <c r="C27" s="209" t="s">
        <v>153</v>
      </c>
      <c r="D27" s="210">
        <v>25.675999999999998</v>
      </c>
      <c r="E27" s="210">
        <v>41.896999999999998</v>
      </c>
      <c r="F27" s="211">
        <f t="shared" si="0"/>
        <v>-0.38716375874167602</v>
      </c>
      <c r="G27" s="669"/>
      <c r="H27" s="669"/>
      <c r="M27" s="494">
        <v>16</v>
      </c>
      <c r="N27" s="495">
        <v>201.93600463867099</v>
      </c>
      <c r="O27" s="495">
        <v>222.8</v>
      </c>
      <c r="P27" s="495">
        <v>201.52999879999999</v>
      </c>
      <c r="Q27" s="496"/>
      <c r="R27" s="496"/>
      <c r="S27" s="496"/>
      <c r="T27" s="496"/>
      <c r="AD27" s="496"/>
      <c r="AE27" s="496"/>
      <c r="AF27" s="385"/>
      <c r="AG27" s="385"/>
      <c r="AH27" s="385"/>
      <c r="AI27" s="385"/>
      <c r="AJ27" s="385"/>
      <c r="AK27" s="385"/>
      <c r="AL27" s="385"/>
    </row>
    <row r="28" spans="1:38" ht="11.25" customHeight="1">
      <c r="A28" s="97"/>
      <c r="C28" s="212" t="s">
        <v>154</v>
      </c>
      <c r="D28" s="213">
        <v>318.99200000000002</v>
      </c>
      <c r="E28" s="213">
        <v>335.4219971</v>
      </c>
      <c r="F28" s="214">
        <f t="shared" si="0"/>
        <v>-4.8983063848080523E-2</v>
      </c>
      <c r="G28" s="669"/>
      <c r="H28" s="669"/>
      <c r="M28" s="494">
        <v>17</v>
      </c>
      <c r="N28" s="495">
        <v>201.93600463867099</v>
      </c>
      <c r="O28" s="495">
        <v>222.8</v>
      </c>
      <c r="P28" s="495">
        <v>206.03700259999999</v>
      </c>
      <c r="Q28" s="496"/>
      <c r="R28" s="496"/>
      <c r="S28" s="496"/>
      <c r="T28" s="496"/>
      <c r="AD28" s="496"/>
      <c r="AE28" s="496"/>
      <c r="AF28" s="385"/>
      <c r="AG28" s="385"/>
      <c r="AH28" s="385"/>
      <c r="AI28" s="385"/>
      <c r="AJ28" s="385"/>
      <c r="AK28" s="385"/>
      <c r="AL28" s="385"/>
    </row>
    <row r="29" spans="1:38" ht="35.25" customHeight="1">
      <c r="A29" s="94"/>
      <c r="C29" s="952" t="str">
        <f>"Cuadro N°9: Volúmen útil de los principales embalses y lagunas del SEIN al término del periodo mensual ("&amp;'1. Resumen'!Q7&amp;" de "&amp;'1. Resumen'!Q4&amp;") "</f>
        <v xml:space="preserve">Cuadro N°9: Volúmen útil de los principales embalses y lagunas del SEIN al término del periodo mensual (30 de setiembre) </v>
      </c>
      <c r="D29" s="952"/>
      <c r="E29" s="952"/>
      <c r="F29" s="952"/>
      <c r="G29" s="669"/>
      <c r="H29" s="669"/>
      <c r="I29" s="203"/>
      <c r="J29" s="497"/>
      <c r="M29" s="494">
        <v>18</v>
      </c>
      <c r="N29" s="495">
        <v>207.58900451660099</v>
      </c>
      <c r="O29" s="495">
        <v>225.58</v>
      </c>
      <c r="P29" s="495">
        <v>213.67399599999999</v>
      </c>
      <c r="Q29" s="496"/>
      <c r="R29" s="496"/>
      <c r="S29" s="496"/>
      <c r="T29" s="496"/>
      <c r="AD29" s="496"/>
      <c r="AE29" s="496"/>
      <c r="AF29" s="385"/>
      <c r="AG29" s="385"/>
      <c r="AH29" s="385"/>
      <c r="AI29" s="385"/>
      <c r="AJ29" s="385"/>
      <c r="AK29" s="385"/>
      <c r="AL29" s="385"/>
    </row>
    <row r="30" spans="1:38" ht="11.25" customHeight="1">
      <c r="A30" s="94"/>
      <c r="B30" s="217"/>
      <c r="C30" s="217" t="s">
        <v>312</v>
      </c>
      <c r="D30" s="217"/>
      <c r="E30" s="217"/>
      <c r="F30" s="215"/>
      <c r="G30" s="669"/>
      <c r="H30" s="669"/>
      <c r="M30" s="494">
        <v>19</v>
      </c>
      <c r="N30" s="495">
        <v>207.58900451660099</v>
      </c>
      <c r="O30" s="495">
        <v>225.58</v>
      </c>
      <c r="P30" s="495">
        <v>216.75700380000001</v>
      </c>
      <c r="Q30" s="496"/>
      <c r="R30" s="496"/>
      <c r="S30" s="496"/>
      <c r="T30" s="496"/>
      <c r="AD30" s="496"/>
      <c r="AE30" s="496"/>
      <c r="AF30" s="385"/>
      <c r="AG30" s="385"/>
      <c r="AH30" s="385"/>
      <c r="AI30" s="385"/>
      <c r="AJ30" s="385"/>
      <c r="AK30" s="385"/>
      <c r="AL30" s="385"/>
    </row>
    <row r="31" spans="1:38" ht="11.25" customHeight="1">
      <c r="A31" s="94"/>
      <c r="B31" s="217"/>
      <c r="C31" s="217"/>
      <c r="D31" s="217"/>
      <c r="E31" s="217"/>
      <c r="F31" s="215"/>
      <c r="G31" s="215"/>
      <c r="H31" s="215"/>
      <c r="I31" s="203"/>
      <c r="J31" s="497"/>
      <c r="M31" s="494">
        <v>20</v>
      </c>
      <c r="N31" s="495">
        <v>205.7</v>
      </c>
      <c r="O31" s="495">
        <v>226.61</v>
      </c>
      <c r="P31" s="495">
        <v>217.29400630000001</v>
      </c>
      <c r="Q31" s="496"/>
      <c r="R31" s="496"/>
      <c r="S31" s="496"/>
      <c r="T31" s="496"/>
      <c r="AD31" s="496"/>
      <c r="AE31" s="496"/>
      <c r="AF31" s="385"/>
      <c r="AG31" s="385"/>
      <c r="AH31" s="385"/>
      <c r="AI31" s="385"/>
      <c r="AJ31" s="385"/>
      <c r="AK31" s="385"/>
      <c r="AL31" s="385"/>
    </row>
    <row r="32" spans="1:38" ht="11.25" customHeight="1">
      <c r="A32" s="951" t="s">
        <v>487</v>
      </c>
      <c r="B32" s="951"/>
      <c r="C32" s="951"/>
      <c r="D32" s="951"/>
      <c r="E32" s="951"/>
      <c r="F32" s="951"/>
      <c r="G32" s="951"/>
      <c r="H32" s="951"/>
      <c r="I32" s="202"/>
      <c r="J32" s="497"/>
      <c r="M32" s="494">
        <v>21</v>
      </c>
      <c r="N32" s="495">
        <v>205.7</v>
      </c>
      <c r="O32" s="495">
        <v>226.61</v>
      </c>
      <c r="P32" s="495">
        <v>218.3190002</v>
      </c>
      <c r="Q32" s="496"/>
      <c r="R32" s="496"/>
      <c r="S32" s="496"/>
      <c r="T32" s="496"/>
      <c r="AD32" s="496"/>
      <c r="AE32" s="496"/>
      <c r="AF32" s="385"/>
      <c r="AG32" s="385"/>
      <c r="AH32" s="385"/>
      <c r="AI32" s="385"/>
      <c r="AJ32" s="385"/>
      <c r="AK32" s="385"/>
      <c r="AL32" s="385"/>
    </row>
    <row r="33" spans="1:38" ht="11.25" customHeight="1">
      <c r="A33" s="94"/>
      <c r="B33" s="102"/>
      <c r="C33" s="102"/>
      <c r="D33" s="102"/>
      <c r="E33" s="102"/>
      <c r="F33" s="102"/>
      <c r="G33" s="102"/>
      <c r="H33" s="102"/>
      <c r="I33" s="202"/>
      <c r="J33" s="497"/>
      <c r="M33" s="494">
        <v>22</v>
      </c>
      <c r="N33" s="495">
        <v>204.65</v>
      </c>
      <c r="O33" s="495">
        <v>227.42</v>
      </c>
      <c r="P33" s="495">
        <v>218.79899599999999</v>
      </c>
      <c r="Q33" s="496"/>
      <c r="R33" s="496"/>
      <c r="S33" s="496"/>
      <c r="T33" s="496"/>
      <c r="AD33" s="496"/>
      <c r="AE33" s="496"/>
      <c r="AF33" s="385"/>
      <c r="AG33" s="385"/>
      <c r="AH33" s="385"/>
      <c r="AI33" s="385"/>
      <c r="AJ33" s="385"/>
      <c r="AK33" s="385"/>
      <c r="AL33" s="385"/>
    </row>
    <row r="34" spans="1:38" ht="11.25" customHeight="1">
      <c r="A34" s="94"/>
      <c r="B34" s="102"/>
      <c r="C34" s="102"/>
      <c r="D34" s="102"/>
      <c r="E34" s="102"/>
      <c r="F34" s="102"/>
      <c r="G34" s="102"/>
      <c r="H34" s="102"/>
      <c r="I34" s="202"/>
      <c r="J34" s="497"/>
      <c r="M34" s="494">
        <v>23</v>
      </c>
      <c r="N34" s="495">
        <v>204.65</v>
      </c>
      <c r="O34" s="495">
        <v>227.42</v>
      </c>
      <c r="P34" s="495">
        <v>217.8880005</v>
      </c>
      <c r="Q34" s="496"/>
      <c r="R34" s="496"/>
      <c r="S34" s="496"/>
      <c r="T34" s="496"/>
      <c r="AD34" s="496"/>
      <c r="AE34" s="496"/>
      <c r="AF34" s="385"/>
      <c r="AG34" s="385"/>
      <c r="AH34" s="385"/>
      <c r="AI34" s="385"/>
      <c r="AJ34" s="385"/>
      <c r="AK34" s="385"/>
      <c r="AL34" s="385"/>
    </row>
    <row r="35" spans="1:38" ht="11.25" customHeight="1">
      <c r="A35" s="94"/>
      <c r="B35" s="102"/>
      <c r="C35" s="102"/>
      <c r="D35" s="102"/>
      <c r="E35" s="102"/>
      <c r="F35" s="102"/>
      <c r="G35" s="102"/>
      <c r="H35" s="102"/>
      <c r="I35" s="204"/>
      <c r="J35" s="497"/>
      <c r="M35" s="494">
        <v>24</v>
      </c>
      <c r="N35" s="495">
        <v>200.38</v>
      </c>
      <c r="O35" s="495">
        <v>227.45</v>
      </c>
      <c r="P35" s="495">
        <v>216.04899599999999</v>
      </c>
      <c r="Q35" s="496"/>
      <c r="R35" s="496"/>
      <c r="S35" s="496"/>
      <c r="T35" s="496"/>
      <c r="AD35" s="496"/>
      <c r="AE35" s="496"/>
      <c r="AF35" s="385"/>
      <c r="AG35" s="385"/>
      <c r="AH35" s="385"/>
      <c r="AI35" s="385"/>
      <c r="AJ35" s="385"/>
      <c r="AK35" s="385"/>
      <c r="AL35" s="385"/>
    </row>
    <row r="36" spans="1:38" ht="11.25" customHeight="1">
      <c r="A36" s="94"/>
      <c r="B36" s="102"/>
      <c r="C36" s="102"/>
      <c r="D36" s="102"/>
      <c r="E36" s="102"/>
      <c r="F36" s="102"/>
      <c r="G36" s="102"/>
      <c r="H36" s="102"/>
      <c r="I36" s="202"/>
      <c r="J36" s="497"/>
      <c r="M36" s="494">
        <v>25</v>
      </c>
      <c r="N36" s="495">
        <v>200.38</v>
      </c>
      <c r="O36" s="495">
        <v>227.45</v>
      </c>
      <c r="P36" s="495">
        <v>212.24600219999999</v>
      </c>
      <c r="Q36" s="496"/>
      <c r="R36" s="496"/>
      <c r="S36" s="496"/>
      <c r="T36" s="496"/>
      <c r="AD36" s="496"/>
      <c r="AE36" s="496"/>
      <c r="AF36" s="385"/>
      <c r="AG36" s="385"/>
      <c r="AH36" s="385"/>
      <c r="AI36" s="385"/>
      <c r="AJ36" s="385"/>
      <c r="AK36" s="385"/>
      <c r="AL36" s="385"/>
    </row>
    <row r="37" spans="1:38" ht="11.25" customHeight="1">
      <c r="A37" s="94"/>
      <c r="B37" s="102"/>
      <c r="C37" s="102"/>
      <c r="D37" s="102"/>
      <c r="E37" s="102"/>
      <c r="F37" s="102"/>
      <c r="G37" s="102"/>
      <c r="H37" s="102"/>
      <c r="I37" s="202"/>
      <c r="J37" s="498"/>
      <c r="M37" s="494">
        <v>26</v>
      </c>
      <c r="N37" s="495">
        <v>193.55099487304599</v>
      </c>
      <c r="O37" s="495">
        <v>225.56</v>
      </c>
      <c r="P37" s="495">
        <v>210.22099299999999</v>
      </c>
      <c r="Q37" s="496"/>
      <c r="R37" s="496"/>
      <c r="S37" s="496"/>
      <c r="T37" s="496"/>
      <c r="AD37" s="496"/>
      <c r="AE37" s="496"/>
      <c r="AF37" s="385"/>
      <c r="AG37" s="385"/>
      <c r="AH37" s="385"/>
      <c r="AI37" s="385"/>
      <c r="AJ37" s="385"/>
      <c r="AK37" s="385"/>
      <c r="AL37" s="385"/>
    </row>
    <row r="38" spans="1:38" ht="11.25" customHeight="1">
      <c r="A38" s="94"/>
      <c r="B38" s="102"/>
      <c r="C38" s="102"/>
      <c r="D38" s="102"/>
      <c r="E38" s="102"/>
      <c r="F38" s="102"/>
      <c r="G38" s="102"/>
      <c r="H38" s="102"/>
      <c r="I38" s="202"/>
      <c r="J38" s="498"/>
      <c r="M38" s="494">
        <v>27</v>
      </c>
      <c r="N38" s="495">
        <v>193.55099487304599</v>
      </c>
      <c r="O38" s="495">
        <v>225.56</v>
      </c>
      <c r="P38" s="495">
        <v>209.85200499999999</v>
      </c>
      <c r="Q38" s="496"/>
      <c r="R38" s="496"/>
      <c r="S38" s="496"/>
      <c r="T38" s="496"/>
      <c r="AD38" s="496"/>
      <c r="AE38" s="496"/>
      <c r="AF38" s="385"/>
      <c r="AG38" s="385"/>
      <c r="AH38" s="385"/>
      <c r="AI38" s="385"/>
      <c r="AJ38" s="385"/>
      <c r="AK38" s="385"/>
      <c r="AL38" s="385"/>
    </row>
    <row r="39" spans="1:38" ht="11.25" customHeight="1">
      <c r="A39" s="94"/>
      <c r="B39" s="102"/>
      <c r="C39" s="102"/>
      <c r="D39" s="102"/>
      <c r="E39" s="102"/>
      <c r="F39" s="102"/>
      <c r="G39" s="102"/>
      <c r="H39" s="102"/>
      <c r="I39" s="202"/>
      <c r="J39" s="499"/>
      <c r="M39" s="494">
        <v>28</v>
      </c>
      <c r="N39" s="495">
        <v>186.01199339999999</v>
      </c>
      <c r="O39" s="500">
        <v>225.56</v>
      </c>
      <c r="P39" s="500">
        <v>203.92900090000001</v>
      </c>
      <c r="Q39" s="496"/>
      <c r="R39" s="496"/>
      <c r="S39" s="496"/>
      <c r="T39" s="496"/>
      <c r="AD39" s="496"/>
      <c r="AE39" s="496"/>
      <c r="AF39" s="385"/>
      <c r="AG39" s="385"/>
      <c r="AH39" s="385"/>
      <c r="AI39" s="385"/>
      <c r="AJ39" s="385"/>
      <c r="AK39" s="385"/>
      <c r="AL39" s="385"/>
    </row>
    <row r="40" spans="1:38" ht="11.25" customHeight="1">
      <c r="A40" s="94"/>
      <c r="B40" s="102"/>
      <c r="C40" s="102"/>
      <c r="D40" s="102"/>
      <c r="E40" s="102"/>
      <c r="F40" s="102"/>
      <c r="G40" s="102"/>
      <c r="H40" s="102"/>
      <c r="I40" s="202"/>
      <c r="J40" s="499"/>
      <c r="M40" s="494">
        <v>29</v>
      </c>
      <c r="N40" s="495">
        <v>186.01199339999999</v>
      </c>
      <c r="O40" s="495">
        <v>222.04</v>
      </c>
      <c r="P40" s="495">
        <v>200.56300350000001</v>
      </c>
      <c r="Q40" s="496"/>
      <c r="R40" s="496"/>
      <c r="S40" s="496"/>
      <c r="T40" s="496"/>
      <c r="AD40" s="496"/>
      <c r="AE40" s="496"/>
      <c r="AF40" s="385"/>
      <c r="AG40" s="385"/>
      <c r="AH40" s="385"/>
      <c r="AI40" s="385"/>
      <c r="AJ40" s="385"/>
      <c r="AK40" s="385"/>
      <c r="AL40" s="385"/>
    </row>
    <row r="41" spans="1:38" ht="11.25" customHeight="1">
      <c r="A41" s="94"/>
      <c r="B41" s="102"/>
      <c r="C41" s="102"/>
      <c r="D41" s="102"/>
      <c r="E41" s="102"/>
      <c r="F41" s="102"/>
      <c r="G41" s="102"/>
      <c r="H41" s="102"/>
      <c r="I41" s="202"/>
      <c r="J41" s="499"/>
      <c r="M41" s="494">
        <v>30</v>
      </c>
      <c r="N41" s="495">
        <v>186.01199339999999</v>
      </c>
      <c r="O41" s="495">
        <v>222.04</v>
      </c>
      <c r="P41" s="495">
        <v>194.94900509999999</v>
      </c>
      <c r="Q41" s="496"/>
      <c r="R41" s="496"/>
      <c r="S41" s="496"/>
      <c r="T41" s="496"/>
      <c r="AD41" s="496"/>
      <c r="AE41" s="496"/>
      <c r="AF41" s="385"/>
      <c r="AG41" s="385"/>
      <c r="AH41" s="385"/>
      <c r="AI41" s="385"/>
      <c r="AJ41" s="385"/>
      <c r="AK41" s="385"/>
      <c r="AL41" s="385"/>
    </row>
    <row r="42" spans="1:38" ht="11.25" customHeight="1">
      <c r="A42" s="94"/>
      <c r="B42" s="102"/>
      <c r="C42" s="102"/>
      <c r="D42" s="102"/>
      <c r="E42" s="102"/>
      <c r="F42" s="102"/>
      <c r="G42" s="102"/>
      <c r="H42" s="102"/>
      <c r="I42" s="204"/>
      <c r="J42" s="498"/>
      <c r="M42" s="494">
        <v>31</v>
      </c>
      <c r="N42" s="495">
        <v>178.58200070000001</v>
      </c>
      <c r="O42" s="495">
        <v>213.13</v>
      </c>
      <c r="P42" s="495">
        <v>188.386</v>
      </c>
      <c r="Q42" s="496"/>
      <c r="R42" s="496"/>
      <c r="S42" s="496"/>
      <c r="T42" s="496"/>
      <c r="AD42" s="496"/>
      <c r="AE42" s="496"/>
      <c r="AF42" s="385"/>
      <c r="AG42" s="385"/>
      <c r="AH42" s="385"/>
      <c r="AI42" s="385"/>
      <c r="AJ42" s="385"/>
      <c r="AK42" s="385"/>
      <c r="AL42" s="385"/>
    </row>
    <row r="43" spans="1:38" ht="11.25" customHeight="1">
      <c r="A43" s="94"/>
      <c r="B43" s="102"/>
      <c r="C43" s="102"/>
      <c r="D43" s="102"/>
      <c r="E43" s="102"/>
      <c r="F43" s="102"/>
      <c r="G43" s="102"/>
      <c r="H43" s="102"/>
      <c r="I43" s="202"/>
      <c r="J43" s="498"/>
      <c r="M43" s="494">
        <v>32</v>
      </c>
      <c r="N43" s="495">
        <v>178.58200070000001</v>
      </c>
      <c r="O43" s="495">
        <v>213.13</v>
      </c>
      <c r="P43" s="495">
        <v>184.72900390000001</v>
      </c>
      <c r="Q43" s="496"/>
      <c r="R43" s="496"/>
      <c r="S43" s="496"/>
      <c r="T43" s="496"/>
      <c r="AD43" s="496"/>
      <c r="AE43" s="496"/>
      <c r="AF43" s="385"/>
      <c r="AG43" s="385"/>
      <c r="AH43" s="385"/>
      <c r="AI43" s="385"/>
      <c r="AJ43" s="385"/>
      <c r="AK43" s="385"/>
      <c r="AL43" s="385"/>
    </row>
    <row r="44" spans="1:38" ht="11.25" customHeight="1">
      <c r="A44" s="94"/>
      <c r="B44" s="102"/>
      <c r="C44" s="102"/>
      <c r="D44" s="102"/>
      <c r="E44" s="102"/>
      <c r="F44" s="102"/>
      <c r="G44" s="102"/>
      <c r="H44" s="102"/>
      <c r="I44" s="202"/>
      <c r="J44" s="498"/>
      <c r="M44" s="494">
        <v>33</v>
      </c>
      <c r="N44" s="495">
        <v>169.01100159999999</v>
      </c>
      <c r="O44" s="495">
        <v>205.97</v>
      </c>
      <c r="P44" s="495">
        <v>178.8809967</v>
      </c>
      <c r="Q44" s="496"/>
      <c r="R44" s="496"/>
      <c r="S44" s="496"/>
      <c r="T44" s="496"/>
      <c r="AD44" s="496"/>
      <c r="AE44" s="496"/>
      <c r="AF44" s="385"/>
      <c r="AG44" s="385"/>
      <c r="AH44" s="385"/>
      <c r="AI44" s="385"/>
      <c r="AJ44" s="385"/>
      <c r="AK44" s="385"/>
      <c r="AL44" s="385"/>
    </row>
    <row r="45" spans="1:38" ht="11.25" customHeight="1">
      <c r="A45" s="94"/>
      <c r="B45" s="102"/>
      <c r="C45" s="102"/>
      <c r="D45" s="102"/>
      <c r="E45" s="102"/>
      <c r="F45" s="102"/>
      <c r="G45" s="102"/>
      <c r="H45" s="102"/>
      <c r="I45" s="205"/>
      <c r="J45" s="501"/>
      <c r="M45" s="494">
        <v>34</v>
      </c>
      <c r="N45" s="495">
        <v>169.01100159999999</v>
      </c>
      <c r="O45" s="495">
        <v>199.49</v>
      </c>
      <c r="P45" s="495">
        <v>176.98599239999999</v>
      </c>
      <c r="Q45" s="496"/>
      <c r="R45" s="496"/>
      <c r="S45" s="496"/>
      <c r="T45" s="496"/>
      <c r="AD45" s="496"/>
      <c r="AE45" s="496"/>
      <c r="AF45" s="385"/>
      <c r="AG45" s="385"/>
      <c r="AH45" s="385"/>
      <c r="AI45" s="385"/>
      <c r="AJ45" s="385"/>
      <c r="AK45" s="385"/>
      <c r="AL45" s="385"/>
    </row>
    <row r="46" spans="1:38" ht="11.25" customHeight="1">
      <c r="A46" s="94"/>
      <c r="B46" s="102"/>
      <c r="C46" s="102"/>
      <c r="D46" s="102"/>
      <c r="E46" s="102"/>
      <c r="F46" s="102"/>
      <c r="G46" s="102"/>
      <c r="H46" s="102"/>
      <c r="I46" s="206"/>
      <c r="J46" s="502"/>
      <c r="M46" s="494">
        <v>35</v>
      </c>
      <c r="N46" s="503">
        <v>158.09199523925699</v>
      </c>
      <c r="O46" s="495">
        <v>193.4</v>
      </c>
      <c r="P46" s="495">
        <v>173.36999510000001</v>
      </c>
      <c r="Q46" s="496"/>
      <c r="R46" s="496"/>
      <c r="S46" s="496"/>
      <c r="T46" s="496"/>
      <c r="AD46" s="496"/>
      <c r="AE46" s="496"/>
      <c r="AF46" s="385"/>
      <c r="AG46" s="385"/>
      <c r="AH46" s="385"/>
      <c r="AI46" s="385"/>
      <c r="AJ46" s="385"/>
      <c r="AK46" s="385"/>
      <c r="AL46" s="385"/>
    </row>
    <row r="47" spans="1:38" ht="11.25" customHeight="1">
      <c r="A47" s="94"/>
      <c r="B47" s="102"/>
      <c r="C47" s="102"/>
      <c r="D47" s="102"/>
      <c r="E47" s="102"/>
      <c r="F47" s="102"/>
      <c r="G47" s="102"/>
      <c r="H47" s="102"/>
      <c r="I47" s="206"/>
      <c r="J47" s="502"/>
      <c r="M47" s="494">
        <v>36</v>
      </c>
      <c r="N47" s="503">
        <v>158.09199523925699</v>
      </c>
      <c r="O47" s="495">
        <v>187.93</v>
      </c>
      <c r="P47" s="495">
        <v>162.30700680000001</v>
      </c>
      <c r="Q47" s="496"/>
      <c r="R47" s="496"/>
      <c r="S47" s="496"/>
      <c r="T47" s="496"/>
      <c r="AD47" s="496"/>
      <c r="AE47" s="496"/>
      <c r="AF47" s="385"/>
      <c r="AG47" s="385"/>
      <c r="AH47" s="385"/>
      <c r="AI47" s="385"/>
      <c r="AJ47" s="385"/>
      <c r="AK47" s="385"/>
      <c r="AL47" s="385"/>
    </row>
    <row r="48" spans="1:38" ht="11.25" customHeight="1">
      <c r="A48" s="94"/>
      <c r="B48" s="102"/>
      <c r="C48" s="102"/>
      <c r="D48" s="102"/>
      <c r="E48" s="102"/>
      <c r="F48" s="102"/>
      <c r="G48" s="102"/>
      <c r="H48" s="102"/>
      <c r="I48" s="206"/>
      <c r="J48" s="502"/>
      <c r="M48" s="494">
        <v>37</v>
      </c>
      <c r="N48" s="495">
        <v>147.0650024</v>
      </c>
      <c r="O48" s="495">
        <v>182.85</v>
      </c>
      <c r="P48" s="495">
        <v>153.61700440000001</v>
      </c>
      <c r="Q48" s="496"/>
      <c r="R48" s="496"/>
      <c r="S48" s="496"/>
      <c r="T48" s="496"/>
      <c r="AD48" s="496"/>
      <c r="AE48" s="496"/>
      <c r="AF48" s="385"/>
      <c r="AG48" s="385"/>
      <c r="AH48" s="385"/>
      <c r="AI48" s="385"/>
      <c r="AJ48" s="385"/>
      <c r="AK48" s="385"/>
      <c r="AL48" s="385"/>
    </row>
    <row r="49" spans="1:38" ht="11.25" customHeight="1">
      <c r="A49" s="94"/>
      <c r="B49" s="102"/>
      <c r="C49" s="102"/>
      <c r="D49" s="102"/>
      <c r="E49" s="102"/>
      <c r="F49" s="102"/>
      <c r="G49" s="102"/>
      <c r="H49" s="102"/>
      <c r="I49" s="206"/>
      <c r="J49" s="502"/>
      <c r="M49" s="494">
        <v>38</v>
      </c>
      <c r="N49" s="495">
        <v>147.0650024</v>
      </c>
      <c r="O49" s="495">
        <v>179.77</v>
      </c>
      <c r="P49" s="495"/>
      <c r="Q49" s="496"/>
      <c r="R49" s="496"/>
      <c r="S49" s="496"/>
      <c r="T49" s="496"/>
      <c r="AD49" s="496"/>
      <c r="AE49" s="496"/>
      <c r="AF49" s="385"/>
      <c r="AG49" s="385"/>
      <c r="AH49" s="385"/>
      <c r="AI49" s="385"/>
      <c r="AJ49" s="385"/>
      <c r="AK49" s="385"/>
      <c r="AL49" s="385"/>
    </row>
    <row r="50" spans="1:38" ht="12.75">
      <c r="A50" s="94"/>
      <c r="B50" s="102"/>
      <c r="C50" s="102"/>
      <c r="D50" s="102"/>
      <c r="E50" s="102"/>
      <c r="F50" s="102"/>
      <c r="G50" s="102"/>
      <c r="H50" s="102"/>
      <c r="I50" s="206"/>
      <c r="J50" s="502"/>
      <c r="M50" s="494">
        <v>39</v>
      </c>
      <c r="N50" s="495">
        <v>139.11000060000001</v>
      </c>
      <c r="O50" s="495">
        <v>173.62</v>
      </c>
      <c r="P50" s="495"/>
      <c r="Q50" s="496"/>
      <c r="R50" s="496"/>
      <c r="S50" s="496"/>
      <c r="T50" s="496"/>
      <c r="AD50" s="496"/>
      <c r="AE50" s="496"/>
      <c r="AF50" s="385"/>
      <c r="AG50" s="385"/>
      <c r="AH50" s="385"/>
      <c r="AI50" s="385"/>
      <c r="AJ50" s="385"/>
      <c r="AK50" s="385"/>
      <c r="AL50" s="385"/>
    </row>
    <row r="51" spans="1:38" ht="12.75">
      <c r="A51" s="94"/>
      <c r="B51" s="102"/>
      <c r="C51" s="102"/>
      <c r="D51" s="102"/>
      <c r="E51" s="102"/>
      <c r="F51" s="102"/>
      <c r="G51" s="102"/>
      <c r="H51" s="102"/>
      <c r="I51" s="206"/>
      <c r="J51" s="502"/>
      <c r="M51" s="494">
        <v>40</v>
      </c>
      <c r="N51" s="495">
        <v>139.11000060000001</v>
      </c>
      <c r="O51" s="495">
        <v>163</v>
      </c>
      <c r="P51" s="495"/>
      <c r="Q51" s="496"/>
      <c r="R51" s="496"/>
      <c r="S51" s="496"/>
      <c r="T51" s="496"/>
      <c r="AD51" s="496"/>
      <c r="AE51" s="496"/>
      <c r="AF51" s="385"/>
      <c r="AG51" s="385"/>
      <c r="AH51" s="385"/>
      <c r="AI51" s="385"/>
      <c r="AJ51" s="385"/>
      <c r="AK51" s="385"/>
      <c r="AL51" s="385"/>
    </row>
    <row r="52" spans="1:38" ht="12.75">
      <c r="A52" s="94"/>
      <c r="B52" s="102"/>
      <c r="C52" s="102"/>
      <c r="D52" s="102"/>
      <c r="E52" s="102"/>
      <c r="F52" s="102"/>
      <c r="G52" s="102"/>
      <c r="H52" s="102"/>
      <c r="I52" s="206"/>
      <c r="J52" s="502"/>
      <c r="M52" s="494">
        <v>41</v>
      </c>
      <c r="N52" s="495">
        <v>139.11000060000001</v>
      </c>
      <c r="O52" s="495">
        <v>156.5</v>
      </c>
      <c r="P52" s="495"/>
      <c r="Q52" s="496"/>
      <c r="R52" s="496"/>
      <c r="S52" s="496"/>
      <c r="T52" s="496"/>
      <c r="AD52" s="496"/>
      <c r="AE52" s="496"/>
      <c r="AF52" s="385"/>
      <c r="AG52" s="385"/>
      <c r="AH52" s="385"/>
      <c r="AI52" s="385"/>
      <c r="AJ52" s="385"/>
      <c r="AK52" s="385"/>
      <c r="AL52" s="385"/>
    </row>
    <row r="53" spans="1:38" ht="12.75">
      <c r="A53" s="94"/>
      <c r="B53" s="102"/>
      <c r="C53" s="102"/>
      <c r="D53" s="102"/>
      <c r="E53" s="102"/>
      <c r="F53" s="102"/>
      <c r="G53" s="102"/>
      <c r="H53" s="102"/>
      <c r="I53" s="206"/>
      <c r="J53" s="502"/>
      <c r="M53" s="494">
        <v>42</v>
      </c>
      <c r="N53" s="495">
        <v>128.34500120000001</v>
      </c>
      <c r="O53" s="495">
        <v>152.78</v>
      </c>
      <c r="P53" s="495"/>
      <c r="Q53" s="496"/>
      <c r="R53" s="496"/>
      <c r="S53" s="496"/>
      <c r="T53" s="496"/>
      <c r="AD53" s="496"/>
      <c r="AE53" s="496"/>
      <c r="AF53" s="385"/>
      <c r="AG53" s="385"/>
      <c r="AH53" s="385"/>
      <c r="AI53" s="385"/>
      <c r="AJ53" s="385"/>
      <c r="AK53" s="385"/>
      <c r="AL53" s="385"/>
    </row>
    <row r="54" spans="1:38" ht="12.75">
      <c r="A54" s="94"/>
      <c r="B54" s="102"/>
      <c r="C54" s="102"/>
      <c r="D54" s="102"/>
      <c r="E54" s="102"/>
      <c r="F54" s="102"/>
      <c r="G54" s="102"/>
      <c r="H54" s="102"/>
      <c r="I54" s="206"/>
      <c r="J54" s="502"/>
      <c r="M54" s="494">
        <v>43</v>
      </c>
      <c r="N54" s="495">
        <v>128.34500120000001</v>
      </c>
      <c r="O54" s="495">
        <v>148.63</v>
      </c>
      <c r="P54" s="495"/>
      <c r="Q54" s="496"/>
      <c r="R54" s="496"/>
      <c r="S54" s="496"/>
      <c r="T54" s="496"/>
      <c r="AD54" s="496"/>
      <c r="AE54" s="496"/>
      <c r="AF54" s="385"/>
      <c r="AG54" s="385"/>
      <c r="AH54" s="385"/>
      <c r="AI54" s="385"/>
      <c r="AJ54" s="385"/>
      <c r="AK54" s="385"/>
      <c r="AL54" s="385"/>
    </row>
    <row r="55" spans="1:38" ht="12.75">
      <c r="A55" s="94"/>
      <c r="B55" s="102"/>
      <c r="C55" s="102"/>
      <c r="D55" s="102"/>
      <c r="E55" s="102"/>
      <c r="F55" s="102"/>
      <c r="G55" s="102"/>
      <c r="H55" s="102"/>
      <c r="I55" s="206"/>
      <c r="J55" s="502"/>
      <c r="M55" s="494">
        <v>44</v>
      </c>
      <c r="N55" s="495">
        <v>121.20099639999999</v>
      </c>
      <c r="O55" s="495">
        <v>142.91</v>
      </c>
      <c r="P55" s="495"/>
      <c r="Q55" s="496"/>
      <c r="R55" s="496"/>
      <c r="S55" s="496"/>
      <c r="T55" s="496"/>
      <c r="AD55" s="496"/>
      <c r="AE55" s="496"/>
      <c r="AF55" s="385"/>
      <c r="AG55" s="385"/>
      <c r="AH55" s="385"/>
      <c r="AI55" s="385"/>
      <c r="AJ55" s="385"/>
      <c r="AK55" s="385"/>
      <c r="AL55" s="385"/>
    </row>
    <row r="56" spans="1:38" ht="12.75">
      <c r="A56" s="94"/>
      <c r="B56" s="102"/>
      <c r="C56" s="102"/>
      <c r="D56" s="102"/>
      <c r="E56" s="102"/>
      <c r="F56" s="102"/>
      <c r="G56" s="102"/>
      <c r="H56" s="102"/>
      <c r="I56" s="206"/>
      <c r="J56" s="502"/>
      <c r="M56" s="494">
        <v>45</v>
      </c>
      <c r="N56" s="495">
        <v>121.20099639999999</v>
      </c>
      <c r="O56" s="495">
        <v>137.04</v>
      </c>
      <c r="P56" s="495"/>
      <c r="Q56" s="496"/>
      <c r="R56" s="496"/>
      <c r="S56" s="496"/>
      <c r="T56" s="496"/>
      <c r="AD56" s="496"/>
      <c r="AE56" s="496"/>
      <c r="AF56" s="385"/>
      <c r="AG56" s="385"/>
      <c r="AH56" s="385"/>
      <c r="AI56" s="385"/>
      <c r="AJ56" s="385"/>
      <c r="AK56" s="385"/>
      <c r="AL56" s="385"/>
    </row>
    <row r="57" spans="1:38" ht="12.75">
      <c r="A57" s="94"/>
      <c r="B57" s="102"/>
      <c r="C57" s="102"/>
      <c r="D57" s="102"/>
      <c r="E57" s="102"/>
      <c r="F57" s="102"/>
      <c r="G57" s="102"/>
      <c r="H57" s="102"/>
      <c r="M57" s="494">
        <v>46</v>
      </c>
      <c r="N57" s="495">
        <v>112.1429977</v>
      </c>
      <c r="O57" s="495">
        <v>131.22999999999999</v>
      </c>
      <c r="P57" s="495"/>
      <c r="Q57" s="496"/>
      <c r="R57" s="496"/>
      <c r="S57" s="496"/>
      <c r="T57" s="496"/>
      <c r="AD57" s="496"/>
      <c r="AE57" s="496"/>
      <c r="AF57" s="385"/>
      <c r="AG57" s="385"/>
      <c r="AH57" s="385"/>
      <c r="AI57" s="385"/>
      <c r="AJ57" s="385"/>
      <c r="AK57" s="385"/>
      <c r="AL57" s="385"/>
    </row>
    <row r="58" spans="1:38" ht="12.75">
      <c r="A58" s="94"/>
      <c r="B58" s="102"/>
      <c r="C58" s="102"/>
      <c r="D58" s="102"/>
      <c r="E58" s="102"/>
      <c r="F58" s="102"/>
      <c r="G58" s="102"/>
      <c r="H58" s="102"/>
      <c r="M58" s="494">
        <v>47</v>
      </c>
      <c r="N58" s="495">
        <v>112.1429977</v>
      </c>
      <c r="O58" s="495">
        <v>125.5</v>
      </c>
      <c r="P58" s="495"/>
      <c r="Q58" s="496"/>
      <c r="R58" s="496"/>
      <c r="S58" s="496"/>
      <c r="T58" s="496"/>
      <c r="AD58" s="496"/>
      <c r="AE58" s="496"/>
      <c r="AF58" s="385"/>
      <c r="AG58" s="385"/>
      <c r="AH58" s="385"/>
      <c r="AI58" s="385"/>
      <c r="AJ58" s="385"/>
      <c r="AK58" s="385"/>
      <c r="AL58" s="385"/>
    </row>
    <row r="59" spans="1:38" ht="12.75">
      <c r="A59" s="381" t="s">
        <v>539</v>
      </c>
      <c r="B59" s="102"/>
      <c r="C59" s="102"/>
      <c r="D59" s="102"/>
      <c r="E59" s="102"/>
      <c r="F59" s="102"/>
      <c r="G59" s="102"/>
      <c r="H59" s="102"/>
      <c r="M59" s="494">
        <v>48</v>
      </c>
      <c r="N59" s="495">
        <v>101.13500209999999</v>
      </c>
      <c r="O59" s="495">
        <v>120.41</v>
      </c>
      <c r="P59" s="495"/>
      <c r="Q59" s="496"/>
      <c r="R59" s="496"/>
      <c r="S59" s="496"/>
      <c r="T59" s="496"/>
      <c r="AD59" s="496"/>
      <c r="AE59" s="496"/>
      <c r="AF59" s="385"/>
      <c r="AG59" s="385"/>
      <c r="AH59" s="385"/>
      <c r="AI59" s="385"/>
      <c r="AJ59" s="385"/>
      <c r="AK59" s="385"/>
      <c r="AL59" s="385"/>
    </row>
    <row r="60" spans="1:38" ht="12.75">
      <c r="A60" s="93"/>
      <c r="B60" s="102"/>
      <c r="C60" s="102"/>
      <c r="D60" s="102"/>
      <c r="E60" s="102"/>
      <c r="F60" s="102"/>
      <c r="G60" s="102"/>
      <c r="H60" s="102"/>
      <c r="M60" s="494">
        <v>49</v>
      </c>
      <c r="N60" s="495">
        <v>101.13500209999999</v>
      </c>
      <c r="O60" s="495">
        <v>115.91300200000001</v>
      </c>
      <c r="P60" s="495"/>
      <c r="Q60" s="496"/>
      <c r="R60" s="496"/>
      <c r="S60" s="496"/>
      <c r="T60" s="496"/>
      <c r="AD60" s="496"/>
      <c r="AE60" s="496"/>
      <c r="AF60" s="385"/>
      <c r="AG60" s="385"/>
      <c r="AH60" s="385"/>
      <c r="AI60" s="385"/>
      <c r="AJ60" s="385"/>
      <c r="AK60" s="385"/>
      <c r="AL60" s="385"/>
    </row>
    <row r="61" spans="1:38">
      <c r="M61" s="494">
        <v>50</v>
      </c>
      <c r="N61" s="495">
        <v>96.752998349999999</v>
      </c>
      <c r="O61" s="495">
        <v>110.0599976</v>
      </c>
      <c r="P61" s="495"/>
      <c r="Q61" s="496"/>
      <c r="R61" s="496"/>
      <c r="S61" s="496"/>
      <c r="T61" s="496"/>
      <c r="AD61" s="492"/>
      <c r="AE61" s="492"/>
      <c r="AF61" s="384"/>
      <c r="AG61" s="384"/>
      <c r="AH61" s="384"/>
      <c r="AI61" s="384"/>
      <c r="AJ61" s="384"/>
      <c r="AK61" s="384"/>
      <c r="AL61" s="384"/>
    </row>
    <row r="62" spans="1:38">
      <c r="M62" s="494">
        <v>51</v>
      </c>
      <c r="N62" s="495">
        <v>96.752998349999999</v>
      </c>
      <c r="O62" s="495">
        <v>107.5970001</v>
      </c>
      <c r="P62" s="495"/>
      <c r="Q62" s="496"/>
      <c r="R62" s="496"/>
      <c r="S62" s="496"/>
      <c r="T62" s="496"/>
      <c r="AD62" s="492"/>
      <c r="AE62" s="492"/>
      <c r="AF62" s="384"/>
      <c r="AG62" s="384"/>
      <c r="AH62" s="384"/>
      <c r="AI62" s="384"/>
      <c r="AJ62" s="384"/>
      <c r="AK62" s="384"/>
      <c r="AL62" s="384"/>
    </row>
    <row r="63" spans="1:38">
      <c r="M63" s="494">
        <v>52</v>
      </c>
      <c r="N63" s="495">
        <v>96.752998349999999</v>
      </c>
      <c r="O63" s="495">
        <v>104.4029999</v>
      </c>
      <c r="P63" s="495"/>
      <c r="Q63" s="496"/>
      <c r="R63" s="496"/>
      <c r="S63" s="496"/>
      <c r="T63" s="496"/>
      <c r="AD63" s="492"/>
      <c r="AE63" s="492"/>
      <c r="AF63" s="384"/>
      <c r="AG63" s="384"/>
      <c r="AH63" s="384"/>
      <c r="AI63" s="384"/>
      <c r="AJ63" s="384"/>
      <c r="AK63" s="384"/>
      <c r="AL63" s="384"/>
    </row>
    <row r="64" spans="1:38">
      <c r="M64" s="494">
        <v>53</v>
      </c>
      <c r="N64" s="495"/>
      <c r="O64" s="495"/>
      <c r="P64" s="504"/>
      <c r="Q64" s="496"/>
      <c r="R64" s="496"/>
      <c r="S64" s="496"/>
      <c r="T64" s="496"/>
      <c r="AD64" s="492"/>
      <c r="AE64" s="492"/>
      <c r="AF64" s="384"/>
      <c r="AG64" s="384"/>
      <c r="AH64" s="384"/>
      <c r="AI64" s="384"/>
      <c r="AJ64" s="384"/>
      <c r="AK64" s="384"/>
      <c r="AL64" s="384"/>
    </row>
    <row r="65" spans="13:38">
      <c r="M65" s="492"/>
      <c r="N65" s="492"/>
      <c r="O65" s="492"/>
      <c r="P65" s="492"/>
      <c r="Q65" s="492"/>
      <c r="R65" s="492"/>
      <c r="S65" s="492"/>
      <c r="T65" s="492"/>
      <c r="AD65" s="492"/>
      <c r="AE65" s="492"/>
      <c r="AF65" s="384"/>
      <c r="AG65" s="384"/>
      <c r="AH65" s="384"/>
      <c r="AI65" s="384"/>
      <c r="AJ65" s="384"/>
      <c r="AK65" s="384"/>
      <c r="AL65" s="384"/>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AE63"/>
  <sheetViews>
    <sheetView showGridLines="0" view="pageBreakPreview" zoomScale="130" zoomScaleNormal="100" zoomScaleSheetLayoutView="130" zoomScalePageLayoutView="115" workbookViewId="0">
      <selection activeCell="M27" sqref="M27"/>
    </sheetView>
  </sheetViews>
  <sheetFormatPr defaultRowHeight="11.25"/>
  <cols>
    <col min="1" max="9" width="9.33203125" style="3"/>
    <col min="10" max="11" width="9.33203125" style="3" customWidth="1"/>
    <col min="12" max="13" width="9.33203125" style="3"/>
    <col min="14" max="28" width="9.33203125" style="665"/>
    <col min="29" max="31" width="9.33203125" style="640"/>
    <col min="32" max="16384" width="9.33203125" style="3"/>
  </cols>
  <sheetData>
    <row r="1" spans="1:22" ht="11.25" customHeight="1">
      <c r="A1" s="160"/>
      <c r="B1" s="160"/>
      <c r="C1" s="160"/>
      <c r="D1" s="160"/>
      <c r="E1" s="160"/>
      <c r="F1" s="160"/>
      <c r="G1" s="160"/>
      <c r="H1" s="160"/>
      <c r="I1" s="160"/>
      <c r="J1" s="160"/>
      <c r="K1" s="160"/>
      <c r="L1" s="160"/>
    </row>
    <row r="2" spans="1:22" ht="11.25" customHeight="1">
      <c r="A2" s="461"/>
      <c r="B2" s="471"/>
      <c r="C2" s="471"/>
      <c r="D2" s="471"/>
      <c r="E2" s="471"/>
      <c r="F2" s="471"/>
      <c r="G2" s="472"/>
      <c r="H2" s="472"/>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670" t="s">
        <v>296</v>
      </c>
      <c r="O4" s="671"/>
      <c r="P4" s="671"/>
      <c r="Q4" s="671"/>
      <c r="R4" s="671"/>
      <c r="S4" s="671"/>
      <c r="T4" s="672" t="s">
        <v>297</v>
      </c>
      <c r="U4" s="671"/>
      <c r="V4" s="671"/>
    </row>
    <row r="5" spans="1:22" ht="11.25" customHeight="1">
      <c r="A5" s="953"/>
      <c r="B5" s="953"/>
      <c r="C5" s="953"/>
      <c r="D5" s="953"/>
      <c r="E5" s="953"/>
      <c r="F5" s="953"/>
      <c r="G5" s="953"/>
      <c r="H5" s="953"/>
      <c r="I5" s="953"/>
      <c r="J5" s="16"/>
      <c r="K5" s="16"/>
      <c r="L5" s="10"/>
      <c r="N5" s="671"/>
      <c r="O5" s="673">
        <v>2016</v>
      </c>
      <c r="P5" s="673">
        <v>2017</v>
      </c>
      <c r="Q5" s="673">
        <v>2018</v>
      </c>
      <c r="R5" s="671"/>
      <c r="S5" s="671"/>
      <c r="T5" s="673">
        <v>2016</v>
      </c>
      <c r="U5" s="673">
        <v>2017</v>
      </c>
      <c r="V5" s="673">
        <v>2018</v>
      </c>
    </row>
    <row r="6" spans="1:22" ht="11.25" customHeight="1">
      <c r="A6" s="84"/>
      <c r="B6" s="193"/>
      <c r="C6" s="86"/>
      <c r="D6" s="87"/>
      <c r="E6" s="87"/>
      <c r="F6" s="88"/>
      <c r="G6" s="83"/>
      <c r="H6" s="83"/>
      <c r="I6" s="89"/>
      <c r="J6" s="16"/>
      <c r="K6" s="16"/>
      <c r="L6" s="7"/>
      <c r="N6" s="674">
        <v>1</v>
      </c>
      <c r="O6" s="675">
        <v>119.86</v>
      </c>
      <c r="P6" s="675">
        <v>27.559000019999999</v>
      </c>
      <c r="Q6" s="676">
        <v>34.76</v>
      </c>
      <c r="R6" s="671"/>
      <c r="S6" s="674">
        <v>1</v>
      </c>
      <c r="T6" s="677">
        <v>150.22999999999999</v>
      </c>
      <c r="U6" s="678">
        <v>122.19600180599998</v>
      </c>
      <c r="V6" s="679">
        <v>210.20000000000002</v>
      </c>
    </row>
    <row r="7" spans="1:22" ht="11.25" customHeight="1">
      <c r="A7" s="84"/>
      <c r="B7" s="954"/>
      <c r="C7" s="954"/>
      <c r="D7" s="194"/>
      <c r="E7" s="194"/>
      <c r="F7" s="88"/>
      <c r="G7" s="83"/>
      <c r="H7" s="83"/>
      <c r="I7" s="89"/>
      <c r="J7" s="5"/>
      <c r="K7" s="5"/>
      <c r="L7" s="20"/>
      <c r="N7" s="674">
        <v>2</v>
      </c>
      <c r="O7" s="675">
        <v>113.21</v>
      </c>
      <c r="P7" s="675">
        <v>36.5890007</v>
      </c>
      <c r="Q7" s="676">
        <v>47.749000549999998</v>
      </c>
      <c r="R7" s="671"/>
      <c r="S7" s="674">
        <v>2</v>
      </c>
      <c r="T7" s="677">
        <v>145.21</v>
      </c>
      <c r="U7" s="678">
        <v>136.535000822</v>
      </c>
      <c r="V7" s="679">
        <v>216.70300435500002</v>
      </c>
    </row>
    <row r="8" spans="1:22" ht="11.25" customHeight="1">
      <c r="A8" s="84"/>
      <c r="B8" s="195"/>
      <c r="C8" s="49"/>
      <c r="D8" s="196"/>
      <c r="E8" s="196"/>
      <c r="F8" s="88"/>
      <c r="G8" s="83"/>
      <c r="H8" s="83"/>
      <c r="I8" s="89"/>
      <c r="J8" s="6"/>
      <c r="K8" s="6"/>
      <c r="L8" s="16"/>
      <c r="N8" s="674">
        <v>3</v>
      </c>
      <c r="O8" s="675">
        <v>117.64</v>
      </c>
      <c r="P8" s="675">
        <v>63.17599869</v>
      </c>
      <c r="Q8" s="676">
        <v>67.130996699999997</v>
      </c>
      <c r="R8" s="671"/>
      <c r="S8" s="674">
        <v>3</v>
      </c>
      <c r="T8" s="677">
        <v>143.88</v>
      </c>
      <c r="U8" s="678">
        <v>170.80799961000002</v>
      </c>
      <c r="V8" s="679">
        <v>232.83600043999999</v>
      </c>
    </row>
    <row r="9" spans="1:22" ht="11.25" customHeight="1">
      <c r="A9" s="84"/>
      <c r="B9" s="195"/>
      <c r="C9" s="49"/>
      <c r="D9" s="196"/>
      <c r="E9" s="196"/>
      <c r="F9" s="88"/>
      <c r="G9" s="83"/>
      <c r="H9" s="83"/>
      <c r="I9" s="89"/>
      <c r="J9" s="5"/>
      <c r="K9" s="8"/>
      <c r="L9" s="21"/>
      <c r="N9" s="674">
        <v>4</v>
      </c>
      <c r="O9" s="675">
        <v>117.64</v>
      </c>
      <c r="P9" s="675">
        <v>113.2139969</v>
      </c>
      <c r="Q9" s="676">
        <v>93.789001459999994</v>
      </c>
      <c r="R9" s="671"/>
      <c r="S9" s="674">
        <v>4</v>
      </c>
      <c r="T9" s="677">
        <v>139.38200000000001</v>
      </c>
      <c r="U9" s="678">
        <v>186.385000214</v>
      </c>
      <c r="V9" s="679">
        <v>271.78000545999998</v>
      </c>
    </row>
    <row r="10" spans="1:22" ht="11.25" customHeight="1">
      <c r="A10" s="84"/>
      <c r="B10" s="195"/>
      <c r="C10" s="49"/>
      <c r="D10" s="196"/>
      <c r="E10" s="196"/>
      <c r="F10" s="88"/>
      <c r="G10" s="83"/>
      <c r="H10" s="83"/>
      <c r="I10" s="89"/>
      <c r="J10" s="5"/>
      <c r="K10" s="5"/>
      <c r="L10" s="20"/>
      <c r="N10" s="674">
        <v>5</v>
      </c>
      <c r="O10" s="675">
        <v>133.43</v>
      </c>
      <c r="P10" s="675">
        <v>156.8220062</v>
      </c>
      <c r="Q10" s="676">
        <v>111.01599880000001</v>
      </c>
      <c r="R10" s="671"/>
      <c r="S10" s="674">
        <v>5</v>
      </c>
      <c r="T10" s="677">
        <v>135.79099490000002</v>
      </c>
      <c r="U10" s="678">
        <v>204.80799868699998</v>
      </c>
      <c r="V10" s="679">
        <v>269.07999802</v>
      </c>
    </row>
    <row r="11" spans="1:22" ht="11.25" customHeight="1">
      <c r="A11" s="84"/>
      <c r="B11" s="196"/>
      <c r="C11" s="49"/>
      <c r="D11" s="196"/>
      <c r="E11" s="196"/>
      <c r="F11" s="88"/>
      <c r="G11" s="83"/>
      <c r="H11" s="83"/>
      <c r="I11" s="89"/>
      <c r="J11" s="5"/>
      <c r="K11" s="5"/>
      <c r="L11" s="20"/>
      <c r="N11" s="674">
        <v>6</v>
      </c>
      <c r="O11" s="675">
        <v>159.2149963</v>
      </c>
      <c r="P11" s="675">
        <v>168.8840027</v>
      </c>
      <c r="Q11" s="676">
        <v>126.6029968</v>
      </c>
      <c r="R11" s="671"/>
      <c r="S11" s="674">
        <v>6</v>
      </c>
      <c r="T11" s="677">
        <v>150.04800029899999</v>
      </c>
      <c r="U11" s="678">
        <v>201.82999366799999</v>
      </c>
      <c r="V11" s="679">
        <v>273.52000047000001</v>
      </c>
    </row>
    <row r="12" spans="1:22" ht="11.25" customHeight="1">
      <c r="A12" s="84"/>
      <c r="B12" s="196"/>
      <c r="C12" s="49"/>
      <c r="D12" s="196"/>
      <c r="E12" s="196"/>
      <c r="F12" s="88"/>
      <c r="G12" s="83"/>
      <c r="H12" s="83"/>
      <c r="I12" s="89"/>
      <c r="J12" s="5"/>
      <c r="K12" s="5"/>
      <c r="L12" s="20"/>
      <c r="N12" s="674">
        <v>7</v>
      </c>
      <c r="O12" s="675">
        <v>186.18299870000001</v>
      </c>
      <c r="P12" s="675">
        <v>196.28300479999999</v>
      </c>
      <c r="Q12" s="676">
        <v>135.7250061</v>
      </c>
      <c r="R12" s="671"/>
      <c r="S12" s="674">
        <v>7</v>
      </c>
      <c r="T12" s="677">
        <v>174.31999966699999</v>
      </c>
      <c r="U12" s="678">
        <v>199.59600258</v>
      </c>
      <c r="V12" s="679">
        <v>302.63299941999998</v>
      </c>
    </row>
    <row r="13" spans="1:22" ht="11.25" customHeight="1">
      <c r="A13" s="84"/>
      <c r="B13" s="196"/>
      <c r="C13" s="49"/>
      <c r="D13" s="196"/>
      <c r="E13" s="196"/>
      <c r="F13" s="88"/>
      <c r="G13" s="83"/>
      <c r="H13" s="83"/>
      <c r="I13" s="89"/>
      <c r="J13" s="6"/>
      <c r="K13" s="6"/>
      <c r="L13" s="16"/>
      <c r="N13" s="674">
        <v>8</v>
      </c>
      <c r="O13" s="675">
        <v>206.53900150000001</v>
      </c>
      <c r="P13" s="675">
        <v>230.18899540000001</v>
      </c>
      <c r="Q13" s="676">
        <v>159.2149963</v>
      </c>
      <c r="R13" s="671"/>
      <c r="S13" s="674">
        <v>8</v>
      </c>
      <c r="T13" s="677">
        <v>262.93500039999998</v>
      </c>
      <c r="U13" s="678">
        <v>214.34299659800001</v>
      </c>
      <c r="V13" s="679">
        <v>328.23703</v>
      </c>
    </row>
    <row r="14" spans="1:22" ht="11.25" customHeight="1">
      <c r="A14" s="84"/>
      <c r="B14" s="196"/>
      <c r="C14" s="49"/>
      <c r="D14" s="196"/>
      <c r="E14" s="196"/>
      <c r="F14" s="88"/>
      <c r="G14" s="83"/>
      <c r="H14" s="83"/>
      <c r="I14" s="89"/>
      <c r="J14" s="5"/>
      <c r="K14" s="8"/>
      <c r="L14" s="21"/>
      <c r="N14" s="674">
        <v>9</v>
      </c>
      <c r="O14" s="675">
        <v>240.9539948</v>
      </c>
      <c r="P14" s="675">
        <v>249.13000489999999</v>
      </c>
      <c r="Q14" s="676">
        <v>186.18299870000001</v>
      </c>
      <c r="R14" s="671"/>
      <c r="S14" s="674">
        <v>9</v>
      </c>
      <c r="T14" s="677">
        <v>279.08800121000002</v>
      </c>
      <c r="U14" s="678">
        <v>250.89400288000002</v>
      </c>
      <c r="V14" s="679">
        <v>343.54049999999995</v>
      </c>
    </row>
    <row r="15" spans="1:22" ht="11.25" customHeight="1">
      <c r="A15" s="84"/>
      <c r="B15" s="196"/>
      <c r="C15" s="49"/>
      <c r="D15" s="196"/>
      <c r="E15" s="196"/>
      <c r="F15" s="88"/>
      <c r="G15" s="83"/>
      <c r="H15" s="83"/>
      <c r="I15" s="89"/>
      <c r="J15" s="5"/>
      <c r="K15" s="8"/>
      <c r="L15" s="20"/>
      <c r="N15" s="674">
        <v>10</v>
      </c>
      <c r="O15" s="675">
        <v>279.86401369999999</v>
      </c>
      <c r="P15" s="675">
        <v>311.77999999999997</v>
      </c>
      <c r="Q15" s="676">
        <v>203.96099849999999</v>
      </c>
      <c r="R15" s="671"/>
      <c r="S15" s="674">
        <v>10</v>
      </c>
      <c r="T15" s="677">
        <v>283.79400062561007</v>
      </c>
      <c r="U15" s="678">
        <v>298.99899296000001</v>
      </c>
      <c r="V15" s="679">
        <v>371.29100467000001</v>
      </c>
    </row>
    <row r="16" spans="1:22" ht="11.25" customHeight="1">
      <c r="A16" s="84"/>
      <c r="B16" s="196"/>
      <c r="C16" s="49"/>
      <c r="D16" s="196"/>
      <c r="E16" s="196"/>
      <c r="F16" s="88"/>
      <c r="G16" s="83"/>
      <c r="H16" s="83"/>
      <c r="I16" s="89"/>
      <c r="J16" s="5"/>
      <c r="K16" s="8"/>
      <c r="L16" s="20"/>
      <c r="N16" s="674">
        <v>11</v>
      </c>
      <c r="O16" s="675">
        <v>308.83</v>
      </c>
      <c r="P16" s="675">
        <v>332.70800000000003</v>
      </c>
      <c r="Q16" s="676">
        <v>230.18899540000001</v>
      </c>
      <c r="R16" s="680"/>
      <c r="S16" s="674">
        <v>11</v>
      </c>
      <c r="T16" s="677">
        <v>286.24</v>
      </c>
      <c r="U16" s="678">
        <v>321.03300188000003</v>
      </c>
      <c r="V16" s="679">
        <v>390.38299555999998</v>
      </c>
    </row>
    <row r="17" spans="1:22" ht="11.25" customHeight="1">
      <c r="A17" s="84"/>
      <c r="B17" s="196"/>
      <c r="C17" s="49"/>
      <c r="D17" s="196"/>
      <c r="E17" s="196"/>
      <c r="F17" s="88"/>
      <c r="G17" s="83"/>
      <c r="H17" s="83"/>
      <c r="I17" s="89"/>
      <c r="J17" s="5"/>
      <c r="K17" s="8"/>
      <c r="L17" s="20"/>
      <c r="N17" s="674">
        <v>12</v>
      </c>
      <c r="O17" s="675">
        <v>308.829986572265</v>
      </c>
      <c r="P17" s="675">
        <v>344.881012</v>
      </c>
      <c r="Q17" s="676">
        <v>282.71701050000001</v>
      </c>
      <c r="R17" s="680"/>
      <c r="S17" s="674">
        <v>12</v>
      </c>
      <c r="T17" s="677">
        <v>285.01299476623473</v>
      </c>
      <c r="U17" s="678">
        <v>332.34900279999999</v>
      </c>
      <c r="V17" s="679">
        <v>412.41217171999995</v>
      </c>
    </row>
    <row r="18" spans="1:22" ht="11.25" customHeight="1">
      <c r="A18" s="84"/>
      <c r="B18" s="196"/>
      <c r="C18" s="49"/>
      <c r="D18" s="196"/>
      <c r="E18" s="196"/>
      <c r="F18" s="88"/>
      <c r="G18" s="83"/>
      <c r="H18" s="83"/>
      <c r="I18" s="89"/>
      <c r="J18" s="5"/>
      <c r="K18" s="8"/>
      <c r="L18" s="20"/>
      <c r="N18" s="674">
        <v>13</v>
      </c>
      <c r="O18" s="675">
        <v>308.829986572265</v>
      </c>
      <c r="P18" s="675">
        <v>338.77499390000003</v>
      </c>
      <c r="Q18" s="676">
        <v>329.68899540000001</v>
      </c>
      <c r="R18" s="680"/>
      <c r="S18" s="674">
        <v>13</v>
      </c>
      <c r="T18" s="677">
        <v>279.96900081634436</v>
      </c>
      <c r="U18" s="678">
        <v>366.02899361000004</v>
      </c>
      <c r="V18" s="679">
        <v>410.83199501000001</v>
      </c>
    </row>
    <row r="19" spans="1:22" ht="11.25" customHeight="1">
      <c r="A19" s="84"/>
      <c r="B19" s="196"/>
      <c r="C19" s="49"/>
      <c r="D19" s="196"/>
      <c r="E19" s="196"/>
      <c r="F19" s="88"/>
      <c r="G19" s="83"/>
      <c r="H19" s="83"/>
      <c r="I19" s="89"/>
      <c r="J19" s="5"/>
      <c r="K19" s="8"/>
      <c r="L19" s="20"/>
      <c r="N19" s="674">
        <v>14</v>
      </c>
      <c r="O19" s="675">
        <v>302.95901489257801</v>
      </c>
      <c r="P19" s="675">
        <v>338.77999390000002</v>
      </c>
      <c r="Q19" s="676">
        <v>329.68899540000001</v>
      </c>
      <c r="R19" s="680"/>
      <c r="S19" s="674">
        <v>14</v>
      </c>
      <c r="T19" s="677">
        <v>286.54100227355917</v>
      </c>
      <c r="U19" s="678">
        <v>382.58400344</v>
      </c>
      <c r="V19" s="679">
        <v>403.70400233999999</v>
      </c>
    </row>
    <row r="20" spans="1:22" ht="11.25" customHeight="1">
      <c r="A20" s="84"/>
      <c r="B20" s="196"/>
      <c r="C20" s="49"/>
      <c r="D20" s="196"/>
      <c r="E20" s="196"/>
      <c r="F20" s="88"/>
      <c r="G20" s="83"/>
      <c r="H20" s="83"/>
      <c r="I20" s="89"/>
      <c r="J20" s="5"/>
      <c r="K20" s="8"/>
      <c r="L20" s="20"/>
      <c r="N20" s="674">
        <v>15</v>
      </c>
      <c r="O20" s="675">
        <v>311.781005859375</v>
      </c>
      <c r="P20" s="675">
        <v>347.94900510000002</v>
      </c>
      <c r="Q20" s="676">
        <v>326.67999270000001</v>
      </c>
      <c r="R20" s="680"/>
      <c r="S20" s="674">
        <v>15</v>
      </c>
      <c r="T20" s="677">
        <v>288.78499984741165</v>
      </c>
      <c r="U20" s="678">
        <v>385.29699126999998</v>
      </c>
      <c r="V20" s="679">
        <v>399.27400204999998</v>
      </c>
    </row>
    <row r="21" spans="1:22" ht="11.25" customHeight="1">
      <c r="A21" s="84"/>
      <c r="B21" s="196"/>
      <c r="C21" s="49"/>
      <c r="D21" s="196"/>
      <c r="E21" s="196"/>
      <c r="F21" s="88"/>
      <c r="G21" s="83"/>
      <c r="H21" s="83"/>
      <c r="I21" s="89"/>
      <c r="J21" s="5"/>
      <c r="K21" s="9"/>
      <c r="L21" s="22"/>
      <c r="N21" s="674">
        <v>16</v>
      </c>
      <c r="O21" s="675">
        <v>320.69100952148398</v>
      </c>
      <c r="P21" s="675">
        <v>354.11401369999999</v>
      </c>
      <c r="Q21" s="676">
        <v>314.7409973</v>
      </c>
      <c r="R21" s="680"/>
      <c r="S21" s="674">
        <v>16</v>
      </c>
      <c r="T21" s="677">
        <v>293.26400000000001</v>
      </c>
      <c r="U21" s="678">
        <v>384.95899003</v>
      </c>
      <c r="V21" s="679">
        <v>394.58499913000003</v>
      </c>
    </row>
    <row r="22" spans="1:22" ht="11.25" customHeight="1">
      <c r="A22" s="97"/>
      <c r="B22" s="196"/>
      <c r="C22" s="49"/>
      <c r="D22" s="196"/>
      <c r="E22" s="196"/>
      <c r="F22" s="88"/>
      <c r="G22" s="83"/>
      <c r="H22" s="83"/>
      <c r="I22" s="89"/>
      <c r="J22" s="5"/>
      <c r="K22" s="8"/>
      <c r="L22" s="20"/>
      <c r="N22" s="674">
        <v>17</v>
      </c>
      <c r="O22" s="675">
        <v>326.67999267578102</v>
      </c>
      <c r="P22" s="675">
        <v>351.02700809999999</v>
      </c>
      <c r="Q22" s="676">
        <v>305.89001459999997</v>
      </c>
      <c r="R22" s="680"/>
      <c r="S22" s="674">
        <v>17</v>
      </c>
      <c r="T22" s="677">
        <v>292.87300071716299</v>
      </c>
      <c r="U22" s="678">
        <v>381.86699488000005</v>
      </c>
      <c r="V22" s="679">
        <v>392.29800030000007</v>
      </c>
    </row>
    <row r="23" spans="1:22" ht="11.25" customHeight="1">
      <c r="A23" s="97"/>
      <c r="B23" s="196"/>
      <c r="C23" s="49"/>
      <c r="D23" s="196"/>
      <c r="E23" s="196"/>
      <c r="F23" s="88"/>
      <c r="G23" s="83"/>
      <c r="H23" s="83"/>
      <c r="I23" s="89"/>
      <c r="J23" s="5"/>
      <c r="K23" s="8"/>
      <c r="L23" s="20"/>
      <c r="N23" s="674">
        <v>18</v>
      </c>
      <c r="O23" s="675">
        <v>314.74099731445301</v>
      </c>
      <c r="P23" s="675">
        <v>354.11401369999999</v>
      </c>
      <c r="Q23" s="676">
        <v>314.7409973</v>
      </c>
      <c r="R23" s="680"/>
      <c r="S23" s="674">
        <v>18</v>
      </c>
      <c r="T23" s="677">
        <v>289.06400012969908</v>
      </c>
      <c r="U23" s="678">
        <v>382.77999115</v>
      </c>
      <c r="V23" s="679">
        <v>390.15600400999995</v>
      </c>
    </row>
    <row r="24" spans="1:22" ht="11.25" customHeight="1">
      <c r="A24" s="97"/>
      <c r="B24" s="196"/>
      <c r="C24" s="49"/>
      <c r="D24" s="196"/>
      <c r="E24" s="196"/>
      <c r="F24" s="88"/>
      <c r="G24" s="83"/>
      <c r="H24" s="83"/>
      <c r="I24" s="89"/>
      <c r="J24" s="8"/>
      <c r="K24" s="8"/>
      <c r="L24" s="20"/>
      <c r="N24" s="674">
        <v>19</v>
      </c>
      <c r="O24" s="675">
        <v>308.829986572265</v>
      </c>
      <c r="P24" s="675">
        <v>363.43499759999997</v>
      </c>
      <c r="Q24" s="676">
        <v>314.7409973</v>
      </c>
      <c r="R24" s="680"/>
      <c r="S24" s="674">
        <v>19</v>
      </c>
      <c r="T24" s="677">
        <v>283.7310012817382</v>
      </c>
      <c r="U24" s="678">
        <v>381.91700169999996</v>
      </c>
      <c r="V24" s="679">
        <v>386.47099490999994</v>
      </c>
    </row>
    <row r="25" spans="1:22" ht="11.25" customHeight="1">
      <c r="A25" s="382" t="s">
        <v>540</v>
      </c>
      <c r="B25" s="196"/>
      <c r="C25" s="49"/>
      <c r="D25" s="196"/>
      <c r="E25" s="196"/>
      <c r="F25" s="88"/>
      <c r="G25" s="83"/>
      <c r="H25" s="83"/>
      <c r="I25" s="89"/>
      <c r="J25" s="5"/>
      <c r="K25" s="9"/>
      <c r="L25" s="22"/>
      <c r="N25" s="674">
        <v>20</v>
      </c>
      <c r="O25" s="675">
        <v>308.8</v>
      </c>
      <c r="P25" s="675">
        <v>366.56100459999999</v>
      </c>
      <c r="Q25" s="676">
        <v>314.7409973</v>
      </c>
      <c r="R25" s="680"/>
      <c r="S25" s="674">
        <v>20</v>
      </c>
      <c r="T25" s="677">
        <v>278.90000000000003</v>
      </c>
      <c r="U25" s="678">
        <v>379.35699083999998</v>
      </c>
      <c r="V25" s="679">
        <v>382.00799562999993</v>
      </c>
    </row>
    <row r="26" spans="1:22" ht="11.25" customHeight="1">
      <c r="A26" s="93"/>
      <c r="B26" s="196"/>
      <c r="C26" s="49"/>
      <c r="D26" s="196"/>
      <c r="E26" s="196"/>
      <c r="F26" s="88"/>
      <c r="G26" s="83"/>
      <c r="H26" s="83"/>
      <c r="I26" s="89"/>
      <c r="J26" s="6"/>
      <c r="K26" s="8"/>
      <c r="L26" s="20"/>
      <c r="N26" s="674">
        <v>21</v>
      </c>
      <c r="O26" s="675">
        <v>311.781005859375</v>
      </c>
      <c r="P26" s="675">
        <v>357.21099850000002</v>
      </c>
      <c r="Q26" s="676">
        <v>314.7409973</v>
      </c>
      <c r="R26" s="680"/>
      <c r="S26" s="674">
        <v>21</v>
      </c>
      <c r="T26" s="677">
        <v>274.65599975585928</v>
      </c>
      <c r="U26" s="678">
        <v>375.59600258</v>
      </c>
      <c r="V26" s="679">
        <v>378.52099610999994</v>
      </c>
    </row>
    <row r="27" spans="1:22" ht="11.25" customHeight="1">
      <c r="A27" s="97"/>
      <c r="B27" s="196"/>
      <c r="C27" s="49"/>
      <c r="D27" s="196"/>
      <c r="E27" s="196"/>
      <c r="F27" s="91"/>
      <c r="G27" s="91"/>
      <c r="H27" s="91"/>
      <c r="I27" s="91"/>
      <c r="J27" s="6"/>
      <c r="K27" s="8"/>
      <c r="L27" s="20"/>
      <c r="N27" s="674">
        <v>22</v>
      </c>
      <c r="O27" s="675">
        <v>314.74</v>
      </c>
      <c r="P27" s="675">
        <v>341.82</v>
      </c>
      <c r="Q27" s="676">
        <v>311.78100590000003</v>
      </c>
      <c r="R27" s="680"/>
      <c r="S27" s="674">
        <v>22</v>
      </c>
      <c r="T27" s="677">
        <v>269.74</v>
      </c>
      <c r="U27" s="678">
        <v>373.52000000000004</v>
      </c>
      <c r="V27" s="679">
        <v>375.20999716</v>
      </c>
    </row>
    <row r="28" spans="1:22" ht="11.25" customHeight="1">
      <c r="A28" s="97"/>
      <c r="B28" s="196"/>
      <c r="C28" s="49"/>
      <c r="D28" s="196"/>
      <c r="E28" s="196"/>
      <c r="F28" s="91"/>
      <c r="G28" s="91"/>
      <c r="H28" s="91"/>
      <c r="I28" s="91"/>
      <c r="J28" s="6"/>
      <c r="K28" s="8"/>
      <c r="L28" s="20"/>
      <c r="N28" s="674">
        <v>23</v>
      </c>
      <c r="O28" s="675">
        <v>308.83</v>
      </c>
      <c r="P28" s="675">
        <v>326.67999270000001</v>
      </c>
      <c r="Q28" s="676">
        <v>308.82998659999998</v>
      </c>
      <c r="R28" s="680"/>
      <c r="S28" s="674">
        <v>23</v>
      </c>
      <c r="T28" s="677">
        <v>265.4609997</v>
      </c>
      <c r="U28" s="678">
        <v>369.22100255000004</v>
      </c>
      <c r="V28" s="679">
        <v>374.07600211999994</v>
      </c>
    </row>
    <row r="29" spans="1:22" ht="11.25" customHeight="1">
      <c r="A29" s="97"/>
      <c r="B29" s="196"/>
      <c r="C29" s="49"/>
      <c r="D29" s="196"/>
      <c r="E29" s="196"/>
      <c r="F29" s="91"/>
      <c r="G29" s="91"/>
      <c r="H29" s="91"/>
      <c r="I29" s="91"/>
      <c r="J29" s="6"/>
      <c r="K29" s="8"/>
      <c r="L29" s="20"/>
      <c r="N29" s="674">
        <v>24</v>
      </c>
      <c r="O29" s="675">
        <v>300.04000000000002</v>
      </c>
      <c r="P29" s="675">
        <v>308.82998659999998</v>
      </c>
      <c r="Q29" s="676">
        <v>300.0379944</v>
      </c>
      <c r="R29" s="680"/>
      <c r="S29" s="674">
        <v>24</v>
      </c>
      <c r="T29" s="677">
        <v>261.10000000000002</v>
      </c>
      <c r="U29" s="678">
        <v>364.44200138999997</v>
      </c>
      <c r="V29" s="679">
        <v>370.89200402</v>
      </c>
    </row>
    <row r="30" spans="1:22" ht="11.25" customHeight="1">
      <c r="A30" s="92"/>
      <c r="B30" s="91"/>
      <c r="C30" s="91"/>
      <c r="D30" s="91"/>
      <c r="E30" s="91"/>
      <c r="F30" s="91"/>
      <c r="G30" s="91"/>
      <c r="H30" s="91"/>
      <c r="I30" s="91"/>
      <c r="J30" s="5"/>
      <c r="K30" s="8"/>
      <c r="L30" s="20"/>
      <c r="N30" s="674">
        <v>25</v>
      </c>
      <c r="O30" s="675">
        <v>282.71701050000001</v>
      </c>
      <c r="P30" s="675">
        <v>291.33300780000002</v>
      </c>
      <c r="Q30" s="676">
        <v>294.22500609999997</v>
      </c>
      <c r="R30" s="680"/>
      <c r="S30" s="674">
        <v>25</v>
      </c>
      <c r="T30" s="677">
        <v>256.25999989000002</v>
      </c>
      <c r="U30" s="678">
        <v>359.61999897999999</v>
      </c>
      <c r="V30" s="679">
        <v>366.71700096999996</v>
      </c>
    </row>
    <row r="31" spans="1:22" ht="11.25" customHeight="1">
      <c r="A31" s="92"/>
      <c r="B31" s="91"/>
      <c r="C31" s="91"/>
      <c r="D31" s="91"/>
      <c r="E31" s="91"/>
      <c r="F31" s="91"/>
      <c r="G31" s="91"/>
      <c r="H31" s="91"/>
      <c r="I31" s="91"/>
      <c r="J31" s="5"/>
      <c r="K31" s="8"/>
      <c r="L31" s="20"/>
      <c r="N31" s="674">
        <v>26</v>
      </c>
      <c r="O31" s="675">
        <v>262.95300292968699</v>
      </c>
      <c r="P31" s="675">
        <v>268.55099489999998</v>
      </c>
      <c r="Q31" s="676">
        <v>282.71701050000001</v>
      </c>
      <c r="R31" s="680"/>
      <c r="S31" s="674">
        <v>26</v>
      </c>
      <c r="T31" s="677">
        <v>252.54899978637627</v>
      </c>
      <c r="U31" s="678">
        <v>354.77499773999995</v>
      </c>
      <c r="V31" s="679">
        <v>361.43599508999995</v>
      </c>
    </row>
    <row r="32" spans="1:22" ht="11.25" customHeight="1">
      <c r="A32" s="92"/>
      <c r="B32" s="91"/>
      <c r="C32" s="91"/>
      <c r="D32" s="91"/>
      <c r="E32" s="91"/>
      <c r="F32" s="91"/>
      <c r="G32" s="91"/>
      <c r="H32" s="91"/>
      <c r="I32" s="91"/>
      <c r="J32" s="5"/>
      <c r="K32" s="8"/>
      <c r="L32" s="20"/>
      <c r="N32" s="674">
        <v>27</v>
      </c>
      <c r="O32" s="675">
        <v>254.63000489999999</v>
      </c>
      <c r="P32" s="675">
        <v>265.7470093</v>
      </c>
      <c r="Q32" s="676">
        <v>271.36</v>
      </c>
      <c r="R32" s="680"/>
      <c r="S32" s="674">
        <v>27</v>
      </c>
      <c r="T32" s="677">
        <v>248.26700022</v>
      </c>
      <c r="U32" s="678">
        <v>349.77999684000002</v>
      </c>
      <c r="V32" s="679">
        <v>355.34</v>
      </c>
    </row>
    <row r="33" spans="1:22" ht="11.25" customHeight="1">
      <c r="A33" s="92"/>
      <c r="B33" s="91"/>
      <c r="C33" s="91"/>
      <c r="D33" s="91"/>
      <c r="E33" s="91"/>
      <c r="F33" s="91"/>
      <c r="G33" s="91"/>
      <c r="H33" s="91"/>
      <c r="I33" s="91"/>
      <c r="J33" s="5"/>
      <c r="K33" s="8"/>
      <c r="L33" s="20"/>
      <c r="N33" s="674">
        <v>28</v>
      </c>
      <c r="O33" s="675">
        <v>240.9539948</v>
      </c>
      <c r="P33" s="681">
        <v>243.66999820000001</v>
      </c>
      <c r="Q33" s="676">
        <v>260.16900629999998</v>
      </c>
      <c r="R33" s="680"/>
      <c r="S33" s="674">
        <v>28</v>
      </c>
      <c r="T33" s="677">
        <v>243.86400222</v>
      </c>
      <c r="U33" s="678">
        <v>344.32400322999996</v>
      </c>
      <c r="V33" s="679">
        <v>349.01599981000004</v>
      </c>
    </row>
    <row r="34" spans="1:22" ht="11.25" customHeight="1">
      <c r="A34" s="92"/>
      <c r="B34" s="91"/>
      <c r="C34" s="91"/>
      <c r="D34" s="91"/>
      <c r="E34" s="91"/>
      <c r="F34" s="91"/>
      <c r="G34" s="91"/>
      <c r="H34" s="91"/>
      <c r="I34" s="91"/>
      <c r="J34" s="5"/>
      <c r="K34" s="8"/>
      <c r="L34" s="20"/>
      <c r="N34" s="674">
        <v>29</v>
      </c>
      <c r="O34" s="675">
        <v>227.5220032</v>
      </c>
      <c r="P34" s="675">
        <v>227.5220032</v>
      </c>
      <c r="Q34" s="676">
        <v>251.88</v>
      </c>
      <c r="R34" s="680"/>
      <c r="S34" s="674">
        <v>29</v>
      </c>
      <c r="T34" s="677">
        <v>239.07999988</v>
      </c>
      <c r="U34" s="678">
        <v>338.60699847999996</v>
      </c>
      <c r="V34" s="679">
        <v>343.97999999999996</v>
      </c>
    </row>
    <row r="35" spans="1:22" ht="11.25" customHeight="1">
      <c r="A35" s="92"/>
      <c r="B35" s="91"/>
      <c r="C35" s="91"/>
      <c r="D35" s="91"/>
      <c r="E35" s="91"/>
      <c r="F35" s="91"/>
      <c r="G35" s="91"/>
      <c r="H35" s="91"/>
      <c r="I35" s="91"/>
      <c r="J35" s="8"/>
      <c r="K35" s="8"/>
      <c r="L35" s="20"/>
      <c r="N35" s="674">
        <v>30</v>
      </c>
      <c r="O35" s="675">
        <v>216.95199584960901</v>
      </c>
      <c r="P35" s="675">
        <v>216.95199579999999</v>
      </c>
      <c r="Q35" s="676">
        <v>232.8650055</v>
      </c>
      <c r="R35" s="680"/>
      <c r="S35" s="674">
        <v>30</v>
      </c>
      <c r="T35" s="677">
        <v>234.2539968490598</v>
      </c>
      <c r="U35" s="678">
        <v>332.49400331000004</v>
      </c>
      <c r="V35" s="679">
        <v>342.06599807739167</v>
      </c>
    </row>
    <row r="36" spans="1:22" ht="11.25" customHeight="1">
      <c r="A36" s="92"/>
      <c r="B36" s="91"/>
      <c r="C36" s="91"/>
      <c r="D36" s="91"/>
      <c r="E36" s="91"/>
      <c r="F36" s="91"/>
      <c r="G36" s="91"/>
      <c r="H36" s="91"/>
      <c r="I36" s="91"/>
      <c r="J36" s="5"/>
      <c r="K36" s="8"/>
      <c r="L36" s="20"/>
      <c r="N36" s="674">
        <v>31</v>
      </c>
      <c r="O36" s="675">
        <v>216.95199579999999</v>
      </c>
      <c r="P36" s="675">
        <v>209.128006</v>
      </c>
      <c r="Q36" s="676">
        <v>211.726</v>
      </c>
      <c r="R36" s="680"/>
      <c r="S36" s="674">
        <v>31</v>
      </c>
      <c r="T36" s="677">
        <v>229.68000125999998</v>
      </c>
      <c r="U36" s="678">
        <v>324</v>
      </c>
      <c r="V36" s="679">
        <v>335.23199999999997</v>
      </c>
    </row>
    <row r="37" spans="1:22" ht="11.25" customHeight="1">
      <c r="A37" s="92"/>
      <c r="B37" s="91"/>
      <c r="C37" s="91"/>
      <c r="D37" s="91"/>
      <c r="E37" s="91"/>
      <c r="F37" s="91"/>
      <c r="G37" s="91"/>
      <c r="H37" s="91"/>
      <c r="I37" s="91"/>
      <c r="J37" s="5"/>
      <c r="K37" s="13"/>
      <c r="L37" s="20"/>
      <c r="N37" s="674">
        <v>32</v>
      </c>
      <c r="O37" s="675">
        <v>201.39199830000001</v>
      </c>
      <c r="P37" s="675">
        <v>198.83200070000001</v>
      </c>
      <c r="Q37" s="676">
        <v>181.19200129999999</v>
      </c>
      <c r="R37" s="680"/>
      <c r="S37" s="674">
        <v>32</v>
      </c>
      <c r="T37" s="677">
        <v>224.73799990999998</v>
      </c>
      <c r="U37" s="678">
        <v>320.73399734000003</v>
      </c>
      <c r="V37" s="679">
        <v>329.56800555999996</v>
      </c>
    </row>
    <row r="38" spans="1:22" ht="11.25" customHeight="1">
      <c r="A38" s="92"/>
      <c r="B38" s="91"/>
      <c r="C38" s="91"/>
      <c r="D38" s="91"/>
      <c r="E38" s="91"/>
      <c r="F38" s="91"/>
      <c r="G38" s="91"/>
      <c r="H38" s="91"/>
      <c r="I38" s="91"/>
      <c r="J38" s="5"/>
      <c r="K38" s="13"/>
      <c r="L38" s="48"/>
      <c r="N38" s="674">
        <v>33</v>
      </c>
      <c r="O38" s="675">
        <v>193.74299621582</v>
      </c>
      <c r="P38" s="675">
        <v>188.69299319999999</v>
      </c>
      <c r="Q38" s="676">
        <v>152.0650024</v>
      </c>
      <c r="R38" s="680"/>
      <c r="S38" s="674">
        <v>33</v>
      </c>
      <c r="T38" s="677">
        <v>219.00299835205058</v>
      </c>
      <c r="U38" s="678">
        <v>314.19900131999998</v>
      </c>
      <c r="V38" s="679">
        <v>323.79099748000004</v>
      </c>
    </row>
    <row r="39" spans="1:22" ht="11.25" customHeight="1">
      <c r="A39" s="92"/>
      <c r="B39" s="91"/>
      <c r="C39" s="91"/>
      <c r="D39" s="91"/>
      <c r="E39" s="91"/>
      <c r="F39" s="91"/>
      <c r="G39" s="91"/>
      <c r="H39" s="91"/>
      <c r="I39" s="91"/>
      <c r="J39" s="5"/>
      <c r="K39" s="9"/>
      <c r="L39" s="20"/>
      <c r="N39" s="674">
        <v>34</v>
      </c>
      <c r="O39" s="675">
        <v>181.19200129999999</v>
      </c>
      <c r="P39" s="675">
        <v>183.68200680000001</v>
      </c>
      <c r="Q39" s="676">
        <v>156.8220062</v>
      </c>
      <c r="R39" s="680"/>
      <c r="S39" s="674">
        <v>34</v>
      </c>
      <c r="T39" s="677">
        <v>214.38699817</v>
      </c>
      <c r="U39" s="678">
        <v>307.85200500000002</v>
      </c>
      <c r="V39" s="679">
        <v>317.64699750999995</v>
      </c>
    </row>
    <row r="40" spans="1:22" ht="11.25" customHeight="1">
      <c r="A40" s="92"/>
      <c r="B40" s="91"/>
      <c r="C40" s="91"/>
      <c r="D40" s="91"/>
      <c r="E40" s="91"/>
      <c r="F40" s="91"/>
      <c r="G40" s="91"/>
      <c r="H40" s="91"/>
      <c r="I40" s="91"/>
      <c r="J40" s="5"/>
      <c r="K40" s="9"/>
      <c r="L40" s="20"/>
      <c r="N40" s="674">
        <v>35</v>
      </c>
      <c r="O40" s="675">
        <v>171.32600400000001</v>
      </c>
      <c r="P40" s="682">
        <v>176.23899840000001</v>
      </c>
      <c r="Q40" s="676">
        <v>156.82</v>
      </c>
      <c r="R40" s="680"/>
      <c r="S40" s="674">
        <v>35</v>
      </c>
      <c r="T40" s="677">
        <v>208.95000171000001</v>
      </c>
      <c r="U40" s="678">
        <v>300.83900069999999</v>
      </c>
      <c r="V40" s="679">
        <v>311.42</v>
      </c>
    </row>
    <row r="41" spans="1:22" ht="11.25" customHeight="1">
      <c r="A41" s="92"/>
      <c r="B41" s="91"/>
      <c r="C41" s="91"/>
      <c r="D41" s="91"/>
      <c r="E41" s="91"/>
      <c r="F41" s="91"/>
      <c r="G41" s="91"/>
      <c r="H41" s="91"/>
      <c r="I41" s="91"/>
      <c r="J41" s="5"/>
      <c r="K41" s="9"/>
      <c r="L41" s="20"/>
      <c r="N41" s="674">
        <v>36</v>
      </c>
      <c r="O41" s="675">
        <v>164.02999879999999</v>
      </c>
      <c r="P41" s="682">
        <v>168.8840027</v>
      </c>
      <c r="Q41" s="676">
        <v>159.21</v>
      </c>
      <c r="R41" s="680"/>
      <c r="S41" s="674">
        <v>36</v>
      </c>
      <c r="T41" s="677">
        <v>202.97300145000003</v>
      </c>
      <c r="U41" s="678">
        <v>293.46100233999999</v>
      </c>
      <c r="V41" s="679">
        <v>305.20999999999998</v>
      </c>
    </row>
    <row r="42" spans="1:22" ht="11.25" customHeight="1">
      <c r="A42" s="92"/>
      <c r="B42" s="91"/>
      <c r="C42" s="91"/>
      <c r="D42" s="91"/>
      <c r="E42" s="91"/>
      <c r="F42" s="91"/>
      <c r="G42" s="91"/>
      <c r="H42" s="91"/>
      <c r="I42" s="91"/>
      <c r="J42" s="8"/>
      <c r="K42" s="13"/>
      <c r="L42" s="20"/>
      <c r="N42" s="674">
        <v>37</v>
      </c>
      <c r="O42" s="675">
        <v>147.34800720000001</v>
      </c>
      <c r="P42" s="682">
        <v>159.2149963</v>
      </c>
      <c r="Q42" s="676">
        <v>159.2149963</v>
      </c>
      <c r="R42" s="680"/>
      <c r="S42" s="674">
        <v>37</v>
      </c>
      <c r="T42" s="677">
        <v>196.95000080099999</v>
      </c>
      <c r="U42" s="678">
        <v>287.76599501999999</v>
      </c>
      <c r="V42" s="679">
        <v>299.17000225600003</v>
      </c>
    </row>
    <row r="43" spans="1:22" ht="11.25" customHeight="1">
      <c r="A43" s="92"/>
      <c r="B43" s="91"/>
      <c r="C43" s="91"/>
      <c r="D43" s="91"/>
      <c r="E43" s="91"/>
      <c r="F43" s="91"/>
      <c r="G43" s="91"/>
      <c r="H43" s="91"/>
      <c r="I43" s="91"/>
      <c r="J43" s="5"/>
      <c r="K43" s="13"/>
      <c r="L43" s="20"/>
      <c r="N43" s="674">
        <v>38</v>
      </c>
      <c r="O43" s="675">
        <v>131.14500430000001</v>
      </c>
      <c r="P43" s="682">
        <v>149.70199579999999</v>
      </c>
      <c r="Q43" s="676">
        <v>149.70199579999999</v>
      </c>
      <c r="R43" s="680"/>
      <c r="S43" s="674">
        <v>38</v>
      </c>
      <c r="T43" s="677">
        <v>190.78400421900002</v>
      </c>
      <c r="U43" s="678">
        <v>282.07300377000001</v>
      </c>
      <c r="V43" s="679">
        <v>292.45899891799996</v>
      </c>
    </row>
    <row r="44" spans="1:22" ht="11.25" customHeight="1">
      <c r="A44" s="92"/>
      <c r="B44" s="91"/>
      <c r="C44" s="91"/>
      <c r="D44" s="91"/>
      <c r="E44" s="91"/>
      <c r="F44" s="91"/>
      <c r="G44" s="91"/>
      <c r="H44" s="91"/>
      <c r="I44" s="91"/>
      <c r="J44" s="5"/>
      <c r="K44" s="13"/>
      <c r="L44" s="20"/>
      <c r="N44" s="674">
        <v>39</v>
      </c>
      <c r="O44" s="675">
        <v>119.8639984</v>
      </c>
      <c r="P44" s="682">
        <v>138.02999879999999</v>
      </c>
      <c r="Q44" s="676">
        <v>117.6380005</v>
      </c>
      <c r="R44" s="680"/>
      <c r="S44" s="674">
        <v>39</v>
      </c>
      <c r="T44" s="677">
        <v>184.44099947499998</v>
      </c>
      <c r="U44" s="678">
        <v>275.53000069000001</v>
      </c>
      <c r="V44" s="679">
        <v>286.11999916000002</v>
      </c>
    </row>
    <row r="45" spans="1:22" ht="11.25" customHeight="1">
      <c r="A45" s="92"/>
      <c r="B45" s="91"/>
      <c r="C45" s="91"/>
      <c r="D45" s="91"/>
      <c r="E45" s="91"/>
      <c r="F45" s="91"/>
      <c r="G45" s="91"/>
      <c r="H45" s="91"/>
      <c r="I45" s="91"/>
      <c r="J45" s="15"/>
      <c r="K45" s="15"/>
      <c r="L45" s="15"/>
      <c r="N45" s="674">
        <v>40</v>
      </c>
      <c r="O45" s="675">
        <v>119.8639984</v>
      </c>
      <c r="P45" s="675">
        <v>131.14500430000001</v>
      </c>
      <c r="Q45" s="676">
        <v>91.680000309999997</v>
      </c>
      <c r="R45" s="680"/>
      <c r="S45" s="674">
        <v>40</v>
      </c>
      <c r="T45" s="677">
        <v>177.93399906500002</v>
      </c>
      <c r="U45" s="678">
        <v>268.25699615000002</v>
      </c>
      <c r="V45" s="679"/>
    </row>
    <row r="46" spans="1:22" ht="11.25" customHeight="1">
      <c r="A46" s="92"/>
      <c r="B46" s="91"/>
      <c r="C46" s="91"/>
      <c r="D46" s="91"/>
      <c r="E46" s="91"/>
      <c r="F46" s="91"/>
      <c r="G46" s="91"/>
      <c r="H46" s="91"/>
      <c r="I46" s="91"/>
      <c r="J46" s="14"/>
      <c r="K46" s="14"/>
      <c r="L46" s="14"/>
      <c r="N46" s="674">
        <v>41</v>
      </c>
      <c r="O46" s="675">
        <v>113.213996887207</v>
      </c>
      <c r="P46" s="675">
        <v>108.82900239999999</v>
      </c>
      <c r="Q46" s="676"/>
      <c r="R46" s="680"/>
      <c r="S46" s="674">
        <v>41</v>
      </c>
      <c r="T46" s="677">
        <v>171.68900227546672</v>
      </c>
      <c r="U46" s="678">
        <v>261.21399689000003</v>
      </c>
      <c r="V46" s="679"/>
    </row>
    <row r="47" spans="1:22" ht="11.25" customHeight="1">
      <c r="A47" s="92"/>
      <c r="B47" s="91"/>
      <c r="C47" s="91"/>
      <c r="D47" s="91"/>
      <c r="E47" s="91"/>
      <c r="F47" s="91"/>
      <c r="G47" s="91"/>
      <c r="H47" s="91"/>
      <c r="I47" s="91"/>
      <c r="J47" s="14"/>
      <c r="K47" s="14"/>
      <c r="L47" s="14"/>
      <c r="N47" s="674">
        <v>42</v>
      </c>
      <c r="O47" s="675">
        <v>100.1760025</v>
      </c>
      <c r="P47" s="675">
        <v>95.908996579999993</v>
      </c>
      <c r="Q47" s="676"/>
      <c r="R47" s="680"/>
      <c r="S47" s="674">
        <v>42</v>
      </c>
      <c r="T47" s="677">
        <v>165.69499874400003</v>
      </c>
      <c r="U47" s="678">
        <v>255.58900451</v>
      </c>
      <c r="V47" s="679"/>
    </row>
    <row r="48" spans="1:22" ht="11.25" customHeight="1">
      <c r="A48" s="92"/>
      <c r="B48" s="91"/>
      <c r="C48" s="91"/>
      <c r="D48" s="91"/>
      <c r="E48" s="91"/>
      <c r="F48" s="91"/>
      <c r="G48" s="91"/>
      <c r="H48" s="91"/>
      <c r="I48" s="91"/>
      <c r="J48" s="14"/>
      <c r="K48" s="14"/>
      <c r="L48" s="14"/>
      <c r="N48" s="674">
        <v>43</v>
      </c>
      <c r="O48" s="675">
        <v>89.581001279999995</v>
      </c>
      <c r="P48" s="675">
        <v>83.341003420000007</v>
      </c>
      <c r="Q48" s="676"/>
      <c r="R48" s="680"/>
      <c r="S48" s="674">
        <v>43</v>
      </c>
      <c r="T48" s="677">
        <v>160.397996525</v>
      </c>
      <c r="U48" s="678">
        <v>249.85500335</v>
      </c>
      <c r="V48" s="679"/>
    </row>
    <row r="49" spans="1:22" ht="11.25" customHeight="1">
      <c r="A49" s="92"/>
      <c r="B49" s="91"/>
      <c r="C49" s="91"/>
      <c r="D49" s="91"/>
      <c r="E49" s="91"/>
      <c r="F49" s="91"/>
      <c r="G49" s="91"/>
      <c r="H49" s="91"/>
      <c r="I49" s="91"/>
      <c r="J49" s="14"/>
      <c r="K49" s="14"/>
      <c r="L49" s="14"/>
      <c r="N49" s="674">
        <v>44</v>
      </c>
      <c r="O49" s="675">
        <v>75.156997680000003</v>
      </c>
      <c r="P49" s="675">
        <v>75.16</v>
      </c>
      <c r="Q49" s="676"/>
      <c r="R49" s="680"/>
      <c r="S49" s="674">
        <v>44</v>
      </c>
      <c r="T49" s="677">
        <v>154.79199918699999</v>
      </c>
      <c r="U49" s="678">
        <v>242.79000000000002</v>
      </c>
      <c r="V49" s="679"/>
    </row>
    <row r="50" spans="1:22" ht="12.75">
      <c r="A50" s="92"/>
      <c r="B50" s="91"/>
      <c r="C50" s="91"/>
      <c r="D50" s="91"/>
      <c r="E50" s="91"/>
      <c r="F50" s="91"/>
      <c r="G50" s="91"/>
      <c r="H50" s="91"/>
      <c r="I50" s="91"/>
      <c r="J50" s="14"/>
      <c r="K50" s="14"/>
      <c r="L50" s="14"/>
      <c r="N50" s="674">
        <v>45</v>
      </c>
      <c r="O50" s="675">
        <v>61.2140007</v>
      </c>
      <c r="P50" s="675">
        <v>65.149002080000002</v>
      </c>
      <c r="Q50" s="676"/>
      <c r="R50" s="680"/>
      <c r="S50" s="674">
        <v>45</v>
      </c>
      <c r="T50" s="677">
        <v>149.715000041</v>
      </c>
      <c r="U50" s="678">
        <v>235.60499572000001</v>
      </c>
      <c r="V50" s="679"/>
    </row>
    <row r="51" spans="1:22" ht="12.75">
      <c r="A51" s="92"/>
      <c r="B51" s="91"/>
      <c r="C51" s="91"/>
      <c r="D51" s="91"/>
      <c r="E51" s="91"/>
      <c r="F51" s="91"/>
      <c r="G51" s="91"/>
      <c r="H51" s="91"/>
      <c r="I51" s="91"/>
      <c r="J51" s="14"/>
      <c r="K51" s="14"/>
      <c r="L51" s="14"/>
      <c r="N51" s="674">
        <v>46</v>
      </c>
      <c r="O51" s="675">
        <v>43.990001679999999</v>
      </c>
      <c r="P51" s="675">
        <v>47.749000549999998</v>
      </c>
      <c r="Q51" s="676"/>
      <c r="R51" s="680"/>
      <c r="S51" s="674">
        <v>46</v>
      </c>
      <c r="T51" s="677">
        <v>144.11800040400001</v>
      </c>
      <c r="U51" s="678">
        <v>230.54900361099999</v>
      </c>
      <c r="V51" s="679"/>
    </row>
    <row r="52" spans="1:22" ht="12.75">
      <c r="A52" s="92"/>
      <c r="B52" s="91"/>
      <c r="C52" s="91"/>
      <c r="D52" s="91"/>
      <c r="E52" s="91"/>
      <c r="F52" s="91"/>
      <c r="G52" s="91"/>
      <c r="H52" s="91"/>
      <c r="I52" s="91"/>
      <c r="J52" s="14"/>
      <c r="K52" s="14"/>
      <c r="L52" s="14"/>
      <c r="N52" s="674">
        <v>47</v>
      </c>
      <c r="O52" s="675">
        <v>25.781999590000002</v>
      </c>
      <c r="P52" s="675">
        <v>34.763999939999998</v>
      </c>
      <c r="Q52" s="676"/>
      <c r="R52" s="680"/>
      <c r="S52" s="674">
        <v>47</v>
      </c>
      <c r="T52" s="677">
        <v>138.82499813000001</v>
      </c>
      <c r="U52" s="678">
        <v>223.60000467499998</v>
      </c>
      <c r="V52" s="679"/>
    </row>
    <row r="53" spans="1:22" ht="12.75">
      <c r="A53" s="92"/>
      <c r="B53" s="91"/>
      <c r="C53" s="91"/>
      <c r="D53" s="91"/>
      <c r="E53" s="91"/>
      <c r="F53" s="91"/>
      <c r="G53" s="91"/>
      <c r="H53" s="91"/>
      <c r="I53" s="91"/>
      <c r="J53" s="14"/>
      <c r="K53" s="14"/>
      <c r="L53" s="14"/>
      <c r="N53" s="674">
        <v>48</v>
      </c>
      <c r="O53" s="675">
        <v>29.344999309999999</v>
      </c>
      <c r="P53" s="675">
        <v>13.618000029999999</v>
      </c>
      <c r="Q53" s="676"/>
      <c r="R53" s="680"/>
      <c r="S53" s="674">
        <v>48</v>
      </c>
      <c r="T53" s="677">
        <v>133.112998957</v>
      </c>
      <c r="U53" s="678">
        <v>217.17600035300001</v>
      </c>
      <c r="V53" s="679"/>
    </row>
    <row r="54" spans="1:22" ht="13.5">
      <c r="A54" s="92"/>
      <c r="B54" s="91"/>
      <c r="C54" s="91"/>
      <c r="D54" s="91"/>
      <c r="E54" s="91"/>
      <c r="F54" s="91"/>
      <c r="G54" s="91"/>
      <c r="H54" s="91"/>
      <c r="I54" s="91"/>
      <c r="J54" s="14"/>
      <c r="K54" s="14"/>
      <c r="L54" s="14"/>
      <c r="N54" s="674">
        <v>49</v>
      </c>
      <c r="O54" s="683">
        <v>34.763999939999998</v>
      </c>
      <c r="P54" s="675">
        <v>8.5520000459999999</v>
      </c>
      <c r="Q54" s="676"/>
      <c r="R54" s="680"/>
      <c r="S54" s="674">
        <v>49</v>
      </c>
      <c r="T54" s="677">
        <v>128.370002666</v>
      </c>
      <c r="U54" s="678">
        <v>210.45100211699997</v>
      </c>
      <c r="V54" s="679"/>
    </row>
    <row r="55" spans="1:22" ht="12.75">
      <c r="A55" s="92"/>
      <c r="B55" s="91"/>
      <c r="C55" s="91"/>
      <c r="D55" s="91"/>
      <c r="E55" s="91"/>
      <c r="F55" s="91"/>
      <c r="G55" s="91"/>
      <c r="H55" s="91"/>
      <c r="I55" s="91"/>
      <c r="J55" s="14"/>
      <c r="K55" s="14"/>
      <c r="L55" s="14"/>
      <c r="N55" s="674">
        <v>50</v>
      </c>
      <c r="O55" s="675">
        <v>32.948001859999998</v>
      </c>
      <c r="P55" s="675">
        <v>13.618000029999999</v>
      </c>
      <c r="Q55" s="676"/>
      <c r="R55" s="680"/>
      <c r="S55" s="674">
        <v>50</v>
      </c>
      <c r="T55" s="677">
        <v>122.71499820000001</v>
      </c>
      <c r="U55" s="678">
        <v>203.37099885499998</v>
      </c>
      <c r="V55" s="679"/>
    </row>
    <row r="56" spans="1:22" ht="12.75">
      <c r="A56" s="92"/>
      <c r="B56" s="91"/>
      <c r="C56" s="91"/>
      <c r="D56" s="91"/>
      <c r="E56" s="91"/>
      <c r="F56" s="91"/>
      <c r="G56" s="91"/>
      <c r="H56" s="91"/>
      <c r="I56" s="91"/>
      <c r="J56" s="14"/>
      <c r="K56" s="14"/>
      <c r="L56" s="14"/>
      <c r="N56" s="674">
        <v>51</v>
      </c>
      <c r="O56" s="675">
        <v>25.781999590000002</v>
      </c>
      <c r="P56" s="675">
        <v>18.771999359999999</v>
      </c>
      <c r="Q56" s="676"/>
      <c r="R56" s="680"/>
      <c r="S56" s="674">
        <v>51</v>
      </c>
      <c r="T56" s="677">
        <v>120.15600296300001</v>
      </c>
      <c r="U56" s="678">
        <v>202.35899971500001</v>
      </c>
      <c r="V56" s="679"/>
    </row>
    <row r="57" spans="1:22" ht="12.75">
      <c r="A57" s="92"/>
      <c r="B57" s="91"/>
      <c r="C57" s="91"/>
      <c r="D57" s="91"/>
      <c r="E57" s="91"/>
      <c r="F57" s="91"/>
      <c r="G57" s="91"/>
      <c r="H57" s="91"/>
      <c r="I57" s="91"/>
      <c r="N57" s="674">
        <v>52</v>
      </c>
      <c r="O57" s="675">
        <v>22.256999969999999</v>
      </c>
      <c r="P57" s="675">
        <v>25.781999590000002</v>
      </c>
      <c r="Q57" s="676"/>
      <c r="R57" s="680"/>
      <c r="S57" s="674">
        <v>52</v>
      </c>
      <c r="T57" s="677">
        <v>116.12899696700001</v>
      </c>
      <c r="U57" s="678">
        <v>201.25199794899999</v>
      </c>
      <c r="V57" s="679"/>
    </row>
    <row r="58" spans="1:22" ht="12.75">
      <c r="A58" s="92"/>
      <c r="B58" s="91"/>
      <c r="C58" s="91"/>
      <c r="D58" s="91"/>
      <c r="E58" s="91"/>
      <c r="F58" s="91"/>
      <c r="G58" s="91"/>
      <c r="H58" s="91"/>
      <c r="I58" s="91"/>
      <c r="N58" s="674">
        <v>53</v>
      </c>
      <c r="O58" s="680"/>
      <c r="P58" s="680"/>
      <c r="Q58" s="680"/>
      <c r="R58" s="680"/>
      <c r="S58" s="674">
        <v>53</v>
      </c>
      <c r="T58" s="677"/>
      <c r="U58" s="678"/>
      <c r="V58" s="679"/>
    </row>
    <row r="59" spans="1:22" ht="12.75">
      <c r="B59" s="91"/>
      <c r="C59" s="91"/>
      <c r="D59" s="91"/>
      <c r="E59" s="91"/>
      <c r="F59" s="91"/>
      <c r="G59" s="91"/>
      <c r="H59" s="91"/>
      <c r="I59" s="91"/>
      <c r="N59" s="671"/>
      <c r="O59" s="671"/>
      <c r="P59" s="671"/>
      <c r="Q59" s="671"/>
      <c r="R59" s="671"/>
      <c r="S59" s="671"/>
      <c r="T59" s="671"/>
      <c r="U59" s="671"/>
      <c r="V59" s="671"/>
    </row>
    <row r="60" spans="1:22" ht="12.75">
      <c r="A60" s="92"/>
      <c r="B60" s="91"/>
      <c r="C60" s="91"/>
      <c r="D60" s="91"/>
      <c r="E60" s="91"/>
      <c r="F60" s="91"/>
      <c r="G60" s="91"/>
      <c r="H60" s="91"/>
      <c r="I60" s="91"/>
    </row>
    <row r="63" spans="1:22">
      <c r="A63" s="382" t="s">
        <v>541</v>
      </c>
    </row>
  </sheetData>
  <mergeCells count="2">
    <mergeCell ref="A5:I5"/>
    <mergeCell ref="B7:C7"/>
  </mergeCells>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U148"/>
  <sheetViews>
    <sheetView showGridLines="0" view="pageBreakPreview" zoomScale="130" zoomScaleNormal="100" zoomScaleSheetLayoutView="130" zoomScalePageLayoutView="130" workbookViewId="0">
      <selection activeCell="M27" sqref="M27"/>
    </sheetView>
  </sheetViews>
  <sheetFormatPr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434"/>
    <col min="11" max="11" width="9.33203125" style="665"/>
    <col min="12" max="12" width="3.1640625" style="666" bestFit="1" customWidth="1"/>
    <col min="13" max="21" width="9.33203125" style="665"/>
    <col min="22" max="16384" width="9.33203125" style="3"/>
  </cols>
  <sheetData>
    <row r="1" spans="1:15" ht="11.25" customHeight="1"/>
    <row r="2" spans="1:15" ht="11.25" customHeight="1">
      <c r="A2" s="25"/>
      <c r="B2" s="25"/>
      <c r="C2" s="25"/>
      <c r="D2" s="25"/>
      <c r="E2" s="91"/>
      <c r="F2" s="91"/>
      <c r="G2" s="91"/>
    </row>
    <row r="3" spans="1:15" ht="17.25" customHeight="1">
      <c r="A3" s="955" t="s">
        <v>488</v>
      </c>
      <c r="B3" s="955"/>
      <c r="C3" s="955"/>
      <c r="D3" s="955"/>
      <c r="E3" s="955"/>
      <c r="F3" s="955"/>
      <c r="G3" s="955"/>
      <c r="H3" s="45"/>
      <c r="I3" s="45"/>
      <c r="K3" s="665" t="s">
        <v>298</v>
      </c>
      <c r="M3" s="665" t="s">
        <v>299</v>
      </c>
      <c r="N3" s="665" t="s">
        <v>300</v>
      </c>
      <c r="O3" s="665" t="s">
        <v>301</v>
      </c>
    </row>
    <row r="4" spans="1:15" ht="11.25" customHeight="1">
      <c r="A4" s="92"/>
      <c r="B4" s="91"/>
      <c r="C4" s="91"/>
      <c r="D4" s="91"/>
      <c r="E4" s="91"/>
      <c r="F4" s="91"/>
      <c r="G4" s="91"/>
      <c r="H4" s="45"/>
      <c r="I4" s="45"/>
      <c r="J4" s="434">
        <v>2016</v>
      </c>
      <c r="K4" s="665">
        <v>1</v>
      </c>
      <c r="L4" s="666">
        <v>1</v>
      </c>
      <c r="M4" s="667">
        <v>40.61</v>
      </c>
      <c r="N4" s="667">
        <v>96.75</v>
      </c>
      <c r="O4" s="667">
        <v>16.37</v>
      </c>
    </row>
    <row r="5" spans="1:15" ht="11.25" customHeight="1">
      <c r="A5" s="92"/>
      <c r="B5" s="91"/>
      <c r="C5" s="91"/>
      <c r="D5" s="91"/>
      <c r="E5" s="91"/>
      <c r="F5" s="91"/>
      <c r="G5" s="91"/>
      <c r="H5" s="16"/>
      <c r="I5" s="16"/>
      <c r="L5" s="666">
        <v>2</v>
      </c>
      <c r="M5" s="667">
        <v>29.82</v>
      </c>
      <c r="N5" s="667">
        <v>76.510000000000005</v>
      </c>
      <c r="O5" s="667">
        <v>15.9</v>
      </c>
    </row>
    <row r="6" spans="1:15" ht="29.25" customHeight="1">
      <c r="A6" s="157"/>
      <c r="C6" s="801" t="s">
        <v>155</v>
      </c>
      <c r="D6" s="804" t="str">
        <f>UPPER('1. Resumen'!Q4)&amp;"
 "&amp;'1. Resumen'!Q5</f>
        <v>SETIEMBRE
 2018</v>
      </c>
      <c r="E6" s="805" t="str">
        <f>UPPER('1. Resumen'!Q4)&amp;"
 "&amp;'1. Resumen'!Q5-1</f>
        <v>SETIEMBRE
 2017</v>
      </c>
      <c r="F6" s="806" t="s">
        <v>133</v>
      </c>
      <c r="G6" s="159"/>
      <c r="H6" s="31"/>
      <c r="I6" s="16"/>
      <c r="L6" s="666">
        <v>3</v>
      </c>
      <c r="M6" s="667">
        <v>27.06</v>
      </c>
      <c r="N6" s="667">
        <v>80.096000000000004</v>
      </c>
      <c r="O6" s="667">
        <v>29.21</v>
      </c>
    </row>
    <row r="7" spans="1:15" ht="11.25" customHeight="1">
      <c r="A7" s="218"/>
      <c r="C7" s="224" t="s">
        <v>156</v>
      </c>
      <c r="D7" s="219">
        <v>7.8788999999999998</v>
      </c>
      <c r="E7" s="219">
        <v>6.8589000230000003</v>
      </c>
      <c r="F7" s="220">
        <f>IF(E7=0,"",(D7-E7)/E7)</f>
        <v>0.14871188872554286</v>
      </c>
      <c r="G7" s="159"/>
      <c r="H7" s="32"/>
      <c r="I7" s="5"/>
      <c r="K7" s="665">
        <v>4</v>
      </c>
      <c r="L7" s="666">
        <v>4</v>
      </c>
      <c r="M7" s="667">
        <v>27.93</v>
      </c>
      <c r="N7" s="667">
        <v>77.09</v>
      </c>
      <c r="O7" s="667">
        <v>20.7</v>
      </c>
    </row>
    <row r="8" spans="1:15" ht="11.25" customHeight="1">
      <c r="A8" s="218"/>
      <c r="C8" s="223" t="s">
        <v>162</v>
      </c>
      <c r="D8" s="221">
        <v>7.2897999999999996</v>
      </c>
      <c r="E8" s="221">
        <v>7.9900345140000004</v>
      </c>
      <c r="F8" s="222">
        <f t="shared" ref="F8:F30" si="0">IF(E8=0,"",(D8-E8)/E8)</f>
        <v>-8.7638484260995617E-2</v>
      </c>
      <c r="G8" s="159"/>
      <c r="H8" s="30"/>
      <c r="I8" s="5"/>
      <c r="L8" s="666">
        <v>5</v>
      </c>
      <c r="M8" s="667">
        <v>49.585999999999999</v>
      </c>
      <c r="N8" s="667">
        <v>140.12</v>
      </c>
      <c r="O8" s="667">
        <v>74.02</v>
      </c>
    </row>
    <row r="9" spans="1:15" ht="11.25" customHeight="1">
      <c r="A9" s="218"/>
      <c r="C9" s="224" t="s">
        <v>163</v>
      </c>
      <c r="D9" s="219">
        <v>35.01117</v>
      </c>
      <c r="E9" s="219">
        <v>37.139379300000002</v>
      </c>
      <c r="F9" s="220">
        <f t="shared" si="0"/>
        <v>-5.7303308243495651E-2</v>
      </c>
      <c r="G9" s="159"/>
      <c r="H9" s="32"/>
      <c r="I9" s="5"/>
      <c r="L9" s="666">
        <v>6</v>
      </c>
      <c r="M9" s="667">
        <v>57</v>
      </c>
      <c r="N9" s="667">
        <v>144.66999999999999</v>
      </c>
      <c r="O9" s="667">
        <v>78.08</v>
      </c>
    </row>
    <row r="10" spans="1:15" ht="11.25" customHeight="1">
      <c r="A10" s="218"/>
      <c r="C10" s="223" t="s">
        <v>170</v>
      </c>
      <c r="D10" s="221">
        <v>23.973230000000001</v>
      </c>
      <c r="E10" s="221">
        <v>33.317933269999997</v>
      </c>
      <c r="F10" s="222">
        <f t="shared" si="0"/>
        <v>-0.28047067608524556</v>
      </c>
      <c r="G10" s="159"/>
      <c r="H10" s="32"/>
      <c r="I10" s="5"/>
      <c r="L10" s="666">
        <v>7</v>
      </c>
      <c r="M10" s="667">
        <v>52.31</v>
      </c>
      <c r="N10" s="667">
        <v>117.32</v>
      </c>
      <c r="O10" s="667">
        <v>41.34</v>
      </c>
    </row>
    <row r="11" spans="1:15" ht="11.25" customHeight="1">
      <c r="A11" s="218"/>
      <c r="C11" s="224" t="s">
        <v>171</v>
      </c>
      <c r="D11" s="219">
        <v>4.7411669999999999</v>
      </c>
      <c r="E11" s="219">
        <v>8.2097333110000008</v>
      </c>
      <c r="F11" s="220">
        <f t="shared" si="0"/>
        <v>-0.42249439532372657</v>
      </c>
      <c r="G11" s="159"/>
      <c r="H11" s="32"/>
      <c r="I11" s="5"/>
      <c r="K11" s="665">
        <v>8</v>
      </c>
      <c r="L11" s="666">
        <v>8</v>
      </c>
      <c r="M11" s="667">
        <v>57.96</v>
      </c>
      <c r="N11" s="667">
        <v>140.31</v>
      </c>
      <c r="O11" s="667">
        <v>96.52</v>
      </c>
    </row>
    <row r="12" spans="1:15" ht="11.25" customHeight="1">
      <c r="A12" s="218"/>
      <c r="C12" s="223" t="s">
        <v>173</v>
      </c>
      <c r="D12" s="221">
        <v>1.6511</v>
      </c>
      <c r="E12" s="221">
        <v>4.3240999860000002</v>
      </c>
      <c r="F12" s="222">
        <f t="shared" si="0"/>
        <v>-0.61816331598582053</v>
      </c>
      <c r="G12" s="159"/>
      <c r="H12" s="32"/>
      <c r="I12" s="5"/>
      <c r="L12" s="666">
        <v>9</v>
      </c>
      <c r="M12" s="667">
        <v>100.51885660000001</v>
      </c>
      <c r="N12" s="667">
        <v>268.94750210000001</v>
      </c>
      <c r="O12" s="667">
        <v>150.104332</v>
      </c>
    </row>
    <row r="13" spans="1:15" ht="11.25" customHeight="1">
      <c r="A13" s="218"/>
      <c r="C13" s="224" t="s">
        <v>161</v>
      </c>
      <c r="D13" s="219">
        <v>9.40625</v>
      </c>
      <c r="E13" s="219">
        <v>13.734999999999999</v>
      </c>
      <c r="F13" s="220">
        <f t="shared" si="0"/>
        <v>-0.31516199490353108</v>
      </c>
      <c r="G13" s="159"/>
      <c r="H13" s="30"/>
      <c r="I13" s="5"/>
      <c r="L13" s="666">
        <v>10</v>
      </c>
      <c r="M13" s="667">
        <v>75.15657152448378</v>
      </c>
      <c r="N13" s="667">
        <v>243.71150207519463</v>
      </c>
      <c r="O13" s="667">
        <v>181.79733530680286</v>
      </c>
    </row>
    <row r="14" spans="1:15" ht="11.25" customHeight="1">
      <c r="A14" s="218"/>
      <c r="C14" s="223" t="s">
        <v>289</v>
      </c>
      <c r="D14" s="221">
        <v>14.500109999999999</v>
      </c>
      <c r="E14" s="221">
        <v>20.048691399999999</v>
      </c>
      <c r="F14" s="222">
        <f t="shared" si="0"/>
        <v>-0.27675528987393161</v>
      </c>
      <c r="G14" s="159"/>
      <c r="H14" s="32"/>
      <c r="I14" s="5"/>
      <c r="L14" s="666">
        <v>11</v>
      </c>
      <c r="M14" s="667">
        <v>52.24</v>
      </c>
      <c r="N14" s="667">
        <v>154.21</v>
      </c>
      <c r="O14" s="667">
        <v>79.12</v>
      </c>
    </row>
    <row r="15" spans="1:15" ht="11.25" customHeight="1">
      <c r="A15" s="218"/>
      <c r="C15" s="224" t="s">
        <v>290</v>
      </c>
      <c r="D15" s="219">
        <v>33.000500000000002</v>
      </c>
      <c r="E15" s="219">
        <v>36.551666900000001</v>
      </c>
      <c r="F15" s="220">
        <f t="shared" si="0"/>
        <v>-9.7154718270864915E-2</v>
      </c>
      <c r="G15" s="159"/>
      <c r="H15" s="32"/>
      <c r="I15" s="5"/>
      <c r="K15" s="665">
        <v>12</v>
      </c>
      <c r="L15" s="666">
        <v>12</v>
      </c>
      <c r="M15" s="667">
        <v>44.628571101597331</v>
      </c>
      <c r="N15" s="667">
        <v>116.62271445138057</v>
      </c>
      <c r="O15" s="667">
        <v>41.373285293579045</v>
      </c>
    </row>
    <row r="16" spans="1:15" ht="11.25" customHeight="1">
      <c r="A16" s="218"/>
      <c r="C16" s="223" t="s">
        <v>168</v>
      </c>
      <c r="D16" s="221">
        <v>12.480729999999999</v>
      </c>
      <c r="E16" s="221">
        <v>11.834799930000001</v>
      </c>
      <c r="F16" s="222">
        <f t="shared" si="0"/>
        <v>5.4578875335495304E-2</v>
      </c>
      <c r="G16" s="159"/>
      <c r="H16" s="32"/>
      <c r="I16" s="5"/>
      <c r="L16" s="666">
        <v>13</v>
      </c>
      <c r="M16" s="667">
        <v>42.599998474121001</v>
      </c>
      <c r="N16" s="667">
        <v>120.78800201416</v>
      </c>
      <c r="O16" s="667">
        <v>93.665000915527301</v>
      </c>
    </row>
    <row r="17" spans="1:15" ht="11.25" customHeight="1">
      <c r="A17" s="218"/>
      <c r="C17" s="224" t="s">
        <v>172</v>
      </c>
      <c r="D17" s="219">
        <v>7.5990000000000002</v>
      </c>
      <c r="E17" s="219">
        <v>7.9166206490000004</v>
      </c>
      <c r="F17" s="220">
        <f t="shared" si="0"/>
        <v>-4.0120736243705317E-2</v>
      </c>
      <c r="G17" s="159"/>
      <c r="H17" s="32"/>
      <c r="I17" s="5"/>
      <c r="L17" s="666">
        <v>14</v>
      </c>
      <c r="M17" s="667">
        <v>49.743000030517535</v>
      </c>
      <c r="N17" s="667">
        <v>125.66285814557708</v>
      </c>
      <c r="O17" s="667">
        <v>131.74585723876913</v>
      </c>
    </row>
    <row r="18" spans="1:15" ht="11.25" customHeight="1">
      <c r="A18" s="218"/>
      <c r="C18" s="223" t="s">
        <v>291</v>
      </c>
      <c r="D18" s="221">
        <v>11.08329</v>
      </c>
      <c r="E18" s="221">
        <v>13.000333339999999</v>
      </c>
      <c r="F18" s="222">
        <f t="shared" si="0"/>
        <v>-0.14746109117845124</v>
      </c>
      <c r="G18" s="159"/>
      <c r="H18" s="32"/>
      <c r="I18" s="5"/>
      <c r="L18" s="666">
        <v>15</v>
      </c>
      <c r="M18" s="667">
        <v>54.414285387311615</v>
      </c>
      <c r="N18" s="667">
        <v>127.68985639299636</v>
      </c>
      <c r="O18" s="667">
        <v>71.706143515450577</v>
      </c>
    </row>
    <row r="19" spans="1:15" ht="11.25" customHeight="1">
      <c r="A19" s="218"/>
      <c r="C19" s="224" t="s">
        <v>292</v>
      </c>
      <c r="D19" s="219">
        <v>12.737611652777774</v>
      </c>
      <c r="E19" s="219">
        <v>13.832000000000001</v>
      </c>
      <c r="F19" s="220">
        <f t="shared" si="0"/>
        <v>-7.9120036670201441E-2</v>
      </c>
      <c r="G19" s="159"/>
      <c r="H19" s="32"/>
      <c r="I19" s="5"/>
      <c r="K19" s="665">
        <v>16</v>
      </c>
      <c r="L19" s="666">
        <v>16</v>
      </c>
      <c r="M19" s="667">
        <v>47.73</v>
      </c>
      <c r="N19" s="667">
        <v>97.4</v>
      </c>
      <c r="O19" s="667">
        <v>53.49</v>
      </c>
    </row>
    <row r="20" spans="1:15" ht="11.25" customHeight="1">
      <c r="A20" s="218"/>
      <c r="C20" s="223" t="s">
        <v>293</v>
      </c>
      <c r="D20" s="221">
        <v>1.466167</v>
      </c>
      <c r="E20" s="221">
        <v>0.51790000000000003</v>
      </c>
      <c r="F20" s="222">
        <f t="shared" si="0"/>
        <v>1.8309847460899786</v>
      </c>
      <c r="G20" s="159"/>
      <c r="H20" s="32"/>
      <c r="I20" s="5"/>
      <c r="L20" s="666">
        <v>17</v>
      </c>
      <c r="M20" s="667">
        <v>42.142857687813873</v>
      </c>
      <c r="N20" s="667">
        <v>85.487143380301248</v>
      </c>
      <c r="O20" s="667">
        <v>51.424428122384178</v>
      </c>
    </row>
    <row r="21" spans="1:15" ht="11.25" customHeight="1">
      <c r="A21" s="218"/>
      <c r="C21" s="224" t="s">
        <v>159</v>
      </c>
      <c r="D21" s="219">
        <v>88.293499999999995</v>
      </c>
      <c r="E21" s="219">
        <v>93.515799970000003</v>
      </c>
      <c r="F21" s="220">
        <f t="shared" si="0"/>
        <v>-5.5844038886213129E-2</v>
      </c>
      <c r="G21" s="159"/>
      <c r="H21" s="32"/>
      <c r="I21" s="5"/>
      <c r="L21" s="666">
        <v>18</v>
      </c>
      <c r="M21" s="667">
        <v>27.452428545270582</v>
      </c>
      <c r="N21" s="667">
        <v>62.369998931884716</v>
      </c>
      <c r="O21" s="667">
        <v>34.353571755545424</v>
      </c>
    </row>
    <row r="22" spans="1:15" ht="11.25" customHeight="1">
      <c r="A22" s="218"/>
      <c r="C22" s="223" t="s">
        <v>157</v>
      </c>
      <c r="D22" s="221">
        <v>3.4333330000000002</v>
      </c>
      <c r="E22" s="221">
        <v>0.99646667600000005</v>
      </c>
      <c r="F22" s="222">
        <f t="shared" si="0"/>
        <v>2.4455070929035263</v>
      </c>
      <c r="G22" s="159"/>
      <c r="H22" s="32"/>
      <c r="I22" s="5"/>
      <c r="L22" s="666">
        <v>19</v>
      </c>
      <c r="M22" s="667">
        <v>21.857142584664455</v>
      </c>
      <c r="N22" s="667">
        <v>58.684285300118525</v>
      </c>
      <c r="O22" s="667">
        <v>29.207143238612552</v>
      </c>
    </row>
    <row r="23" spans="1:15" ht="11.25" customHeight="1">
      <c r="A23" s="218"/>
      <c r="C23" s="224" t="s">
        <v>158</v>
      </c>
      <c r="D23" s="219">
        <v>27.249929999999999</v>
      </c>
      <c r="E23" s="219">
        <v>26.22873306</v>
      </c>
      <c r="F23" s="220">
        <f t="shared" si="0"/>
        <v>3.8934283926865335E-2</v>
      </c>
      <c r="G23" s="159"/>
      <c r="H23" s="32"/>
      <c r="I23" s="5"/>
      <c r="K23" s="665">
        <v>20</v>
      </c>
      <c r="L23" s="666">
        <v>20</v>
      </c>
      <c r="M23" s="667">
        <v>19.5</v>
      </c>
      <c r="N23" s="667">
        <v>54</v>
      </c>
      <c r="O23" s="667">
        <v>22.1</v>
      </c>
    </row>
    <row r="24" spans="1:15" ht="11.25" customHeight="1">
      <c r="A24" s="218"/>
      <c r="C24" s="223" t="s">
        <v>174</v>
      </c>
      <c r="D24" s="221">
        <v>8.0169329999999999</v>
      </c>
      <c r="E24" s="221">
        <v>9.0608665469999998</v>
      </c>
      <c r="F24" s="222">
        <f t="shared" si="0"/>
        <v>-0.11521343368042876</v>
      </c>
      <c r="G24" s="159"/>
      <c r="H24" s="33"/>
      <c r="I24" s="5"/>
      <c r="L24" s="666">
        <v>21</v>
      </c>
      <c r="M24" s="667">
        <v>19.485713958740185</v>
      </c>
      <c r="N24" s="667">
        <v>50.756999969482365</v>
      </c>
      <c r="O24" s="667">
        <v>17.473428726196214</v>
      </c>
    </row>
    <row r="25" spans="1:15" ht="11.25" customHeight="1">
      <c r="A25" s="225"/>
      <c r="C25" s="224" t="s">
        <v>164</v>
      </c>
      <c r="D25" s="219">
        <v>5.6944749999999997</v>
      </c>
      <c r="E25" s="219">
        <v>5.1440629590000002</v>
      </c>
      <c r="F25" s="220">
        <f t="shared" si="0"/>
        <v>0.1069994759758926</v>
      </c>
      <c r="G25" s="192"/>
      <c r="H25" s="32"/>
      <c r="I25" s="5"/>
      <c r="L25" s="666">
        <v>22</v>
      </c>
      <c r="M25" s="667">
        <v>16.329999999999998</v>
      </c>
      <c r="N25" s="667">
        <v>46.59</v>
      </c>
      <c r="O25" s="667">
        <v>17.04</v>
      </c>
    </row>
    <row r="26" spans="1:15" ht="11.25" customHeight="1">
      <c r="A26" s="226"/>
      <c r="C26" s="223" t="s">
        <v>165</v>
      </c>
      <c r="D26" s="221">
        <v>9.3810000000000002</v>
      </c>
      <c r="E26" s="221">
        <v>11.32300002</v>
      </c>
      <c r="F26" s="222">
        <f t="shared" si="0"/>
        <v>-0.17150931878210843</v>
      </c>
      <c r="G26" s="159"/>
      <c r="H26" s="30"/>
      <c r="I26" s="5"/>
      <c r="L26" s="666">
        <v>23</v>
      </c>
      <c r="M26" s="667">
        <v>15.18</v>
      </c>
      <c r="N26" s="667">
        <v>40.29</v>
      </c>
      <c r="O26" s="667">
        <v>22.12</v>
      </c>
    </row>
    <row r="27" spans="1:15" ht="11.25" customHeight="1">
      <c r="A27" s="159"/>
      <c r="C27" s="224" t="s">
        <v>166</v>
      </c>
      <c r="D27" s="219">
        <v>3.557633</v>
      </c>
      <c r="E27" s="219">
        <v>2.7047240920000002</v>
      </c>
      <c r="F27" s="220">
        <f t="shared" si="0"/>
        <v>0.31534044841125325</v>
      </c>
      <c r="G27" s="159"/>
      <c r="H27" s="30"/>
      <c r="I27" s="5"/>
      <c r="K27" s="665">
        <v>24</v>
      </c>
      <c r="L27" s="666">
        <v>24</v>
      </c>
      <c r="M27" s="667">
        <v>15.1</v>
      </c>
      <c r="N27" s="667">
        <v>35.630000000000003</v>
      </c>
      <c r="O27" s="667">
        <v>13.87</v>
      </c>
    </row>
    <row r="28" spans="1:15" ht="11.25" customHeight="1">
      <c r="A28" s="159"/>
      <c r="C28" s="223" t="s">
        <v>167</v>
      </c>
      <c r="D28" s="221">
        <v>1.6970000000000001</v>
      </c>
      <c r="E28" s="221">
        <v>0</v>
      </c>
      <c r="F28" s="222" t="str">
        <f t="shared" si="0"/>
        <v/>
      </c>
      <c r="G28" s="159"/>
      <c r="H28" s="30"/>
      <c r="I28" s="5"/>
      <c r="L28" s="666">
        <v>25</v>
      </c>
      <c r="M28" s="667">
        <v>18.016999930000001</v>
      </c>
      <c r="N28" s="667">
        <v>34.608428410000002</v>
      </c>
      <c r="O28" s="667">
        <v>10.78285721</v>
      </c>
    </row>
    <row r="29" spans="1:15" ht="11.25" customHeight="1">
      <c r="A29" s="192"/>
      <c r="C29" s="224" t="s">
        <v>169</v>
      </c>
      <c r="D29" s="219">
        <v>4.2496590000000003</v>
      </c>
      <c r="E29" s="219">
        <v>7.1370386119999996</v>
      </c>
      <c r="F29" s="220">
        <f t="shared" si="0"/>
        <v>-0.40456270015763218</v>
      </c>
      <c r="G29" s="227"/>
      <c r="H29" s="30"/>
      <c r="I29" s="5"/>
      <c r="L29" s="666">
        <v>26</v>
      </c>
      <c r="M29" s="667">
        <v>16.489714209999999</v>
      </c>
      <c r="N29" s="667">
        <v>34.074285510000003</v>
      </c>
      <c r="O29" s="667">
        <v>9.5958572120000003</v>
      </c>
    </row>
    <row r="30" spans="1:15" ht="11.25" customHeight="1">
      <c r="A30" s="226"/>
      <c r="C30" s="228" t="s">
        <v>160</v>
      </c>
      <c r="D30" s="229">
        <v>5.3395833333333336</v>
      </c>
      <c r="E30" s="229">
        <v>5.7229999999999999</v>
      </c>
      <c r="F30" s="230">
        <f t="shared" si="0"/>
        <v>-6.6995748150736736E-2</v>
      </c>
      <c r="G30" s="159"/>
      <c r="H30" s="32"/>
      <c r="I30" s="5"/>
      <c r="L30" s="666">
        <v>27</v>
      </c>
      <c r="M30" s="667">
        <v>16.199999810000001</v>
      </c>
      <c r="N30" s="667">
        <v>29.599571770000001</v>
      </c>
      <c r="O30" s="667">
        <v>7.8892858370000001</v>
      </c>
    </row>
    <row r="31" spans="1:15" ht="11.25" customHeight="1">
      <c r="A31" s="158"/>
      <c r="C31" s="383" t="str">
        <f>"Cuadro N°10: Promedio de caudales en "&amp;'1. Resumen'!Q4</f>
        <v>Cuadro N°10: Promedio de caudales en setiembre</v>
      </c>
      <c r="D31" s="158"/>
      <c r="E31" s="158"/>
      <c r="F31" s="158"/>
      <c r="G31" s="158"/>
      <c r="H31" s="32"/>
      <c r="I31" s="8"/>
      <c r="K31" s="665">
        <v>28</v>
      </c>
      <c r="L31" s="666">
        <v>28</v>
      </c>
      <c r="M31" s="667">
        <v>12.016285760000001</v>
      </c>
      <c r="N31" s="667">
        <v>29.3955713</v>
      </c>
      <c r="O31" s="667">
        <v>7.2334286140000001</v>
      </c>
    </row>
    <row r="32" spans="1:15" ht="11.25" customHeight="1">
      <c r="A32" s="158"/>
      <c r="B32" s="158"/>
      <c r="C32" s="158"/>
      <c r="D32" s="158"/>
      <c r="E32" s="158"/>
      <c r="F32" s="158"/>
      <c r="G32" s="158"/>
      <c r="H32" s="32"/>
      <c r="I32" s="8"/>
      <c r="L32" s="666">
        <v>29</v>
      </c>
      <c r="M32" s="667">
        <v>10.423571450000001</v>
      </c>
      <c r="N32" s="667">
        <v>32.468857079999999</v>
      </c>
      <c r="O32" s="667">
        <v>6.729428564</v>
      </c>
    </row>
    <row r="33" spans="1:15" ht="11.25" customHeight="1">
      <c r="A33" s="158"/>
      <c r="B33" s="158"/>
      <c r="C33" s="158"/>
      <c r="D33" s="158"/>
      <c r="E33" s="158"/>
      <c r="F33" s="158"/>
      <c r="G33" s="158"/>
      <c r="H33" s="32"/>
      <c r="I33" s="8"/>
      <c r="L33" s="666">
        <v>30</v>
      </c>
      <c r="M33" s="667">
        <v>10.043285640000001</v>
      </c>
      <c r="N33" s="667">
        <v>32.112285890000003</v>
      </c>
      <c r="O33" s="667">
        <v>5.6338571819999999</v>
      </c>
    </row>
    <row r="34" spans="1:15" ht="11.25" customHeight="1">
      <c r="A34" s="158"/>
      <c r="B34" s="158"/>
      <c r="C34" s="158"/>
      <c r="D34" s="158"/>
      <c r="E34" s="158"/>
      <c r="F34" s="158"/>
      <c r="G34" s="158"/>
      <c r="H34" s="32"/>
      <c r="I34" s="8"/>
      <c r="L34" s="666">
        <v>31</v>
      </c>
      <c r="M34" s="667">
        <v>10.086428642272944</v>
      </c>
      <c r="N34" s="667">
        <v>29.132714407784558</v>
      </c>
      <c r="O34" s="667">
        <v>5.181999887738904</v>
      </c>
    </row>
    <row r="35" spans="1:15" ht="11.25" customHeight="1">
      <c r="A35" s="955" t="s">
        <v>489</v>
      </c>
      <c r="B35" s="955"/>
      <c r="C35" s="955"/>
      <c r="D35" s="955"/>
      <c r="E35" s="955"/>
      <c r="F35" s="955"/>
      <c r="G35" s="955"/>
      <c r="H35" s="32"/>
      <c r="I35" s="8"/>
      <c r="K35" s="665">
        <v>32</v>
      </c>
      <c r="L35" s="666">
        <v>32</v>
      </c>
      <c r="M35" s="667">
        <v>12.08228561</v>
      </c>
      <c r="N35" s="667">
        <v>34.150143489999998</v>
      </c>
      <c r="O35" s="667">
        <v>4.8032856669999999</v>
      </c>
    </row>
    <row r="36" spans="1:15" ht="11.25" customHeight="1">
      <c r="A36" s="158"/>
      <c r="B36" s="158"/>
      <c r="C36" s="158"/>
      <c r="D36" s="158"/>
      <c r="E36" s="158"/>
      <c r="F36" s="158"/>
      <c r="G36" s="158"/>
      <c r="H36" s="32"/>
      <c r="I36" s="8"/>
      <c r="L36" s="666">
        <v>33</v>
      </c>
      <c r="M36" s="667">
        <v>11.874000004359614</v>
      </c>
      <c r="N36" s="667">
        <v>35.225571223667643</v>
      </c>
      <c r="O36" s="667">
        <v>4.3821428843906904</v>
      </c>
    </row>
    <row r="37" spans="1:15" ht="11.25" customHeight="1">
      <c r="A37" s="157"/>
      <c r="B37" s="159"/>
      <c r="C37" s="159"/>
      <c r="D37" s="159"/>
      <c r="E37" s="159"/>
      <c r="F37" s="159"/>
      <c r="G37" s="159"/>
      <c r="H37" s="33"/>
      <c r="I37" s="8"/>
      <c r="L37" s="666">
        <v>34</v>
      </c>
      <c r="M37" s="667">
        <v>10.842857090000001</v>
      </c>
      <c r="N37" s="667">
        <v>35.168570930000001</v>
      </c>
      <c r="O37" s="667">
        <v>13.837000059999999</v>
      </c>
    </row>
    <row r="38" spans="1:15" ht="11.25" customHeight="1">
      <c r="A38" s="92"/>
      <c r="B38" s="91"/>
      <c r="C38" s="91"/>
      <c r="D38" s="91"/>
      <c r="E38" s="91"/>
      <c r="F38" s="91"/>
      <c r="G38" s="91"/>
      <c r="H38" s="5"/>
      <c r="I38" s="8"/>
      <c r="L38" s="666">
        <v>35</v>
      </c>
      <c r="M38" s="667">
        <v>10.48142842</v>
      </c>
      <c r="N38" s="667">
        <v>37.824428560000001</v>
      </c>
      <c r="O38" s="667">
        <v>3.922857182</v>
      </c>
    </row>
    <row r="39" spans="1:15" ht="11.25" customHeight="1">
      <c r="A39" s="92"/>
      <c r="B39" s="91"/>
      <c r="C39" s="91"/>
      <c r="D39" s="91"/>
      <c r="E39" s="91"/>
      <c r="F39" s="91"/>
      <c r="G39" s="91"/>
      <c r="H39" s="5"/>
      <c r="I39" s="13"/>
      <c r="K39" s="665">
        <v>36</v>
      </c>
      <c r="L39" s="666">
        <v>36</v>
      </c>
      <c r="M39" s="667">
        <v>11.85</v>
      </c>
      <c r="N39" s="667">
        <v>39.78</v>
      </c>
      <c r="O39" s="667">
        <v>4.9800000000000004</v>
      </c>
    </row>
    <row r="40" spans="1:15" ht="11.25" customHeight="1">
      <c r="A40" s="92"/>
      <c r="B40" s="91"/>
      <c r="C40" s="91"/>
      <c r="D40" s="91"/>
      <c r="E40" s="91"/>
      <c r="F40" s="91"/>
      <c r="G40" s="91"/>
      <c r="H40" s="5"/>
      <c r="I40" s="13"/>
      <c r="L40" s="666">
        <v>37</v>
      </c>
      <c r="M40" s="667">
        <v>12.08</v>
      </c>
      <c r="N40" s="667">
        <v>44.25</v>
      </c>
      <c r="O40" s="667">
        <v>4.92</v>
      </c>
    </row>
    <row r="41" spans="1:15" ht="11.25" customHeight="1">
      <c r="A41" s="92"/>
      <c r="B41" s="91"/>
      <c r="C41" s="91"/>
      <c r="D41" s="91"/>
      <c r="E41" s="91"/>
      <c r="F41" s="91"/>
      <c r="G41" s="91"/>
      <c r="H41" s="5"/>
      <c r="I41" s="9"/>
      <c r="L41" s="666">
        <v>38</v>
      </c>
      <c r="M41" s="667">
        <v>11.88371427</v>
      </c>
      <c r="N41" s="667">
        <v>41.311858039999997</v>
      </c>
      <c r="O41" s="667">
        <v>4.6447142870000002</v>
      </c>
    </row>
    <row r="42" spans="1:15" ht="11.25" customHeight="1">
      <c r="A42" s="92"/>
      <c r="B42" s="91"/>
      <c r="C42" s="91"/>
      <c r="D42" s="91"/>
      <c r="E42" s="91"/>
      <c r="F42" s="91"/>
      <c r="G42" s="91"/>
      <c r="H42" s="5"/>
      <c r="I42" s="9"/>
      <c r="K42" s="665">
        <v>39</v>
      </c>
      <c r="L42" s="666">
        <v>39</v>
      </c>
      <c r="M42" s="667">
        <v>13.06</v>
      </c>
      <c r="N42" s="667">
        <v>41.13</v>
      </c>
      <c r="O42" s="667">
        <v>4.2699999999999996</v>
      </c>
    </row>
    <row r="43" spans="1:15" ht="11.25" customHeight="1">
      <c r="A43" s="92"/>
      <c r="B43" s="91"/>
      <c r="C43" s="91"/>
      <c r="D43" s="91"/>
      <c r="E43" s="91"/>
      <c r="F43" s="91"/>
      <c r="G43" s="91"/>
      <c r="H43" s="5"/>
      <c r="I43" s="9"/>
      <c r="L43" s="666">
        <v>40</v>
      </c>
      <c r="M43" s="667">
        <v>15.945571764285715</v>
      </c>
      <c r="N43" s="667">
        <v>46.466000694285704</v>
      </c>
      <c r="O43" s="667">
        <v>5.3634285927142864</v>
      </c>
    </row>
    <row r="44" spans="1:15" ht="11.25" customHeight="1">
      <c r="A44" s="92"/>
      <c r="B44" s="91"/>
      <c r="C44" s="91"/>
      <c r="D44" s="91"/>
      <c r="E44" s="91"/>
      <c r="F44" s="91"/>
      <c r="G44" s="91"/>
      <c r="H44" s="8"/>
      <c r="I44" s="13"/>
      <c r="L44" s="666">
        <v>41</v>
      </c>
      <c r="M44" s="667">
        <v>15.848856789725129</v>
      </c>
      <c r="N44" s="667">
        <v>37.273714882986837</v>
      </c>
      <c r="O44" s="667">
        <v>6.9682856968470812</v>
      </c>
    </row>
    <row r="45" spans="1:15" ht="11.25" customHeight="1">
      <c r="A45" s="92"/>
      <c r="B45" s="91"/>
      <c r="C45" s="91"/>
      <c r="D45" s="91"/>
      <c r="E45" s="91"/>
      <c r="F45" s="91"/>
      <c r="G45" s="91"/>
      <c r="H45" s="5"/>
      <c r="I45" s="13"/>
      <c r="L45" s="666">
        <v>42</v>
      </c>
      <c r="M45" s="667">
        <v>15.549142972857144</v>
      </c>
      <c r="N45" s="667">
        <v>48.572000228571433</v>
      </c>
      <c r="O45" s="667">
        <v>11.100428648285714</v>
      </c>
    </row>
    <row r="46" spans="1:15" ht="11.25" customHeight="1">
      <c r="A46" s="92"/>
      <c r="B46" s="91"/>
      <c r="C46" s="91"/>
      <c r="D46" s="91"/>
      <c r="E46" s="91"/>
      <c r="F46" s="91"/>
      <c r="G46" s="91"/>
      <c r="H46" s="5"/>
      <c r="I46" s="13"/>
      <c r="K46" s="665">
        <v>43</v>
      </c>
      <c r="L46" s="666">
        <v>43</v>
      </c>
      <c r="M46" s="667">
        <v>13.17</v>
      </c>
      <c r="N46" s="667">
        <v>35.32</v>
      </c>
      <c r="O46" s="667">
        <v>6.01</v>
      </c>
    </row>
    <row r="47" spans="1:15" ht="11.25" customHeight="1">
      <c r="A47" s="92"/>
      <c r="B47" s="91"/>
      <c r="C47" s="91"/>
      <c r="D47" s="91"/>
      <c r="E47" s="91"/>
      <c r="F47" s="91"/>
      <c r="G47" s="91"/>
      <c r="H47" s="15"/>
      <c r="I47" s="15"/>
      <c r="L47" s="666">
        <v>44</v>
      </c>
      <c r="M47" s="667">
        <v>13.18</v>
      </c>
      <c r="N47" s="667">
        <v>36.83</v>
      </c>
      <c r="O47" s="667">
        <v>4.57</v>
      </c>
    </row>
    <row r="48" spans="1:15" ht="11.25" customHeight="1">
      <c r="A48" s="92"/>
      <c r="B48" s="91"/>
      <c r="C48" s="91"/>
      <c r="D48" s="91"/>
      <c r="E48" s="91"/>
      <c r="F48" s="91"/>
      <c r="G48" s="91"/>
      <c r="H48" s="14"/>
      <c r="I48" s="14"/>
      <c r="L48" s="666">
        <v>45</v>
      </c>
      <c r="M48" s="667">
        <v>13.49</v>
      </c>
      <c r="N48" s="667">
        <v>39.520000000000003</v>
      </c>
      <c r="O48" s="667">
        <v>4.83</v>
      </c>
    </row>
    <row r="49" spans="1:15" ht="11.25" customHeight="1">
      <c r="A49" s="92"/>
      <c r="B49" s="91"/>
      <c r="C49" s="91"/>
      <c r="D49" s="91"/>
      <c r="E49" s="91"/>
      <c r="F49" s="91"/>
      <c r="G49" s="91"/>
      <c r="H49" s="14"/>
      <c r="I49" s="14"/>
      <c r="L49" s="666">
        <v>46</v>
      </c>
      <c r="M49" s="667">
        <v>15.4</v>
      </c>
      <c r="N49" s="667">
        <v>53.38</v>
      </c>
      <c r="O49" s="667">
        <v>3.73</v>
      </c>
    </row>
    <row r="50" spans="1:15" ht="11.25" customHeight="1">
      <c r="A50" s="92"/>
      <c r="B50" s="91"/>
      <c r="C50" s="91"/>
      <c r="D50" s="91"/>
      <c r="E50" s="91"/>
      <c r="F50" s="91"/>
      <c r="G50" s="91"/>
      <c r="H50" s="14"/>
      <c r="I50" s="14"/>
      <c r="L50" s="666">
        <v>47</v>
      </c>
      <c r="M50" s="667">
        <v>16.408999999999999</v>
      </c>
      <c r="N50" s="667">
        <v>61.853000000000002</v>
      </c>
      <c r="O50" s="667">
        <v>2.5211429999999999</v>
      </c>
    </row>
    <row r="51" spans="1:15" ht="11.25" customHeight="1">
      <c r="A51" s="92"/>
      <c r="B51" s="91"/>
      <c r="C51" s="91"/>
      <c r="D51" s="91"/>
      <c r="E51" s="91"/>
      <c r="F51" s="91"/>
      <c r="G51" s="91"/>
      <c r="H51" s="14"/>
      <c r="I51" s="14"/>
      <c r="K51" s="665">
        <v>48</v>
      </c>
      <c r="L51" s="666">
        <v>48</v>
      </c>
      <c r="M51" s="667">
        <v>16.328857422857144</v>
      </c>
      <c r="N51" s="667">
        <v>65.330427987142869</v>
      </c>
      <c r="O51" s="667">
        <v>3.571428503285714</v>
      </c>
    </row>
    <row r="52" spans="1:15" ht="11.25" customHeight="1">
      <c r="A52" s="92"/>
      <c r="B52" s="91"/>
      <c r="C52" s="91"/>
      <c r="D52" s="91"/>
      <c r="E52" s="91"/>
      <c r="F52" s="91"/>
      <c r="G52" s="91"/>
      <c r="H52" s="14"/>
      <c r="I52" s="14"/>
      <c r="L52" s="666">
        <v>49</v>
      </c>
      <c r="M52" s="667">
        <v>20.236285890000001</v>
      </c>
      <c r="N52" s="667">
        <v>66.680000000000007</v>
      </c>
      <c r="O52" s="667">
        <v>6.1</v>
      </c>
    </row>
    <row r="53" spans="1:15" ht="11.25" customHeight="1">
      <c r="A53" s="92"/>
      <c r="B53" s="91"/>
      <c r="C53" s="91"/>
      <c r="D53" s="91"/>
      <c r="E53" s="91"/>
      <c r="F53" s="91"/>
      <c r="G53" s="91"/>
      <c r="H53" s="14"/>
      <c r="I53" s="14"/>
      <c r="L53" s="666">
        <v>50</v>
      </c>
      <c r="M53" s="667">
        <v>19.809999999999999</v>
      </c>
      <c r="N53" s="667">
        <v>61.31</v>
      </c>
      <c r="O53" s="667">
        <v>6.69</v>
      </c>
    </row>
    <row r="54" spans="1:15" ht="11.25" customHeight="1">
      <c r="A54" s="92"/>
      <c r="B54" s="91"/>
      <c r="C54" s="91"/>
      <c r="D54" s="91"/>
      <c r="E54" s="91"/>
      <c r="F54" s="91"/>
      <c r="G54" s="91"/>
      <c r="H54" s="14"/>
      <c r="I54" s="14"/>
      <c r="L54" s="666">
        <v>51</v>
      </c>
      <c r="M54" s="667">
        <v>21.91</v>
      </c>
      <c r="N54" s="667">
        <v>70.790000000000006</v>
      </c>
      <c r="O54" s="667">
        <v>13.15</v>
      </c>
    </row>
    <row r="55" spans="1:15" ht="12.75">
      <c r="A55" s="92"/>
      <c r="B55" s="91"/>
      <c r="C55" s="91"/>
      <c r="D55" s="91"/>
      <c r="E55" s="91"/>
      <c r="F55" s="91"/>
      <c r="G55" s="91"/>
      <c r="H55" s="14"/>
      <c r="I55" s="14"/>
      <c r="K55" s="665">
        <v>52</v>
      </c>
      <c r="L55" s="666">
        <v>52</v>
      </c>
      <c r="M55" s="667">
        <v>22</v>
      </c>
      <c r="N55" s="667">
        <v>77.434859137142865</v>
      </c>
      <c r="O55" s="667">
        <v>17.75700037857143</v>
      </c>
    </row>
    <row r="56" spans="1:15" ht="12.75">
      <c r="A56" s="92"/>
      <c r="B56" s="91"/>
      <c r="C56" s="91"/>
      <c r="D56" s="91"/>
      <c r="E56" s="91"/>
      <c r="F56" s="91"/>
      <c r="G56" s="91"/>
      <c r="H56" s="14"/>
      <c r="I56" s="14"/>
      <c r="J56" s="434">
        <v>2017</v>
      </c>
      <c r="K56" s="665">
        <v>1</v>
      </c>
      <c r="L56" s="666">
        <v>1</v>
      </c>
      <c r="M56" s="667">
        <v>41.55</v>
      </c>
      <c r="N56" s="667">
        <v>103.58</v>
      </c>
      <c r="O56" s="667">
        <v>29.67</v>
      </c>
    </row>
    <row r="57" spans="1:15" ht="12.75">
      <c r="A57" s="92"/>
      <c r="B57" s="91"/>
      <c r="C57" s="91"/>
      <c r="D57" s="91"/>
      <c r="E57" s="91"/>
      <c r="F57" s="91"/>
      <c r="G57" s="91"/>
      <c r="H57" s="14"/>
      <c r="I57" s="14"/>
      <c r="L57" s="666">
        <v>2</v>
      </c>
      <c r="M57" s="667">
        <v>39.6</v>
      </c>
      <c r="N57" s="667">
        <v>105.01</v>
      </c>
      <c r="O57" s="667">
        <v>51.2</v>
      </c>
    </row>
    <row r="58" spans="1:15" ht="12.75">
      <c r="A58" s="92"/>
      <c r="B58" s="91"/>
      <c r="C58" s="91"/>
      <c r="D58" s="91"/>
      <c r="E58" s="91"/>
      <c r="F58" s="91"/>
      <c r="G58" s="91"/>
      <c r="H58" s="14"/>
      <c r="I58" s="14"/>
      <c r="L58" s="666">
        <v>3</v>
      </c>
      <c r="M58" s="667">
        <v>73.650000000000006</v>
      </c>
      <c r="N58" s="667">
        <v>137.41</v>
      </c>
      <c r="O58" s="667">
        <v>43.26</v>
      </c>
    </row>
    <row r="59" spans="1:15" ht="12.75">
      <c r="A59" s="92"/>
      <c r="B59" s="91"/>
      <c r="C59" s="91"/>
      <c r="D59" s="91"/>
      <c r="E59" s="91"/>
      <c r="F59" s="91"/>
      <c r="G59" s="91"/>
      <c r="H59" s="14"/>
      <c r="I59" s="14"/>
      <c r="K59" s="665">
        <v>4</v>
      </c>
      <c r="L59" s="666">
        <v>4</v>
      </c>
      <c r="M59" s="667">
        <v>65.03</v>
      </c>
      <c r="N59" s="667">
        <v>127.83</v>
      </c>
      <c r="O59" s="667">
        <v>32.72</v>
      </c>
    </row>
    <row r="60" spans="1:15" ht="12.75">
      <c r="A60" s="92"/>
      <c r="B60" s="91"/>
      <c r="C60" s="91"/>
      <c r="D60" s="91"/>
      <c r="E60" s="91"/>
      <c r="F60" s="91"/>
      <c r="G60" s="91"/>
      <c r="H60" s="14"/>
      <c r="I60" s="14"/>
      <c r="L60" s="666">
        <v>5</v>
      </c>
      <c r="M60" s="667">
        <v>56.95</v>
      </c>
      <c r="N60" s="667">
        <v>97.31</v>
      </c>
      <c r="O60" s="667">
        <v>48.46</v>
      </c>
    </row>
    <row r="61" spans="1:15" ht="12.75">
      <c r="A61" s="383" t="s">
        <v>569</v>
      </c>
      <c r="B61" s="91"/>
      <c r="C61" s="91"/>
      <c r="D61" s="91"/>
      <c r="E61" s="91"/>
      <c r="F61" s="91"/>
      <c r="G61" s="91"/>
      <c r="H61" s="14"/>
      <c r="I61" s="14"/>
      <c r="L61" s="666">
        <v>6</v>
      </c>
      <c r="M61" s="667">
        <v>61.87</v>
      </c>
      <c r="N61" s="667">
        <v>123.44</v>
      </c>
      <c r="O61" s="667">
        <v>72.52</v>
      </c>
    </row>
    <row r="62" spans="1:15">
      <c r="L62" s="666">
        <v>7</v>
      </c>
      <c r="M62" s="667">
        <v>77.569999999999993</v>
      </c>
      <c r="N62" s="667">
        <v>145.02000000000001</v>
      </c>
      <c r="O62" s="667">
        <v>59.16</v>
      </c>
    </row>
    <row r="63" spans="1:15">
      <c r="K63" s="665">
        <v>8</v>
      </c>
      <c r="L63" s="666">
        <v>8</v>
      </c>
      <c r="M63" s="667">
        <v>86.94</v>
      </c>
      <c r="N63" s="667">
        <v>175.03</v>
      </c>
      <c r="O63" s="667">
        <v>24.36</v>
      </c>
    </row>
    <row r="64" spans="1:15">
      <c r="L64" s="666">
        <v>9</v>
      </c>
      <c r="M64" s="667">
        <v>85.13</v>
      </c>
      <c r="N64" s="667">
        <v>206.14</v>
      </c>
      <c r="O64" s="667">
        <v>39.07</v>
      </c>
    </row>
    <row r="65" spans="11:15">
      <c r="L65" s="666">
        <v>10</v>
      </c>
      <c r="M65" s="667">
        <v>84.78</v>
      </c>
      <c r="N65" s="667">
        <v>270.17</v>
      </c>
      <c r="O65" s="667">
        <v>109.16</v>
      </c>
    </row>
    <row r="66" spans="11:15">
      <c r="L66" s="666">
        <v>11</v>
      </c>
      <c r="M66" s="667">
        <v>84.78</v>
      </c>
      <c r="N66" s="667">
        <v>376.42</v>
      </c>
      <c r="O66" s="667">
        <v>188.18</v>
      </c>
    </row>
    <row r="67" spans="11:15">
      <c r="K67" s="665">
        <v>12</v>
      </c>
      <c r="L67" s="666">
        <v>12</v>
      </c>
      <c r="M67" s="667">
        <v>106.16</v>
      </c>
      <c r="N67" s="667">
        <v>351.57</v>
      </c>
      <c r="O67" s="667">
        <v>159.6</v>
      </c>
    </row>
    <row r="68" spans="11:15">
      <c r="L68" s="666">
        <v>13</v>
      </c>
      <c r="M68" s="667">
        <v>101.71</v>
      </c>
      <c r="N68" s="667">
        <v>384.37</v>
      </c>
      <c r="O68" s="667">
        <v>161.77000000000001</v>
      </c>
    </row>
    <row r="69" spans="11:15">
      <c r="L69" s="666">
        <v>14</v>
      </c>
      <c r="M69" s="667">
        <v>83.1</v>
      </c>
      <c r="N69" s="667">
        <v>337.84</v>
      </c>
      <c r="O69" s="667">
        <v>115.43</v>
      </c>
    </row>
    <row r="70" spans="11:15">
      <c r="L70" s="666">
        <v>15</v>
      </c>
      <c r="M70" s="667">
        <v>61.23</v>
      </c>
      <c r="N70" s="667">
        <v>282.32</v>
      </c>
      <c r="O70" s="667">
        <v>98.92</v>
      </c>
    </row>
    <row r="71" spans="11:15">
      <c r="K71" s="665">
        <v>16</v>
      </c>
      <c r="L71" s="666">
        <v>16</v>
      </c>
      <c r="M71" s="667">
        <v>49.8</v>
      </c>
      <c r="N71" s="667">
        <v>191.65</v>
      </c>
      <c r="O71" s="667">
        <v>82.48</v>
      </c>
    </row>
    <row r="72" spans="11:15">
      <c r="L72" s="666">
        <v>17</v>
      </c>
      <c r="M72" s="667">
        <v>40.21</v>
      </c>
      <c r="N72" s="667">
        <v>160.35</v>
      </c>
      <c r="O72" s="667">
        <v>77.02</v>
      </c>
    </row>
    <row r="73" spans="11:15">
      <c r="L73" s="666">
        <v>18</v>
      </c>
      <c r="M73" s="667">
        <v>43.46</v>
      </c>
      <c r="N73" s="667">
        <v>136.65</v>
      </c>
      <c r="O73" s="667">
        <v>62.63</v>
      </c>
    </row>
    <row r="74" spans="11:15">
      <c r="L74" s="666">
        <v>19</v>
      </c>
      <c r="M74" s="667">
        <v>35.65</v>
      </c>
      <c r="N74" s="667">
        <v>135.97</v>
      </c>
      <c r="O74" s="667">
        <v>93.03</v>
      </c>
    </row>
    <row r="75" spans="11:15">
      <c r="K75" s="665">
        <v>20</v>
      </c>
      <c r="L75" s="666">
        <v>20</v>
      </c>
      <c r="M75" s="667">
        <v>26.22</v>
      </c>
      <c r="N75" s="667">
        <v>135.66</v>
      </c>
      <c r="O75" s="667">
        <v>72.349999999999994</v>
      </c>
    </row>
    <row r="76" spans="11:15">
      <c r="L76" s="666">
        <v>21</v>
      </c>
      <c r="M76" s="667">
        <v>27.95</v>
      </c>
      <c r="N76" s="667">
        <v>113.82</v>
      </c>
      <c r="O76" s="667">
        <v>90.75</v>
      </c>
    </row>
    <row r="77" spans="11:15">
      <c r="L77" s="666">
        <v>22</v>
      </c>
      <c r="M77" s="667">
        <v>32.409999999999997</v>
      </c>
      <c r="N77" s="667">
        <v>64.03</v>
      </c>
      <c r="O77" s="667">
        <v>53.02</v>
      </c>
    </row>
    <row r="78" spans="11:15">
      <c r="L78" s="666">
        <v>23</v>
      </c>
      <c r="M78" s="667">
        <v>28.93</v>
      </c>
      <c r="N78" s="667">
        <v>53.15</v>
      </c>
      <c r="O78" s="667">
        <v>32.43</v>
      </c>
    </row>
    <row r="79" spans="11:15">
      <c r="K79" s="665">
        <v>24</v>
      </c>
      <c r="L79" s="666">
        <v>24</v>
      </c>
      <c r="M79" s="667">
        <v>26.59</v>
      </c>
      <c r="N79" s="667">
        <v>45.98</v>
      </c>
      <c r="O79" s="667">
        <v>27.75</v>
      </c>
    </row>
    <row r="80" spans="11:15">
      <c r="L80" s="666">
        <v>25</v>
      </c>
      <c r="M80" s="667">
        <v>23.61</v>
      </c>
      <c r="N80" s="667">
        <v>38.68</v>
      </c>
      <c r="O80" s="667">
        <v>24.81</v>
      </c>
    </row>
    <row r="81" spans="11:15">
      <c r="L81" s="666">
        <v>26</v>
      </c>
      <c r="M81" s="667">
        <v>24.94</v>
      </c>
      <c r="N81" s="667">
        <v>34.68</v>
      </c>
      <c r="O81" s="667">
        <v>21.81</v>
      </c>
    </row>
    <row r="82" spans="11:15">
      <c r="L82" s="666">
        <v>27</v>
      </c>
      <c r="M82" s="667">
        <v>25.54</v>
      </c>
      <c r="N82" s="667">
        <v>31.72</v>
      </c>
      <c r="O82" s="667">
        <v>18.649999999999999</v>
      </c>
    </row>
    <row r="83" spans="11:15">
      <c r="K83" s="665">
        <v>28</v>
      </c>
      <c r="L83" s="666">
        <v>28</v>
      </c>
      <c r="M83" s="667">
        <v>23.56</v>
      </c>
      <c r="N83" s="667">
        <v>29.25</v>
      </c>
      <c r="O83" s="667">
        <v>14.27</v>
      </c>
    </row>
    <row r="84" spans="11:15">
      <c r="L84" s="666">
        <v>29</v>
      </c>
      <c r="M84" s="667">
        <v>22.4</v>
      </c>
      <c r="N84" s="667">
        <v>29.53</v>
      </c>
      <c r="O84" s="667">
        <v>11.51</v>
      </c>
    </row>
    <row r="85" spans="11:15">
      <c r="L85" s="666">
        <v>30</v>
      </c>
      <c r="M85" s="667">
        <v>21.29</v>
      </c>
      <c r="N85" s="667">
        <v>27.62</v>
      </c>
      <c r="O85" s="667">
        <v>9.7200000000000006</v>
      </c>
    </row>
    <row r="86" spans="11:15">
      <c r="L86" s="666">
        <v>31</v>
      </c>
      <c r="M86" s="667">
        <v>19.34</v>
      </c>
      <c r="N86" s="667">
        <v>27.99</v>
      </c>
      <c r="O86" s="667">
        <v>8.09</v>
      </c>
    </row>
    <row r="87" spans="11:15">
      <c r="K87" s="665">
        <v>32</v>
      </c>
      <c r="L87" s="666">
        <v>32</v>
      </c>
      <c r="M87" s="667">
        <v>19.649999999999999</v>
      </c>
      <c r="N87" s="667">
        <v>31.42</v>
      </c>
      <c r="O87" s="667">
        <v>7.62</v>
      </c>
    </row>
    <row r="88" spans="11:15">
      <c r="L88" s="666">
        <v>33</v>
      </c>
      <c r="M88" s="667">
        <v>18.420000000000002</v>
      </c>
      <c r="N88" s="667">
        <v>29.71</v>
      </c>
      <c r="O88" s="667">
        <v>9.5500000000000007</v>
      </c>
    </row>
    <row r="89" spans="11:15">
      <c r="L89" s="666">
        <v>34</v>
      </c>
      <c r="M89" s="667">
        <v>17.170000000000002</v>
      </c>
      <c r="N89" s="667">
        <v>30.51</v>
      </c>
      <c r="O89" s="667">
        <v>10.75</v>
      </c>
    </row>
    <row r="90" spans="11:15">
      <c r="L90" s="666">
        <v>35</v>
      </c>
      <c r="M90" s="667">
        <v>17.47</v>
      </c>
      <c r="N90" s="667">
        <v>27.5</v>
      </c>
      <c r="O90" s="667">
        <v>8.31</v>
      </c>
    </row>
    <row r="91" spans="11:15">
      <c r="K91" s="665">
        <v>36</v>
      </c>
      <c r="L91" s="666">
        <v>36</v>
      </c>
      <c r="M91" s="667">
        <v>13.42</v>
      </c>
      <c r="N91" s="667">
        <v>26.21</v>
      </c>
      <c r="O91" s="667">
        <v>6.53</v>
      </c>
    </row>
    <row r="92" spans="11:15">
      <c r="L92" s="666">
        <v>37</v>
      </c>
      <c r="M92" s="667">
        <v>11.2</v>
      </c>
      <c r="N92" s="667">
        <v>29.98</v>
      </c>
      <c r="O92" s="667">
        <v>9.7799999999999994</v>
      </c>
    </row>
    <row r="93" spans="11:15">
      <c r="L93" s="666">
        <v>38</v>
      </c>
      <c r="M93" s="667">
        <v>11</v>
      </c>
      <c r="N93" s="667">
        <v>34.369999999999997</v>
      </c>
      <c r="O93" s="667">
        <v>7.47</v>
      </c>
    </row>
    <row r="94" spans="11:15">
      <c r="K94" s="665">
        <v>39</v>
      </c>
      <c r="L94" s="666">
        <v>39</v>
      </c>
      <c r="M94" s="667">
        <v>11.14</v>
      </c>
      <c r="N94" s="667">
        <v>42.17</v>
      </c>
      <c r="O94" s="667">
        <v>7.49</v>
      </c>
    </row>
    <row r="95" spans="11:15">
      <c r="L95" s="666">
        <v>40</v>
      </c>
      <c r="M95" s="667">
        <v>12.8</v>
      </c>
      <c r="N95" s="667">
        <v>37.270000000000003</v>
      </c>
      <c r="O95" s="667">
        <v>15.47</v>
      </c>
    </row>
    <row r="96" spans="11:15">
      <c r="L96" s="666">
        <v>41</v>
      </c>
      <c r="M96" s="667">
        <v>14.41</v>
      </c>
      <c r="N96" s="667">
        <v>40.04</v>
      </c>
      <c r="O96" s="667">
        <v>18</v>
      </c>
    </row>
    <row r="97" spans="10:15">
      <c r="L97" s="666">
        <v>42</v>
      </c>
      <c r="M97" s="667">
        <v>15.87</v>
      </c>
      <c r="N97" s="667">
        <v>35.79</v>
      </c>
      <c r="O97" s="667">
        <v>12.74</v>
      </c>
    </row>
    <row r="98" spans="10:15">
      <c r="K98" s="665">
        <v>43</v>
      </c>
      <c r="L98" s="666">
        <v>43</v>
      </c>
      <c r="M98" s="667">
        <v>19.61</v>
      </c>
      <c r="N98" s="667">
        <v>50.36</v>
      </c>
      <c r="O98" s="667">
        <v>30.75</v>
      </c>
    </row>
    <row r="99" spans="10:15">
      <c r="L99" s="666">
        <v>44</v>
      </c>
      <c r="M99" s="667">
        <v>21.85</v>
      </c>
      <c r="N99" s="667">
        <v>54.94</v>
      </c>
      <c r="O99" s="667">
        <v>23.58</v>
      </c>
    </row>
    <row r="100" spans="10:15">
      <c r="L100" s="666">
        <v>45</v>
      </c>
      <c r="M100" s="667">
        <v>16.79</v>
      </c>
      <c r="N100" s="667">
        <v>41.16</v>
      </c>
      <c r="O100" s="667">
        <v>11.77</v>
      </c>
    </row>
    <row r="101" spans="10:15">
      <c r="L101" s="666">
        <v>46</v>
      </c>
      <c r="M101" s="667">
        <v>16.010000000000002</v>
      </c>
      <c r="N101" s="667">
        <v>42.65</v>
      </c>
      <c r="O101" s="667">
        <v>9.33</v>
      </c>
    </row>
    <row r="102" spans="10:15">
      <c r="L102" s="666">
        <v>47</v>
      </c>
      <c r="M102" s="667">
        <v>14.72</v>
      </c>
      <c r="N102" s="667">
        <v>39.76</v>
      </c>
      <c r="O102" s="667">
        <v>8.19</v>
      </c>
    </row>
    <row r="103" spans="10:15">
      <c r="K103" s="665">
        <v>48</v>
      </c>
      <c r="L103" s="666">
        <v>48</v>
      </c>
      <c r="M103" s="667">
        <v>18.932000297142856</v>
      </c>
      <c r="N103" s="667">
        <v>47.388000487142854</v>
      </c>
      <c r="O103" s="667">
        <v>19.661285946</v>
      </c>
    </row>
    <row r="104" spans="10:15">
      <c r="L104" s="666">
        <v>49</v>
      </c>
      <c r="M104" s="667">
        <v>28.48371397</v>
      </c>
      <c r="N104" s="667">
        <v>78.087428497142852</v>
      </c>
      <c r="O104" s="667">
        <v>19.181428364285715</v>
      </c>
    </row>
    <row r="105" spans="10:15">
      <c r="L105" s="666">
        <v>50</v>
      </c>
      <c r="M105" s="667">
        <v>32.583286012857144</v>
      </c>
      <c r="N105" s="667">
        <v>69.764142717142846</v>
      </c>
      <c r="O105" s="667">
        <v>23.7245715</v>
      </c>
    </row>
    <row r="106" spans="10:15">
      <c r="L106" s="666">
        <v>51</v>
      </c>
      <c r="M106" s="667">
        <v>34.501856668571428</v>
      </c>
      <c r="N106" s="667">
        <v>71.14499991142857</v>
      </c>
      <c r="O106" s="667">
        <v>26.158142907142857</v>
      </c>
    </row>
    <row r="107" spans="10:15">
      <c r="K107" s="665">
        <v>52</v>
      </c>
      <c r="L107" s="666">
        <v>52</v>
      </c>
      <c r="M107" s="667">
        <v>27.781857355714287</v>
      </c>
      <c r="N107" s="667">
        <v>83.196000228571435</v>
      </c>
      <c r="O107" s="667">
        <v>21.776999882857144</v>
      </c>
    </row>
    <row r="108" spans="10:15">
      <c r="J108" s="434">
        <v>2018</v>
      </c>
      <c r="K108" s="665">
        <v>1</v>
      </c>
      <c r="L108" s="666">
        <v>1</v>
      </c>
      <c r="M108" s="667">
        <v>29.44</v>
      </c>
      <c r="N108" s="667">
        <v>69.087142857142865</v>
      </c>
      <c r="O108" s="667">
        <v>15.747142857142856</v>
      </c>
    </row>
    <row r="109" spans="10:15">
      <c r="L109" s="666">
        <v>2</v>
      </c>
      <c r="M109" s="667">
        <v>42.880857194285717</v>
      </c>
      <c r="N109" s="667">
        <v>96.785858138571413</v>
      </c>
      <c r="O109" s="667">
        <v>37.6</v>
      </c>
    </row>
    <row r="110" spans="10:15">
      <c r="L110" s="666">
        <v>3</v>
      </c>
      <c r="M110" s="667">
        <v>74.002572194285705</v>
      </c>
      <c r="N110" s="667">
        <v>158.17728531428571</v>
      </c>
      <c r="O110" s="667">
        <v>101.26128550142856</v>
      </c>
    </row>
    <row r="111" spans="10:15">
      <c r="K111" s="665">
        <v>4</v>
      </c>
      <c r="L111" s="666">
        <v>4</v>
      </c>
      <c r="M111" s="667">
        <v>77.812570845714291</v>
      </c>
      <c r="N111" s="667">
        <v>167.02357267142858</v>
      </c>
      <c r="O111" s="667">
        <v>77.354000085714276</v>
      </c>
    </row>
    <row r="112" spans="10:15">
      <c r="L112" s="666">
        <v>5</v>
      </c>
      <c r="M112" s="667">
        <v>61.531714848571433</v>
      </c>
      <c r="N112" s="667">
        <v>113.19585745142855</v>
      </c>
      <c r="O112" s="667">
        <v>30.667142595714285</v>
      </c>
    </row>
    <row r="113" spans="11:15">
      <c r="L113" s="666">
        <v>6</v>
      </c>
      <c r="M113" s="667">
        <v>54.024142672857138</v>
      </c>
      <c r="N113" s="667">
        <v>88.535714287142852</v>
      </c>
      <c r="O113" s="667">
        <v>32.444142750000005</v>
      </c>
    </row>
    <row r="114" spans="11:15">
      <c r="L114" s="666">
        <v>7</v>
      </c>
      <c r="M114" s="667">
        <v>59.271427155714285</v>
      </c>
      <c r="N114" s="667">
        <v>99.37822619047617</v>
      </c>
      <c r="O114" s="667">
        <v>30.338148809523812</v>
      </c>
    </row>
    <row r="115" spans="11:15">
      <c r="K115" s="665">
        <v>8</v>
      </c>
      <c r="L115" s="666">
        <v>8</v>
      </c>
      <c r="M115" s="667">
        <v>78.025571005714284</v>
      </c>
      <c r="N115" s="667">
        <v>140.28</v>
      </c>
      <c r="O115" s="667">
        <v>62.97</v>
      </c>
    </row>
    <row r="116" spans="11:15">
      <c r="L116" s="666">
        <v>9</v>
      </c>
      <c r="M116" s="667">
        <v>61.11871501571428</v>
      </c>
      <c r="N116" s="667">
        <v>102.99642836285715</v>
      </c>
      <c r="O116" s="667">
        <v>31.244571685714288</v>
      </c>
    </row>
    <row r="117" spans="11:15">
      <c r="L117" s="666">
        <v>10</v>
      </c>
      <c r="M117" s="667">
        <v>84.500714981428573</v>
      </c>
      <c r="N117" s="667">
        <v>175.90485927142853</v>
      </c>
      <c r="O117" s="667">
        <v>36.038285662857142</v>
      </c>
    </row>
    <row r="118" spans="11:15">
      <c r="L118" s="666">
        <v>11</v>
      </c>
      <c r="M118" s="667">
        <v>83.643855504285725</v>
      </c>
      <c r="N118" s="667">
        <v>169.64671761428571</v>
      </c>
      <c r="O118" s="667">
        <v>25.076428275714282</v>
      </c>
    </row>
    <row r="119" spans="11:15">
      <c r="K119" s="665">
        <v>12</v>
      </c>
      <c r="L119" s="666">
        <v>12</v>
      </c>
      <c r="M119" s="667">
        <v>98.99</v>
      </c>
      <c r="N119" s="667">
        <v>198.22</v>
      </c>
      <c r="O119" s="667">
        <v>24.63</v>
      </c>
    </row>
    <row r="120" spans="11:15">
      <c r="L120" s="666">
        <v>13</v>
      </c>
      <c r="M120" s="667">
        <v>106.64928652857144</v>
      </c>
      <c r="N120" s="667">
        <v>312.6314304857143</v>
      </c>
      <c r="O120" s="667">
        <v>38.701428550000003</v>
      </c>
    </row>
    <row r="121" spans="11:15">
      <c r="L121" s="666">
        <v>14</v>
      </c>
      <c r="M121" s="667">
        <v>86.488428389999996</v>
      </c>
      <c r="N121" s="667">
        <v>235.31328691428573</v>
      </c>
      <c r="O121" s="667">
        <v>94.596427907142839</v>
      </c>
    </row>
    <row r="122" spans="11:15">
      <c r="L122" s="666">
        <v>15</v>
      </c>
      <c r="M122" s="667">
        <v>88.217001778571429</v>
      </c>
      <c r="N122" s="667">
        <v>294.1721409428572</v>
      </c>
      <c r="O122" s="667">
        <v>92.07</v>
      </c>
    </row>
    <row r="123" spans="11:15">
      <c r="K123" s="665">
        <v>16</v>
      </c>
      <c r="L123" s="666">
        <v>16</v>
      </c>
      <c r="M123" s="667">
        <v>65.84</v>
      </c>
      <c r="N123" s="667">
        <v>149.18</v>
      </c>
      <c r="O123" s="667">
        <v>45.4</v>
      </c>
    </row>
    <row r="124" spans="11:15">
      <c r="L124" s="666">
        <v>17</v>
      </c>
      <c r="M124" s="667">
        <v>51.88</v>
      </c>
      <c r="N124" s="667">
        <v>104.35</v>
      </c>
      <c r="O124" s="667">
        <v>41.47</v>
      </c>
    </row>
    <row r="125" spans="11:15">
      <c r="L125" s="666">
        <v>18</v>
      </c>
      <c r="M125" s="667">
        <v>49.672285897142856</v>
      </c>
      <c r="N125" s="667">
        <v>78.038143701428567</v>
      </c>
      <c r="O125" s="667">
        <v>65.800999782857133</v>
      </c>
    </row>
    <row r="126" spans="11:15">
      <c r="L126" s="666">
        <v>19</v>
      </c>
      <c r="M126" s="667">
        <v>45.203000204285708</v>
      </c>
      <c r="N126" s="667">
        <v>78.313856942857129</v>
      </c>
      <c r="O126" s="667">
        <v>75.104713441428572</v>
      </c>
    </row>
    <row r="127" spans="11:15">
      <c r="K127" s="665">
        <v>20</v>
      </c>
      <c r="L127" s="666">
        <v>20</v>
      </c>
      <c r="M127" s="667">
        <v>37.385857718571437</v>
      </c>
      <c r="N127" s="667">
        <v>130.92628696285712</v>
      </c>
      <c r="O127" s="667">
        <v>97.861000055714285</v>
      </c>
    </row>
    <row r="128" spans="11:15">
      <c r="L128" s="666">
        <v>21</v>
      </c>
      <c r="M128" s="667">
        <v>31.609713962857143</v>
      </c>
      <c r="N128" s="667">
        <v>64.449287412857146</v>
      </c>
      <c r="O128" s="667">
        <v>107.7964292242857</v>
      </c>
    </row>
    <row r="129" spans="11:15">
      <c r="L129" s="666">
        <v>22</v>
      </c>
      <c r="M129" s="667">
        <v>23.360142844285715</v>
      </c>
      <c r="N129" s="667">
        <v>64.449287412857146</v>
      </c>
      <c r="O129" s="667">
        <v>107.7964292242857</v>
      </c>
    </row>
    <row r="130" spans="11:15">
      <c r="L130" s="666">
        <v>23</v>
      </c>
      <c r="M130" s="667">
        <v>22.118571418571431</v>
      </c>
      <c r="N130" s="667">
        <v>39.50100054</v>
      </c>
      <c r="O130" s="667">
        <v>35.176713670000005</v>
      </c>
    </row>
    <row r="131" spans="11:15">
      <c r="K131" s="665">
        <v>24</v>
      </c>
      <c r="L131" s="666">
        <v>24</v>
      </c>
      <c r="M131" s="667">
        <v>18.655142918571432</v>
      </c>
      <c r="N131" s="667">
        <v>33.690285274285714</v>
      </c>
      <c r="O131" s="667">
        <v>23.41942841571429</v>
      </c>
    </row>
    <row r="132" spans="11:15">
      <c r="L132" s="666">
        <v>25</v>
      </c>
      <c r="M132" s="667">
        <v>15.664428437142856</v>
      </c>
      <c r="N132" s="667">
        <v>30.228428704285715</v>
      </c>
      <c r="O132" s="667">
        <v>15.98614284142857</v>
      </c>
    </row>
    <row r="133" spans="11:15">
      <c r="L133" s="666">
        <v>26</v>
      </c>
      <c r="M133" s="667">
        <v>13.848143032857147</v>
      </c>
      <c r="N133" s="667">
        <v>27.872285568571431</v>
      </c>
      <c r="O133" s="667">
        <v>14.09042848857143</v>
      </c>
    </row>
    <row r="134" spans="11:15">
      <c r="L134" s="666">
        <v>27</v>
      </c>
      <c r="M134" s="667">
        <v>12.865857259999999</v>
      </c>
      <c r="N134" s="667">
        <v>27.257571358571429</v>
      </c>
      <c r="O134" s="667">
        <v>11.838857105714284</v>
      </c>
    </row>
    <row r="135" spans="11:15">
      <c r="K135" s="665">
        <v>28</v>
      </c>
      <c r="L135" s="666">
        <v>28</v>
      </c>
      <c r="M135" s="667">
        <v>12.915285789999999</v>
      </c>
      <c r="N135" s="735">
        <v>27.217285974285712</v>
      </c>
      <c r="O135" s="667">
        <v>9.7789998731428565</v>
      </c>
    </row>
    <row r="136" spans="11:15">
      <c r="L136" s="666">
        <v>29</v>
      </c>
      <c r="M136" s="667">
        <v>15.908571428571426</v>
      </c>
      <c r="N136" s="735">
        <v>24.955714285714286</v>
      </c>
      <c r="O136" s="667">
        <v>8.4957142857142856</v>
      </c>
    </row>
    <row r="137" spans="11:15">
      <c r="L137" s="666">
        <v>30</v>
      </c>
      <c r="M137" s="667">
        <v>16.584000042857145</v>
      </c>
      <c r="N137" s="735">
        <v>24.80942862142857</v>
      </c>
      <c r="O137" s="667">
        <v>7.807428428142857</v>
      </c>
    </row>
    <row r="138" spans="11:15">
      <c r="L138" s="666">
        <v>31</v>
      </c>
      <c r="M138" s="667">
        <v>18.553000000000001</v>
      </c>
      <c r="N138" s="735">
        <v>25.690999999999999</v>
      </c>
      <c r="O138" s="667">
        <v>7.53</v>
      </c>
    </row>
    <row r="139" spans="11:15">
      <c r="K139" s="665">
        <v>32</v>
      </c>
      <c r="L139" s="666">
        <v>32</v>
      </c>
      <c r="M139" s="667">
        <v>17.769714355714285</v>
      </c>
      <c r="N139" s="735">
        <v>27.630000251428573</v>
      </c>
      <c r="O139" s="667">
        <v>6.4074286734285701</v>
      </c>
    </row>
    <row r="140" spans="11:15">
      <c r="L140" s="666">
        <v>33</v>
      </c>
      <c r="M140" s="667">
        <v>14.782857348571428</v>
      </c>
      <c r="N140" s="735">
        <v>23.78</v>
      </c>
      <c r="O140" s="667">
        <v>4.9400000000000004</v>
      </c>
    </row>
    <row r="141" spans="11:15">
      <c r="L141" s="666">
        <v>34</v>
      </c>
      <c r="M141" s="667">
        <v>15.984000069999999</v>
      </c>
      <c r="N141" s="735">
        <v>23.527999878571428</v>
      </c>
      <c r="O141" s="667">
        <v>4.6688571658571432</v>
      </c>
    </row>
    <row r="142" spans="11:15">
      <c r="L142" s="666">
        <v>35</v>
      </c>
      <c r="M142" s="667">
        <v>15.55</v>
      </c>
      <c r="N142" s="735">
        <v>23.29</v>
      </c>
      <c r="O142" s="667">
        <v>4.5999999999999996</v>
      </c>
    </row>
    <row r="143" spans="11:15">
      <c r="K143" s="665">
        <v>36</v>
      </c>
      <c r="L143" s="666">
        <v>36</v>
      </c>
      <c r="M143" s="667">
        <v>15.042857142857143</v>
      </c>
      <c r="N143" s="667">
        <v>23.007142857142856</v>
      </c>
      <c r="O143" s="667">
        <v>3.9657142857142857</v>
      </c>
    </row>
    <row r="144" spans="11:15">
      <c r="L144" s="666">
        <v>37</v>
      </c>
      <c r="M144" s="667">
        <v>13.386857033</v>
      </c>
      <c r="N144" s="667">
        <v>23.173571724285711</v>
      </c>
      <c r="O144" s="667">
        <v>3.5334285327142858</v>
      </c>
    </row>
    <row r="145" spans="11:15">
      <c r="L145" s="666">
        <v>38</v>
      </c>
      <c r="M145" s="667">
        <v>12.963714189999999</v>
      </c>
      <c r="N145" s="667">
        <v>26.454000201428567</v>
      </c>
      <c r="O145" s="667">
        <v>6.4914285118571433</v>
      </c>
    </row>
    <row r="146" spans="11:15">
      <c r="L146" s="666">
        <v>39</v>
      </c>
      <c r="M146" s="667">
        <v>9.4700000000000006</v>
      </c>
      <c r="N146" s="667">
        <v>23.7</v>
      </c>
      <c r="O146" s="667">
        <v>4.9000000000000004</v>
      </c>
    </row>
    <row r="147" spans="11:15">
      <c r="K147" s="665">
        <v>40</v>
      </c>
      <c r="L147" s="666">
        <v>40</v>
      </c>
      <c r="M147" s="667">
        <v>9.6714286802857146</v>
      </c>
      <c r="N147" s="667">
        <v>23.695143017142858</v>
      </c>
      <c r="O147" s="667">
        <v>4.898285797571428</v>
      </c>
    </row>
    <row r="148" spans="11:15">
      <c r="M148" s="665" t="s">
        <v>299</v>
      </c>
      <c r="N148" s="665" t="s">
        <v>300</v>
      </c>
      <c r="O148" s="665" t="s">
        <v>301</v>
      </c>
    </row>
  </sheetData>
  <mergeCells count="2">
    <mergeCell ref="A3:G3"/>
    <mergeCell ref="A35:G35"/>
  </mergeCells>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48"/>
  <sheetViews>
    <sheetView showGridLines="0" view="pageBreakPreview" zoomScale="130" zoomScaleNormal="100" zoomScaleSheetLayoutView="130" zoomScalePageLayoutView="130" workbookViewId="0">
      <selection activeCell="M27" sqref="M27"/>
    </sheetView>
  </sheetViews>
  <sheetFormatPr defaultRowHeight="11.25"/>
  <cols>
    <col min="1" max="9" width="9.33203125" style="3"/>
    <col min="10" max="11" width="9.33203125" style="3" customWidth="1"/>
    <col min="12" max="12" width="9.33203125" style="3"/>
    <col min="13" max="25" width="9.33203125" style="665"/>
    <col min="26" max="26" width="9.33203125" style="640"/>
    <col min="27" max="30" width="9.33203125" style="462"/>
    <col min="31" max="32" width="9.33203125" style="434"/>
    <col min="33" max="16384" width="9.33203125" style="3"/>
  </cols>
  <sheetData>
    <row r="1" spans="1:25" ht="11.25" customHeight="1">
      <c r="A1" s="160"/>
      <c r="B1" s="160"/>
      <c r="C1" s="160"/>
      <c r="D1" s="160"/>
      <c r="E1" s="160"/>
      <c r="F1" s="160"/>
      <c r="G1" s="160"/>
      <c r="H1" s="160"/>
      <c r="I1" s="160"/>
      <c r="J1" s="160"/>
      <c r="K1" s="160"/>
      <c r="L1" s="160"/>
    </row>
    <row r="2" spans="1:25" ht="11.25" customHeight="1">
      <c r="A2" s="463"/>
      <c r="B2" s="464"/>
      <c r="C2" s="464"/>
      <c r="D2" s="464"/>
      <c r="E2" s="464"/>
      <c r="F2" s="464"/>
      <c r="G2" s="218"/>
      <c r="H2" s="218"/>
      <c r="I2" s="191"/>
      <c r="J2" s="160"/>
      <c r="K2" s="160"/>
      <c r="L2" s="160"/>
    </row>
    <row r="3" spans="1:25" ht="11.25" customHeight="1">
      <c r="A3" s="191"/>
      <c r="B3" s="191"/>
      <c r="C3" s="191"/>
      <c r="D3" s="191"/>
      <c r="E3" s="191"/>
      <c r="F3" s="191"/>
      <c r="G3" s="159"/>
      <c r="H3" s="159"/>
      <c r="I3" s="159"/>
      <c r="J3" s="171"/>
      <c r="K3" s="171"/>
      <c r="L3" s="171"/>
      <c r="O3" s="665" t="s">
        <v>298</v>
      </c>
      <c r="P3" s="666"/>
      <c r="Q3" s="665" t="s">
        <v>302</v>
      </c>
      <c r="R3" s="665" t="s">
        <v>303</v>
      </c>
      <c r="S3" s="665" t="s">
        <v>304</v>
      </c>
      <c r="T3" s="665" t="s">
        <v>305</v>
      </c>
      <c r="U3" s="665" t="s">
        <v>306</v>
      </c>
      <c r="V3" s="665" t="s">
        <v>307</v>
      </c>
      <c r="W3" s="665" t="s">
        <v>308</v>
      </c>
      <c r="X3" s="665" t="s">
        <v>309</v>
      </c>
      <c r="Y3" s="665" t="s">
        <v>310</v>
      </c>
    </row>
    <row r="4" spans="1:25" ht="11.25" customHeight="1">
      <c r="A4" s="191"/>
      <c r="B4" s="191"/>
      <c r="C4" s="191"/>
      <c r="D4" s="191"/>
      <c r="E4" s="191"/>
      <c r="F4" s="191"/>
      <c r="G4" s="159"/>
      <c r="H4" s="159"/>
      <c r="I4" s="159"/>
      <c r="J4" s="171"/>
      <c r="K4" s="171"/>
      <c r="L4" s="171"/>
      <c r="N4" s="665">
        <v>2016</v>
      </c>
      <c r="O4" s="665">
        <v>1</v>
      </c>
      <c r="P4" s="666">
        <v>1</v>
      </c>
      <c r="Q4" s="667">
        <v>12.12</v>
      </c>
      <c r="R4" s="667">
        <v>8.33</v>
      </c>
      <c r="S4" s="667">
        <v>165.03200000000001</v>
      </c>
      <c r="T4" s="667">
        <v>95.83</v>
      </c>
      <c r="U4" s="667">
        <v>18.5</v>
      </c>
      <c r="V4" s="667">
        <v>10.01</v>
      </c>
      <c r="W4" s="667">
        <v>1.23</v>
      </c>
      <c r="X4" s="667">
        <v>109.19</v>
      </c>
      <c r="Y4" s="667">
        <v>37.270000000000003</v>
      </c>
    </row>
    <row r="5" spans="1:25" ht="11.25" customHeight="1">
      <c r="A5" s="465"/>
      <c r="B5" s="465"/>
      <c r="C5" s="465"/>
      <c r="D5" s="465"/>
      <c r="E5" s="465"/>
      <c r="F5" s="465"/>
      <c r="G5" s="465"/>
      <c r="H5" s="465"/>
      <c r="I5" s="465"/>
      <c r="J5" s="31"/>
      <c r="K5" s="31"/>
      <c r="L5" s="152"/>
      <c r="P5" s="666">
        <v>2</v>
      </c>
      <c r="Q5" s="667">
        <v>10.45</v>
      </c>
      <c r="R5" s="667">
        <v>5.38</v>
      </c>
      <c r="S5" s="667">
        <v>137.04</v>
      </c>
      <c r="T5" s="667">
        <v>78.260000000000005</v>
      </c>
      <c r="U5" s="667">
        <v>13.1</v>
      </c>
      <c r="V5" s="667">
        <v>10</v>
      </c>
      <c r="W5" s="667">
        <v>1.18</v>
      </c>
      <c r="X5" s="667">
        <v>177.91</v>
      </c>
      <c r="Y5" s="667">
        <v>53.34</v>
      </c>
    </row>
    <row r="6" spans="1:25" ht="11.25" customHeight="1">
      <c r="A6" s="191"/>
      <c r="B6" s="466"/>
      <c r="C6" s="467"/>
      <c r="D6" s="468"/>
      <c r="E6" s="468"/>
      <c r="F6" s="469"/>
      <c r="G6" s="470"/>
      <c r="H6" s="470"/>
      <c r="I6" s="233"/>
      <c r="J6" s="31"/>
      <c r="K6" s="31"/>
      <c r="L6" s="26"/>
      <c r="P6" s="666">
        <v>3</v>
      </c>
      <c r="Q6" s="667">
        <v>10.396000000000001</v>
      </c>
      <c r="R6" s="667">
        <v>5.29</v>
      </c>
      <c r="S6" s="667">
        <v>102.45</v>
      </c>
      <c r="T6" s="667">
        <v>101.264</v>
      </c>
      <c r="U6" s="667">
        <v>15.26</v>
      </c>
      <c r="V6" s="667">
        <v>10.01</v>
      </c>
      <c r="W6" s="667">
        <v>1.2529999999999999</v>
      </c>
      <c r="X6" s="667">
        <v>248.28</v>
      </c>
      <c r="Y6" s="667">
        <v>76.69</v>
      </c>
    </row>
    <row r="7" spans="1:25" ht="11.25" customHeight="1">
      <c r="A7" s="191"/>
      <c r="B7" s="234"/>
      <c r="C7" s="234"/>
      <c r="D7" s="235"/>
      <c r="E7" s="235"/>
      <c r="F7" s="469"/>
      <c r="G7" s="470"/>
      <c r="H7" s="470"/>
      <c r="I7" s="233"/>
      <c r="J7" s="32"/>
      <c r="K7" s="32"/>
      <c r="L7" s="29"/>
      <c r="O7" s="665">
        <v>4</v>
      </c>
      <c r="P7" s="666">
        <v>4</v>
      </c>
      <c r="Q7" s="667">
        <v>10.32</v>
      </c>
      <c r="R7" s="667">
        <v>6.0640000000000001</v>
      </c>
      <c r="S7" s="667">
        <v>93.71</v>
      </c>
      <c r="T7" s="667">
        <v>79.73</v>
      </c>
      <c r="U7" s="667">
        <v>12.66</v>
      </c>
      <c r="V7" s="667">
        <v>10.01</v>
      </c>
      <c r="W7" s="667">
        <v>1.22</v>
      </c>
      <c r="X7" s="667">
        <v>142.55000000000001</v>
      </c>
      <c r="Y7" s="667">
        <v>40.92</v>
      </c>
    </row>
    <row r="8" spans="1:25" ht="11.25" customHeight="1">
      <c r="A8" s="191"/>
      <c r="B8" s="236"/>
      <c r="C8" s="173"/>
      <c r="D8" s="185"/>
      <c r="E8" s="185"/>
      <c r="F8" s="469"/>
      <c r="G8" s="470"/>
      <c r="H8" s="470"/>
      <c r="I8" s="233"/>
      <c r="J8" s="30"/>
      <c r="K8" s="30"/>
      <c r="L8" s="31"/>
      <c r="P8" s="666">
        <v>5</v>
      </c>
      <c r="Q8" s="667">
        <v>14.34</v>
      </c>
      <c r="R8" s="667">
        <v>9.59</v>
      </c>
      <c r="S8" s="667">
        <v>142.55000000000001</v>
      </c>
      <c r="T8" s="667">
        <v>128.66</v>
      </c>
      <c r="U8" s="667">
        <v>24.24</v>
      </c>
      <c r="V8" s="667">
        <v>10.01</v>
      </c>
      <c r="W8" s="667">
        <v>1.17</v>
      </c>
      <c r="X8" s="667">
        <v>251.59399999999999</v>
      </c>
      <c r="Y8" s="667">
        <v>58.97</v>
      </c>
    </row>
    <row r="9" spans="1:25" ht="11.25" customHeight="1">
      <c r="A9" s="191"/>
      <c r="B9" s="236"/>
      <c r="C9" s="173"/>
      <c r="D9" s="185"/>
      <c r="E9" s="185"/>
      <c r="F9" s="469"/>
      <c r="G9" s="470"/>
      <c r="H9" s="470"/>
      <c r="I9" s="233"/>
      <c r="J9" s="32"/>
      <c r="K9" s="33"/>
      <c r="L9" s="34"/>
      <c r="P9" s="666">
        <v>6</v>
      </c>
      <c r="Q9" s="667">
        <v>14.98</v>
      </c>
      <c r="R9" s="667">
        <v>12.82</v>
      </c>
      <c r="S9" s="667">
        <v>223.15</v>
      </c>
      <c r="T9" s="667">
        <v>174.87</v>
      </c>
      <c r="U9" s="667">
        <v>35.18</v>
      </c>
      <c r="V9" s="667">
        <v>9.01</v>
      </c>
      <c r="W9" s="667">
        <v>0.82</v>
      </c>
      <c r="X9" s="667">
        <v>388.05428210000002</v>
      </c>
      <c r="Y9" s="667">
        <v>80.41</v>
      </c>
    </row>
    <row r="10" spans="1:25" ht="11.25" customHeight="1">
      <c r="A10" s="191"/>
      <c r="B10" s="236"/>
      <c r="C10" s="173"/>
      <c r="D10" s="185"/>
      <c r="E10" s="185"/>
      <c r="F10" s="469"/>
      <c r="G10" s="470"/>
      <c r="H10" s="470"/>
      <c r="I10" s="233"/>
      <c r="J10" s="32"/>
      <c r="K10" s="32"/>
      <c r="L10" s="29"/>
      <c r="P10" s="666">
        <v>7</v>
      </c>
      <c r="Q10" s="667">
        <v>15.86</v>
      </c>
      <c r="R10" s="667">
        <v>12.43</v>
      </c>
      <c r="S10" s="667">
        <v>223.86</v>
      </c>
      <c r="T10" s="667">
        <v>126.56</v>
      </c>
      <c r="U10" s="667">
        <v>25.04</v>
      </c>
      <c r="V10" s="667">
        <v>9.01</v>
      </c>
      <c r="W10" s="667">
        <v>1.59</v>
      </c>
      <c r="X10" s="667">
        <v>283.21000240000001</v>
      </c>
      <c r="Y10" s="667">
        <v>53.36</v>
      </c>
    </row>
    <row r="11" spans="1:25" ht="11.25" customHeight="1">
      <c r="A11" s="191"/>
      <c r="B11" s="185"/>
      <c r="C11" s="173"/>
      <c r="D11" s="185"/>
      <c r="E11" s="185"/>
      <c r="F11" s="469"/>
      <c r="G11" s="470"/>
      <c r="H11" s="470"/>
      <c r="I11" s="233"/>
      <c r="J11" s="32"/>
      <c r="K11" s="32"/>
      <c r="L11" s="29"/>
      <c r="O11" s="665">
        <v>8</v>
      </c>
      <c r="P11" s="666">
        <v>8</v>
      </c>
      <c r="Q11" s="667">
        <v>22.12</v>
      </c>
      <c r="R11" s="667">
        <v>19.3</v>
      </c>
      <c r="S11" s="667">
        <v>297.45999999999998</v>
      </c>
      <c r="T11" s="667">
        <v>188.83</v>
      </c>
      <c r="U11" s="667">
        <v>26.72</v>
      </c>
      <c r="V11" s="667">
        <v>18.309999999999999</v>
      </c>
      <c r="W11" s="667">
        <v>14.62</v>
      </c>
      <c r="X11" s="667">
        <v>414.29357470000002</v>
      </c>
      <c r="Y11" s="667">
        <v>65.55</v>
      </c>
    </row>
    <row r="12" spans="1:25" ht="11.25" customHeight="1">
      <c r="A12" s="191"/>
      <c r="B12" s="185"/>
      <c r="C12" s="173"/>
      <c r="D12" s="185"/>
      <c r="E12" s="185"/>
      <c r="F12" s="469"/>
      <c r="G12" s="470"/>
      <c r="H12" s="470"/>
      <c r="I12" s="233"/>
      <c r="J12" s="32"/>
      <c r="K12" s="32"/>
      <c r="L12" s="29"/>
      <c r="P12" s="666">
        <v>9</v>
      </c>
      <c r="Q12" s="667">
        <v>31.986428669999999</v>
      </c>
      <c r="R12" s="667">
        <v>19.514333090000001</v>
      </c>
      <c r="S12" s="667">
        <v>326.48699649999998</v>
      </c>
      <c r="T12" s="667">
        <v>170.33500290000001</v>
      </c>
      <c r="U12" s="667">
        <v>30.940000529999999</v>
      </c>
      <c r="V12" s="667">
        <v>16.54985727582655</v>
      </c>
      <c r="W12" s="667">
        <v>7.4597144130000004</v>
      </c>
      <c r="X12" s="667">
        <v>382.60643219999997</v>
      </c>
      <c r="Y12" s="667">
        <v>72.96314185</v>
      </c>
    </row>
    <row r="13" spans="1:25" ht="11.25" customHeight="1">
      <c r="A13" s="191"/>
      <c r="B13" s="185"/>
      <c r="C13" s="173"/>
      <c r="D13" s="185"/>
      <c r="E13" s="185"/>
      <c r="F13" s="469"/>
      <c r="G13" s="470"/>
      <c r="H13" s="470"/>
      <c r="I13" s="233"/>
      <c r="J13" s="30"/>
      <c r="K13" s="30"/>
      <c r="L13" s="31"/>
      <c r="P13" s="666">
        <v>10</v>
      </c>
      <c r="Q13" s="667">
        <v>21.817856924874398</v>
      </c>
      <c r="R13" s="667">
        <v>20.1870002746582</v>
      </c>
      <c r="S13" s="667">
        <v>281.91442869999997</v>
      </c>
      <c r="T13" s="667">
        <v>164.05856977190246</v>
      </c>
      <c r="U13" s="667">
        <v>30.751428604125927</v>
      </c>
      <c r="V13" s="667">
        <v>9.5257144655499921</v>
      </c>
      <c r="W13" s="667">
        <v>2.1815714495522598</v>
      </c>
      <c r="X13" s="667">
        <v>245.78571646554084</v>
      </c>
      <c r="Y13" s="667">
        <v>47.002858298165428</v>
      </c>
    </row>
    <row r="14" spans="1:25" ht="11.25" customHeight="1">
      <c r="A14" s="191"/>
      <c r="B14" s="185"/>
      <c r="C14" s="173"/>
      <c r="D14" s="185"/>
      <c r="E14" s="185"/>
      <c r="F14" s="469"/>
      <c r="G14" s="470"/>
      <c r="H14" s="470"/>
      <c r="I14" s="233"/>
      <c r="J14" s="32"/>
      <c r="K14" s="33"/>
      <c r="L14" s="34"/>
      <c r="P14" s="666">
        <v>11</v>
      </c>
      <c r="Q14" s="667">
        <v>21.645000185285259</v>
      </c>
      <c r="R14" s="667">
        <v>18.452999932425314</v>
      </c>
      <c r="S14" s="667">
        <v>302.97000000000003</v>
      </c>
      <c r="T14" s="667">
        <v>146.11571393694155</v>
      </c>
      <c r="U14" s="667">
        <v>26.230000359671411</v>
      </c>
      <c r="V14" s="667">
        <v>10.001428604125973</v>
      </c>
      <c r="W14" s="667">
        <v>1.7041428429739771</v>
      </c>
      <c r="X14" s="667">
        <v>239.62</v>
      </c>
      <c r="Y14" s="667">
        <v>42.29</v>
      </c>
    </row>
    <row r="15" spans="1:25" ht="11.25" customHeight="1">
      <c r="A15" s="191"/>
      <c r="B15" s="185"/>
      <c r="C15" s="173"/>
      <c r="D15" s="185"/>
      <c r="E15" s="185"/>
      <c r="F15" s="469"/>
      <c r="G15" s="470"/>
      <c r="H15" s="470"/>
      <c r="I15" s="233"/>
      <c r="J15" s="32"/>
      <c r="K15" s="33"/>
      <c r="L15" s="29"/>
      <c r="O15" s="665">
        <v>12</v>
      </c>
      <c r="P15" s="666">
        <v>12</v>
      </c>
      <c r="Q15" s="667">
        <v>15.247000013078916</v>
      </c>
      <c r="R15" s="667">
        <v>12.7100000381469</v>
      </c>
      <c r="S15" s="667">
        <v>179.33771623883899</v>
      </c>
      <c r="T15" s="667">
        <v>114.18428584507485</v>
      </c>
      <c r="U15" s="667">
        <v>18.61999988555905</v>
      </c>
      <c r="V15" s="667">
        <v>9.9999999999999964</v>
      </c>
      <c r="W15" s="667">
        <v>1.2444285835538544</v>
      </c>
      <c r="X15" s="667">
        <v>150.27357046944684</v>
      </c>
      <c r="Y15" s="667">
        <v>24.915714263915959</v>
      </c>
    </row>
    <row r="16" spans="1:25" ht="11.25" customHeight="1">
      <c r="A16" s="191"/>
      <c r="B16" s="185"/>
      <c r="C16" s="173"/>
      <c r="D16" s="185"/>
      <c r="E16" s="185"/>
      <c r="F16" s="469"/>
      <c r="G16" s="470"/>
      <c r="H16" s="470"/>
      <c r="I16" s="233"/>
      <c r="J16" s="32"/>
      <c r="K16" s="33"/>
      <c r="L16" s="29"/>
      <c r="P16" s="666">
        <v>13</v>
      </c>
      <c r="Q16" s="667">
        <v>17.322999954223601</v>
      </c>
      <c r="R16" s="667">
        <v>15.171999931335399</v>
      </c>
      <c r="S16" s="667">
        <v>130.67500305175699</v>
      </c>
      <c r="T16" s="667">
        <v>89.040000915527301</v>
      </c>
      <c r="U16" s="667">
        <v>15.310000419616699</v>
      </c>
      <c r="V16" s="667">
        <v>10</v>
      </c>
      <c r="W16" s="667">
        <v>1.0199999809265099</v>
      </c>
      <c r="X16" s="667">
        <v>116.33999633789</v>
      </c>
      <c r="Y16" s="667">
        <v>24.159999847412099</v>
      </c>
    </row>
    <row r="17" spans="1:25" ht="11.25" customHeight="1">
      <c r="A17" s="191"/>
      <c r="B17" s="185"/>
      <c r="C17" s="173"/>
      <c r="D17" s="185"/>
      <c r="E17" s="185"/>
      <c r="F17" s="469"/>
      <c r="G17" s="470"/>
      <c r="H17" s="470"/>
      <c r="I17" s="233"/>
      <c r="J17" s="32"/>
      <c r="K17" s="33"/>
      <c r="L17" s="29"/>
      <c r="P17" s="666">
        <v>14</v>
      </c>
      <c r="Q17" s="667">
        <v>14.828142711094401</v>
      </c>
      <c r="R17" s="667">
        <v>13.217000007629398</v>
      </c>
      <c r="S17" s="667">
        <v>121.81457192557171</v>
      </c>
      <c r="T17" s="667">
        <v>78.037142072405103</v>
      </c>
      <c r="U17" s="667">
        <v>14.082857131957956</v>
      </c>
      <c r="V17" s="667">
        <v>10.001428604125973</v>
      </c>
      <c r="W17" s="667">
        <v>1.3691428899764975</v>
      </c>
      <c r="X17" s="667">
        <v>126.18428475516127</v>
      </c>
      <c r="Y17" s="667">
        <v>22.646999904087572</v>
      </c>
    </row>
    <row r="18" spans="1:25" ht="11.25" customHeight="1">
      <c r="A18" s="957" t="s">
        <v>568</v>
      </c>
      <c r="B18" s="957"/>
      <c r="C18" s="957"/>
      <c r="D18" s="957"/>
      <c r="E18" s="957"/>
      <c r="F18" s="957"/>
      <c r="G18" s="957"/>
      <c r="H18" s="957"/>
      <c r="I18" s="957"/>
      <c r="J18" s="957"/>
      <c r="K18" s="957"/>
      <c r="L18" s="957"/>
      <c r="P18" s="666">
        <v>15</v>
      </c>
      <c r="Q18" s="667">
        <v>15.017142977033298</v>
      </c>
      <c r="R18" s="667">
        <v>11.291000366210898</v>
      </c>
      <c r="S18" s="667">
        <v>184.69442967006074</v>
      </c>
      <c r="T18" s="667">
        <v>74.048570905412902</v>
      </c>
      <c r="U18" s="667">
        <v>17.312857082911869</v>
      </c>
      <c r="V18" s="667">
        <v>10.005714416503881</v>
      </c>
      <c r="W18" s="667">
        <v>1.6558571543012313</v>
      </c>
      <c r="X18" s="667">
        <v>140.54571315220355</v>
      </c>
      <c r="Y18" s="667">
        <v>22.742571422031897</v>
      </c>
    </row>
    <row r="19" spans="1:25" ht="11.25" customHeight="1">
      <c r="A19" s="237"/>
      <c r="B19" s="185"/>
      <c r="C19" s="173"/>
      <c r="D19" s="185"/>
      <c r="E19" s="185"/>
      <c r="F19" s="231"/>
      <c r="G19" s="232"/>
      <c r="H19" s="232"/>
      <c r="I19" s="233"/>
      <c r="J19" s="32"/>
      <c r="K19" s="33"/>
      <c r="L19" s="29"/>
      <c r="O19" s="665">
        <v>16</v>
      </c>
      <c r="P19" s="666">
        <v>16</v>
      </c>
      <c r="Q19" s="667">
        <v>13.98</v>
      </c>
      <c r="R19" s="667">
        <v>11.63</v>
      </c>
      <c r="S19" s="667">
        <v>164.52</v>
      </c>
      <c r="T19" s="667">
        <v>81.069999999999993</v>
      </c>
      <c r="U19" s="667">
        <v>21.07</v>
      </c>
      <c r="V19" s="667">
        <v>10.01</v>
      </c>
      <c r="W19" s="667">
        <v>1.27</v>
      </c>
      <c r="X19" s="667">
        <v>141.29</v>
      </c>
      <c r="Y19" s="667">
        <v>23.21</v>
      </c>
    </row>
    <row r="20" spans="1:25" ht="11.25" customHeight="1">
      <c r="A20" s="153"/>
      <c r="B20" s="185"/>
      <c r="C20" s="173"/>
      <c r="D20" s="185"/>
      <c r="E20" s="185"/>
      <c r="F20" s="231"/>
      <c r="G20" s="232"/>
      <c r="H20" s="232"/>
      <c r="I20" s="233"/>
      <c r="J20" s="32"/>
      <c r="K20" s="33"/>
      <c r="L20" s="29"/>
      <c r="P20" s="666">
        <v>17</v>
      </c>
      <c r="Q20" s="667">
        <v>12.944285669999999</v>
      </c>
      <c r="R20" s="667">
        <v>10.010000228881799</v>
      </c>
      <c r="S20" s="667">
        <v>152.88357325962556</v>
      </c>
      <c r="T20" s="667">
        <v>64.311428070000005</v>
      </c>
      <c r="U20" s="667">
        <v>16.638571469999999</v>
      </c>
      <c r="V20" s="667">
        <v>10.004285812377887</v>
      </c>
      <c r="W20" s="667">
        <v>1.7342857122421229</v>
      </c>
      <c r="X20" s="667">
        <v>105.73500061035119</v>
      </c>
      <c r="Y20" s="667">
        <v>19.724285806928286</v>
      </c>
    </row>
    <row r="21" spans="1:25" ht="11.25" customHeight="1">
      <c r="A21" s="153"/>
      <c r="B21" s="185"/>
      <c r="C21" s="173"/>
      <c r="D21" s="185"/>
      <c r="E21" s="185"/>
      <c r="F21" s="231"/>
      <c r="G21" s="232"/>
      <c r="H21" s="232"/>
      <c r="I21" s="233"/>
      <c r="J21" s="32"/>
      <c r="K21" s="38"/>
      <c r="L21" s="39"/>
      <c r="P21" s="666">
        <v>18</v>
      </c>
      <c r="Q21" s="667">
        <v>10.727142742701899</v>
      </c>
      <c r="R21" s="667">
        <v>6.3112858363560251</v>
      </c>
      <c r="S21" s="667">
        <v>98.225285121372636</v>
      </c>
      <c r="T21" s="667">
        <v>46.242857796805197</v>
      </c>
      <c r="U21" s="667">
        <v>10.637142998831566</v>
      </c>
      <c r="V21" s="667">
        <v>10.007143020629858</v>
      </c>
      <c r="W21" s="667">
        <v>1.4345714194433998</v>
      </c>
      <c r="X21" s="667">
        <v>72.620000566754968</v>
      </c>
      <c r="Y21" s="667">
        <v>14.075714383806471</v>
      </c>
    </row>
    <row r="22" spans="1:25" ht="11.25" customHeight="1">
      <c r="A22" s="158"/>
      <c r="B22" s="185"/>
      <c r="C22" s="173"/>
      <c r="D22" s="185"/>
      <c r="E22" s="185"/>
      <c r="F22" s="231"/>
      <c r="G22" s="232"/>
      <c r="H22" s="232"/>
      <c r="I22" s="233"/>
      <c r="J22" s="32"/>
      <c r="K22" s="33"/>
      <c r="L22" s="29"/>
      <c r="P22" s="666">
        <v>19</v>
      </c>
      <c r="Q22" s="667">
        <v>9.4342857088361427</v>
      </c>
      <c r="R22" s="667">
        <v>7.4910001754760689</v>
      </c>
      <c r="S22" s="667">
        <v>86.615142822265582</v>
      </c>
      <c r="T22" s="667">
        <v>41.954286302838973</v>
      </c>
      <c r="U22" s="667">
        <v>9.4342857088361427</v>
      </c>
      <c r="V22" s="667">
        <v>10.004285812377914</v>
      </c>
      <c r="W22" s="667">
        <v>1.3051428794860784</v>
      </c>
      <c r="X22" s="667">
        <v>60.497857775006928</v>
      </c>
      <c r="Y22" s="667">
        <v>12.797142846243686</v>
      </c>
    </row>
    <row r="23" spans="1:25" ht="11.25" customHeight="1">
      <c r="A23" s="158"/>
      <c r="B23" s="185"/>
      <c r="C23" s="173"/>
      <c r="D23" s="185"/>
      <c r="E23" s="185"/>
      <c r="F23" s="231"/>
      <c r="G23" s="232"/>
      <c r="H23" s="232"/>
      <c r="I23" s="233"/>
      <c r="J23" s="32"/>
      <c r="K23" s="33"/>
      <c r="L23" s="29"/>
      <c r="O23" s="665">
        <v>20</v>
      </c>
      <c r="P23" s="666">
        <v>20</v>
      </c>
      <c r="Q23" s="667">
        <v>9.1999999999999993</v>
      </c>
      <c r="R23" s="667">
        <v>6.8</v>
      </c>
      <c r="S23" s="667">
        <v>78.2</v>
      </c>
      <c r="T23" s="667">
        <v>39.6</v>
      </c>
      <c r="U23" s="667">
        <v>8.6</v>
      </c>
      <c r="V23" s="667">
        <v>10</v>
      </c>
      <c r="W23" s="667">
        <v>1.6</v>
      </c>
      <c r="X23" s="667">
        <v>56.6</v>
      </c>
      <c r="Y23" s="667">
        <v>12.9</v>
      </c>
    </row>
    <row r="24" spans="1:25" ht="11.25" customHeight="1">
      <c r="A24" s="158"/>
      <c r="B24" s="185"/>
      <c r="C24" s="173"/>
      <c r="D24" s="185"/>
      <c r="E24" s="185"/>
      <c r="F24" s="231"/>
      <c r="G24" s="232"/>
      <c r="H24" s="232"/>
      <c r="I24" s="233"/>
      <c r="J24" s="33"/>
      <c r="K24" s="33"/>
      <c r="L24" s="29"/>
      <c r="P24" s="666">
        <v>21</v>
      </c>
      <c r="Q24" s="667">
        <v>9.0128573008945967</v>
      </c>
      <c r="R24" s="667">
        <v>5.4099998474121005</v>
      </c>
      <c r="S24" s="667">
        <v>73.744141714913454</v>
      </c>
      <c r="T24" s="667">
        <v>44.79285812377924</v>
      </c>
      <c r="U24" s="667">
        <v>10.11999988555907</v>
      </c>
      <c r="V24" s="667">
        <v>10.011428560529414</v>
      </c>
      <c r="W24" s="667">
        <v>1.2349999972752113</v>
      </c>
      <c r="X24" s="667">
        <v>52.17071369716097</v>
      </c>
      <c r="Y24" s="667">
        <v>11.968571390424414</v>
      </c>
    </row>
    <row r="25" spans="1:25" ht="11.25" customHeight="1">
      <c r="A25" s="158"/>
      <c r="B25" s="185"/>
      <c r="C25" s="173"/>
      <c r="D25" s="185"/>
      <c r="E25" s="185"/>
      <c r="F25" s="231"/>
      <c r="G25" s="232"/>
      <c r="H25" s="232"/>
      <c r="I25" s="233"/>
      <c r="J25" s="32"/>
      <c r="K25" s="38"/>
      <c r="L25" s="39"/>
      <c r="P25" s="666">
        <v>22</v>
      </c>
      <c r="Q25" s="667">
        <v>7.95</v>
      </c>
      <c r="R25" s="667">
        <v>3.82</v>
      </c>
      <c r="S25" s="667">
        <v>66.739999999999995</v>
      </c>
      <c r="T25" s="667">
        <v>34.01</v>
      </c>
      <c r="U25" s="667">
        <v>8.15</v>
      </c>
      <c r="V25" s="667">
        <v>10.02</v>
      </c>
      <c r="W25" s="667">
        <v>1.52</v>
      </c>
      <c r="X25" s="667">
        <v>46.88</v>
      </c>
      <c r="Y25" s="667">
        <v>9.89</v>
      </c>
    </row>
    <row r="26" spans="1:25" ht="11.25" customHeight="1">
      <c r="A26" s="158"/>
      <c r="B26" s="185"/>
      <c r="C26" s="173"/>
      <c r="D26" s="185"/>
      <c r="E26" s="185"/>
      <c r="F26" s="159"/>
      <c r="G26" s="159"/>
      <c r="H26" s="159"/>
      <c r="I26" s="159"/>
      <c r="J26" s="30"/>
      <c r="K26" s="33"/>
      <c r="L26" s="29"/>
      <c r="P26" s="666">
        <v>23</v>
      </c>
      <c r="Q26" s="667">
        <v>7.6</v>
      </c>
      <c r="R26" s="667">
        <v>3.22</v>
      </c>
      <c r="S26" s="667">
        <v>59.4</v>
      </c>
      <c r="T26" s="667">
        <v>28.71</v>
      </c>
      <c r="U26" s="667">
        <v>7.74</v>
      </c>
      <c r="V26" s="667">
        <v>10</v>
      </c>
      <c r="W26" s="667">
        <v>1.55</v>
      </c>
      <c r="X26" s="667">
        <v>43.39</v>
      </c>
      <c r="Y26" s="667">
        <v>8.57</v>
      </c>
    </row>
    <row r="27" spans="1:25" ht="11.25" customHeight="1">
      <c r="A27" s="158"/>
      <c r="B27" s="185"/>
      <c r="C27" s="173"/>
      <c r="D27" s="185"/>
      <c r="E27" s="185"/>
      <c r="F27" s="159"/>
      <c r="G27" s="159"/>
      <c r="H27" s="159"/>
      <c r="I27" s="159"/>
      <c r="J27" s="30"/>
      <c r="K27" s="33"/>
      <c r="L27" s="29"/>
      <c r="O27" s="665">
        <v>24</v>
      </c>
      <c r="P27" s="666">
        <v>24</v>
      </c>
      <c r="Q27" s="667">
        <v>9.57</v>
      </c>
      <c r="R27" s="667">
        <v>3.42</v>
      </c>
      <c r="S27" s="667">
        <v>54.3</v>
      </c>
      <c r="T27" s="667">
        <v>30.83</v>
      </c>
      <c r="U27" s="667">
        <v>7.53</v>
      </c>
      <c r="V27" s="667">
        <v>10</v>
      </c>
      <c r="W27" s="667">
        <v>1.6</v>
      </c>
      <c r="X27" s="667">
        <v>40.28</v>
      </c>
      <c r="Y27" s="667">
        <v>9.6</v>
      </c>
    </row>
    <row r="28" spans="1:25" ht="11.25" customHeight="1">
      <c r="A28" s="157"/>
      <c r="B28" s="159"/>
      <c r="C28" s="159"/>
      <c r="D28" s="159"/>
      <c r="E28" s="159"/>
      <c r="F28" s="159"/>
      <c r="G28" s="159"/>
      <c r="H28" s="159"/>
      <c r="I28" s="159"/>
      <c r="J28" s="32"/>
      <c r="K28" s="33"/>
      <c r="L28" s="29"/>
      <c r="P28" s="666">
        <v>25</v>
      </c>
      <c r="Q28" s="667">
        <v>9.0548571179999993</v>
      </c>
      <c r="R28" s="667">
        <v>3.2130000590000001</v>
      </c>
      <c r="S28" s="667">
        <v>56.674428669999998</v>
      </c>
      <c r="T28" s="667">
        <v>25.690000260000001</v>
      </c>
      <c r="U28" s="667">
        <v>6.9342856409999998</v>
      </c>
      <c r="V28" s="667">
        <v>10.00571442</v>
      </c>
      <c r="W28" s="667">
        <v>1.254714302</v>
      </c>
      <c r="X28" s="667">
        <v>37.560714179999998</v>
      </c>
      <c r="Y28" s="667">
        <v>7.91285726</v>
      </c>
    </row>
    <row r="29" spans="1:25" ht="11.25" customHeight="1">
      <c r="A29" s="157"/>
      <c r="B29" s="159"/>
      <c r="C29" s="159"/>
      <c r="D29" s="159"/>
      <c r="E29" s="159"/>
      <c r="F29" s="159"/>
      <c r="G29" s="159"/>
      <c r="H29" s="159"/>
      <c r="I29" s="159"/>
      <c r="J29" s="32"/>
      <c r="K29" s="33"/>
      <c r="L29" s="29"/>
      <c r="P29" s="666">
        <v>26</v>
      </c>
      <c r="Q29" s="667">
        <v>8.8612857550000008</v>
      </c>
      <c r="R29" s="667">
        <v>3.5</v>
      </c>
      <c r="S29" s="667">
        <v>68.087428501674069</v>
      </c>
      <c r="T29" s="667">
        <v>30.317143300000001</v>
      </c>
      <c r="U29" s="667">
        <v>8.8971428190000008</v>
      </c>
      <c r="V29" s="667">
        <v>10</v>
      </c>
      <c r="W29" s="667">
        <v>1.4324285809999999</v>
      </c>
      <c r="X29" s="667">
        <v>37.759999409999999</v>
      </c>
      <c r="Y29" s="667">
        <v>8.911428656</v>
      </c>
    </row>
    <row r="30" spans="1:25" ht="11.25" customHeight="1">
      <c r="A30" s="157"/>
      <c r="B30" s="159"/>
      <c r="C30" s="159"/>
      <c r="D30" s="159"/>
      <c r="E30" s="159"/>
      <c r="F30" s="159"/>
      <c r="G30" s="159"/>
      <c r="H30" s="159"/>
      <c r="I30" s="159"/>
      <c r="J30" s="32"/>
      <c r="K30" s="33"/>
      <c r="L30" s="29"/>
      <c r="P30" s="666">
        <v>27</v>
      </c>
      <c r="Q30" s="667">
        <v>8.3185714990000008</v>
      </c>
      <c r="R30" s="667">
        <v>4.0900001530000001</v>
      </c>
      <c r="S30" s="667">
        <v>60.110428400000004</v>
      </c>
      <c r="T30" s="667">
        <v>28.581429350000001</v>
      </c>
      <c r="U30" s="667">
        <v>7.9442856649999998</v>
      </c>
      <c r="V30" s="667">
        <v>10.001428600000001</v>
      </c>
      <c r="W30" s="667">
        <v>1.455999987</v>
      </c>
      <c r="X30" s="667">
        <v>35.967143470000003</v>
      </c>
      <c r="Y30" s="667">
        <v>7.2057142259999996</v>
      </c>
    </row>
    <row r="31" spans="1:25" ht="11.25" customHeight="1">
      <c r="A31" s="157"/>
      <c r="B31" s="159"/>
      <c r="C31" s="159"/>
      <c r="D31" s="159"/>
      <c r="E31" s="159"/>
      <c r="F31" s="159"/>
      <c r="G31" s="159"/>
      <c r="H31" s="159"/>
      <c r="I31" s="159"/>
      <c r="J31" s="32"/>
      <c r="K31" s="33"/>
      <c r="L31" s="29"/>
      <c r="O31" s="665">
        <v>28</v>
      </c>
      <c r="P31" s="666">
        <v>28</v>
      </c>
      <c r="Q31" s="667">
        <v>7.789714268</v>
      </c>
      <c r="R31" s="667">
        <v>3.119999886</v>
      </c>
      <c r="S31" s="667">
        <v>60.986856189999997</v>
      </c>
      <c r="T31" s="667">
        <v>27.099999836512943</v>
      </c>
      <c r="U31" s="667">
        <v>7.4514284819999999</v>
      </c>
      <c r="V31" s="667">
        <v>10.0128573</v>
      </c>
      <c r="W31" s="667">
        <v>1.5508571609999999</v>
      </c>
      <c r="X31" s="667">
        <v>47.66357095</v>
      </c>
      <c r="Y31" s="667">
        <v>9.9999998639999994</v>
      </c>
    </row>
    <row r="32" spans="1:25" ht="11.25" customHeight="1">
      <c r="A32" s="157"/>
      <c r="B32" s="159"/>
      <c r="C32" s="159"/>
      <c r="D32" s="159"/>
      <c r="E32" s="159"/>
      <c r="F32" s="159"/>
      <c r="G32" s="159"/>
      <c r="H32" s="159"/>
      <c r="I32" s="159"/>
      <c r="J32" s="33"/>
      <c r="K32" s="33"/>
      <c r="L32" s="29"/>
      <c r="P32" s="666">
        <v>29</v>
      </c>
      <c r="Q32" s="667">
        <v>7.1615714349999999</v>
      </c>
      <c r="R32" s="667">
        <v>3.4249999519999998</v>
      </c>
      <c r="S32" s="667">
        <v>56.540714260000001</v>
      </c>
      <c r="T32" s="667">
        <v>23.477142610000001</v>
      </c>
      <c r="U32" s="667">
        <v>6.2828570089999998</v>
      </c>
      <c r="V32" s="667">
        <v>10.001428600000001</v>
      </c>
      <c r="W32" s="667">
        <v>2.1035714489999999</v>
      </c>
      <c r="X32" s="667">
        <v>44.25</v>
      </c>
      <c r="Y32" s="667">
        <v>6.7128572460000004</v>
      </c>
    </row>
    <row r="33" spans="1:25" ht="11.25" customHeight="1">
      <c r="A33" s="157"/>
      <c r="B33" s="159"/>
      <c r="C33" s="159"/>
      <c r="D33" s="159"/>
      <c r="E33" s="159"/>
      <c r="F33" s="159"/>
      <c r="G33" s="159"/>
      <c r="H33" s="159"/>
      <c r="I33" s="159"/>
      <c r="J33" s="32"/>
      <c r="K33" s="33"/>
      <c r="L33" s="29"/>
      <c r="P33" s="666">
        <v>30</v>
      </c>
      <c r="Q33" s="667">
        <v>6.6714285440000003</v>
      </c>
      <c r="R33" s="667">
        <v>2.8789999489999998</v>
      </c>
      <c r="S33" s="667">
        <v>65.491856709999993</v>
      </c>
      <c r="T33" s="667">
        <v>21.095714300000001</v>
      </c>
      <c r="U33" s="667">
        <v>5.8057142669999999</v>
      </c>
      <c r="V33" s="667">
        <v>10.01142883</v>
      </c>
      <c r="W33" s="667">
        <v>1.8491428750000001</v>
      </c>
      <c r="X33" s="667">
        <v>42.498571668352326</v>
      </c>
      <c r="Y33" s="667">
        <v>6.0797142300000004</v>
      </c>
    </row>
    <row r="34" spans="1:25" ht="11.25" customHeight="1">
      <c r="A34" s="157"/>
      <c r="B34" s="159"/>
      <c r="C34" s="159"/>
      <c r="D34" s="159"/>
      <c r="E34" s="159"/>
      <c r="F34" s="159"/>
      <c r="G34" s="159"/>
      <c r="H34" s="159"/>
      <c r="I34" s="159"/>
      <c r="J34" s="32"/>
      <c r="K34" s="43"/>
      <c r="L34" s="29"/>
      <c r="P34" s="666">
        <v>31</v>
      </c>
      <c r="Q34" s="667">
        <v>6.2387143543788328</v>
      </c>
      <c r="R34" s="667">
        <v>2.9382856232779297</v>
      </c>
      <c r="S34" s="667">
        <v>65.491856711251344</v>
      </c>
      <c r="T34" s="667">
        <v>20.037142889840243</v>
      </c>
      <c r="U34" s="667">
        <v>5.4814286231994549</v>
      </c>
      <c r="V34" s="667">
        <v>10.011428833007772</v>
      </c>
      <c r="W34" s="667">
        <v>1.8019999946866672</v>
      </c>
      <c r="X34" s="667">
        <v>39.98428617204933</v>
      </c>
      <c r="Y34" s="667">
        <v>4.9059999329703157</v>
      </c>
    </row>
    <row r="35" spans="1:25" ht="11.25" customHeight="1">
      <c r="A35" s="157"/>
      <c r="B35" s="159"/>
      <c r="C35" s="159"/>
      <c r="D35" s="159"/>
      <c r="E35" s="159"/>
      <c r="F35" s="159"/>
      <c r="G35" s="159"/>
      <c r="H35" s="159"/>
      <c r="I35" s="159"/>
      <c r="J35" s="32"/>
      <c r="K35" s="43"/>
      <c r="L35" s="48"/>
      <c r="O35" s="665">
        <v>32</v>
      </c>
      <c r="P35" s="666">
        <v>32</v>
      </c>
      <c r="Q35" s="667">
        <v>6.1697142459999998</v>
      </c>
      <c r="R35" s="667">
        <v>3.2030000689999998</v>
      </c>
      <c r="S35" s="667">
        <v>49.942714418571427</v>
      </c>
      <c r="T35" s="667">
        <v>23.275714059999999</v>
      </c>
      <c r="U35" s="667">
        <v>5.8257142479999997</v>
      </c>
      <c r="V35" s="667">
        <v>10.004285810000001</v>
      </c>
      <c r="W35" s="667">
        <v>1.2214285650000001</v>
      </c>
      <c r="X35" s="667">
        <v>36.654999320000002</v>
      </c>
      <c r="Y35" s="667">
        <v>4.0242800000000001</v>
      </c>
    </row>
    <row r="36" spans="1:25" ht="11.25" customHeight="1">
      <c r="A36" s="157"/>
      <c r="B36" s="159"/>
      <c r="C36" s="159"/>
      <c r="D36" s="159"/>
      <c r="E36" s="159"/>
      <c r="F36" s="159"/>
      <c r="G36" s="159"/>
      <c r="H36" s="159"/>
      <c r="I36" s="159"/>
      <c r="J36" s="32"/>
      <c r="K36" s="38"/>
      <c r="L36" s="29"/>
      <c r="P36" s="666">
        <v>33</v>
      </c>
      <c r="Q36" s="667">
        <v>6.3728570940000004</v>
      </c>
      <c r="R36" s="667">
        <v>2.841857144</v>
      </c>
      <c r="S36" s="667">
        <v>57.183571406773112</v>
      </c>
      <c r="T36" s="667">
        <v>22.619999750000002</v>
      </c>
      <c r="U36" s="667">
        <v>5.5228571210000004</v>
      </c>
      <c r="V36" s="667">
        <v>10</v>
      </c>
      <c r="W36" s="667">
        <v>1.3032857349940685</v>
      </c>
      <c r="X36" s="667">
        <v>35.152857099999999</v>
      </c>
      <c r="Y36" s="667">
        <v>4.354285752</v>
      </c>
    </row>
    <row r="37" spans="1:25" ht="11.25" customHeight="1">
      <c r="A37" s="157"/>
      <c r="B37" s="159"/>
      <c r="C37" s="159"/>
      <c r="D37" s="159"/>
      <c r="E37" s="159"/>
      <c r="F37" s="159"/>
      <c r="G37" s="159"/>
      <c r="H37" s="159"/>
      <c r="I37" s="159"/>
      <c r="J37" s="32"/>
      <c r="K37" s="38"/>
      <c r="L37" s="29"/>
      <c r="P37" s="666">
        <v>34</v>
      </c>
      <c r="Q37" s="667">
        <v>6.1195714130000001</v>
      </c>
      <c r="R37" s="667">
        <v>3.058000088</v>
      </c>
      <c r="S37" s="667">
        <v>49.366142269999997</v>
      </c>
      <c r="T37" s="667">
        <v>25.04757145</v>
      </c>
      <c r="U37" s="667">
        <v>5.8727143149999996</v>
      </c>
      <c r="V37" s="667">
        <v>10.00857162</v>
      </c>
      <c r="W37" s="667">
        <v>1.2842857160000001</v>
      </c>
      <c r="X37" s="667">
        <v>34.115715029999997</v>
      </c>
      <c r="Y37" s="667">
        <v>4.3511429509999999</v>
      </c>
    </row>
    <row r="38" spans="1:25" ht="11.25" customHeight="1">
      <c r="A38" s="157"/>
      <c r="B38" s="159"/>
      <c r="C38" s="159"/>
      <c r="D38" s="159"/>
      <c r="E38" s="159"/>
      <c r="F38" s="159"/>
      <c r="G38" s="159"/>
      <c r="H38" s="159"/>
      <c r="I38" s="159"/>
      <c r="J38" s="32"/>
      <c r="K38" s="38"/>
      <c r="L38" s="29"/>
      <c r="P38" s="666">
        <v>35</v>
      </c>
      <c r="Q38" s="667">
        <v>5.9814286230000002</v>
      </c>
      <c r="R38" s="667">
        <v>1.506999969</v>
      </c>
      <c r="S38" s="667">
        <v>56.934856959999998</v>
      </c>
      <c r="T38" s="667">
        <v>21.374285830000002</v>
      </c>
      <c r="U38" s="667">
        <v>4.9342857090000001</v>
      </c>
      <c r="V38" s="667">
        <v>10.28714289</v>
      </c>
      <c r="W38" s="667">
        <v>1.5979999810000001</v>
      </c>
      <c r="X38" s="667">
        <v>30.92</v>
      </c>
      <c r="Y38" s="667">
        <v>5.3042856629999999</v>
      </c>
    </row>
    <row r="39" spans="1:25" ht="11.25" customHeight="1">
      <c r="O39" s="665">
        <v>36</v>
      </c>
      <c r="P39" s="666">
        <v>36</v>
      </c>
      <c r="Q39" s="667">
        <v>6.03</v>
      </c>
      <c r="R39" s="667">
        <v>2.8</v>
      </c>
      <c r="S39" s="667">
        <v>48.51</v>
      </c>
      <c r="T39" s="667">
        <v>22.661428449999999</v>
      </c>
      <c r="U39" s="667">
        <v>4.9800000000000004</v>
      </c>
      <c r="V39" s="667">
        <v>11.01</v>
      </c>
      <c r="W39" s="667">
        <v>1.63</v>
      </c>
      <c r="X39" s="667">
        <v>30.922143120000001</v>
      </c>
      <c r="Y39" s="667">
        <v>7.46</v>
      </c>
    </row>
    <row r="40" spans="1:25" ht="11.25" customHeight="1">
      <c r="A40" s="957" t="s">
        <v>567</v>
      </c>
      <c r="B40" s="957"/>
      <c r="C40" s="957"/>
      <c r="D40" s="957"/>
      <c r="E40" s="957"/>
      <c r="F40" s="957"/>
      <c r="G40" s="957"/>
      <c r="H40" s="957"/>
      <c r="I40" s="957"/>
      <c r="J40" s="957"/>
      <c r="K40" s="957"/>
      <c r="L40" s="957"/>
      <c r="P40" s="666">
        <v>37</v>
      </c>
      <c r="Q40" s="667">
        <v>6.03</v>
      </c>
      <c r="R40" s="667">
        <v>2.37</v>
      </c>
      <c r="S40" s="667">
        <v>43.99</v>
      </c>
      <c r="T40" s="667">
        <v>19.149999999999999</v>
      </c>
      <c r="U40" s="667">
        <v>5.31</v>
      </c>
      <c r="V40" s="667">
        <v>11</v>
      </c>
      <c r="W40" s="667">
        <v>1.59</v>
      </c>
      <c r="X40" s="667">
        <v>29.33</v>
      </c>
      <c r="Y40" s="667">
        <v>7.79</v>
      </c>
    </row>
    <row r="41" spans="1:25" ht="11.25" customHeight="1">
      <c r="P41" s="666">
        <v>38</v>
      </c>
      <c r="Q41" s="667">
        <v>6.5951428410000004</v>
      </c>
      <c r="R41" s="667">
        <v>3.0060000420000001</v>
      </c>
      <c r="S41" s="667">
        <v>47.220570700000003</v>
      </c>
      <c r="T41" s="667">
        <v>22.304285589999999</v>
      </c>
      <c r="U41" s="667">
        <v>5.581428528</v>
      </c>
      <c r="V41" s="667">
        <v>10.85142858</v>
      </c>
      <c r="W41" s="667">
        <v>1.5402856890000001</v>
      </c>
      <c r="X41" s="667">
        <v>34.179286410000003</v>
      </c>
      <c r="Y41" s="667">
        <v>8.5442856379999998</v>
      </c>
    </row>
    <row r="42" spans="1:25" ht="11.25" customHeight="1">
      <c r="A42" s="157"/>
      <c r="B42" s="159"/>
      <c r="C42" s="159"/>
      <c r="D42" s="159"/>
      <c r="E42" s="159"/>
      <c r="F42" s="159"/>
      <c r="G42" s="159"/>
      <c r="H42" s="159"/>
      <c r="I42" s="159"/>
      <c r="J42" s="160"/>
      <c r="K42" s="160"/>
      <c r="L42" s="160"/>
      <c r="O42" s="665">
        <v>39</v>
      </c>
      <c r="P42" s="666">
        <v>39</v>
      </c>
      <c r="Q42" s="667">
        <v>6.84</v>
      </c>
      <c r="R42" s="667">
        <v>3.32</v>
      </c>
      <c r="S42" s="667">
        <v>63.05</v>
      </c>
      <c r="T42" s="667">
        <v>48.7</v>
      </c>
      <c r="U42" s="667">
        <v>7.81</v>
      </c>
      <c r="V42" s="667">
        <v>11.15</v>
      </c>
      <c r="W42" s="667">
        <v>1.32</v>
      </c>
      <c r="X42" s="667">
        <v>38.82</v>
      </c>
      <c r="Y42" s="667">
        <v>6.81</v>
      </c>
    </row>
    <row r="43" spans="1:25" ht="11.25" customHeight="1">
      <c r="A43" s="157"/>
      <c r="B43" s="159"/>
      <c r="C43" s="159"/>
      <c r="D43" s="159"/>
      <c r="E43" s="159"/>
      <c r="F43" s="159"/>
      <c r="G43" s="159"/>
      <c r="H43" s="159"/>
      <c r="I43" s="159"/>
      <c r="J43" s="160"/>
      <c r="K43" s="160"/>
      <c r="L43" s="160"/>
      <c r="P43" s="666">
        <v>40</v>
      </c>
      <c r="Q43" s="667">
        <v>7.6862857681428576</v>
      </c>
      <c r="R43" s="667">
        <v>3.1560000009999998</v>
      </c>
      <c r="S43" s="667">
        <v>61.54114314571428</v>
      </c>
      <c r="T43" s="667">
        <v>37.928571428999994</v>
      </c>
      <c r="U43" s="667">
        <v>7.9165713450000004</v>
      </c>
      <c r="V43" s="667">
        <v>11.005714417142856</v>
      </c>
      <c r="W43" s="667">
        <v>1.3828571522857145</v>
      </c>
      <c r="X43" s="667">
        <v>43.879284992857151</v>
      </c>
      <c r="Y43" s="667">
        <v>6.2752857208571422</v>
      </c>
    </row>
    <row r="44" spans="1:25" ht="11.25" customHeight="1">
      <c r="A44" s="157"/>
      <c r="B44" s="159"/>
      <c r="C44" s="159"/>
      <c r="D44" s="159"/>
      <c r="E44" s="159"/>
      <c r="F44" s="159"/>
      <c r="G44" s="159"/>
      <c r="H44" s="159"/>
      <c r="I44" s="159"/>
      <c r="P44" s="666">
        <v>41</v>
      </c>
      <c r="Q44" s="667">
        <v>7.1000001089913463</v>
      </c>
      <c r="R44" s="667">
        <v>2.9028571673801928</v>
      </c>
      <c r="S44" s="667">
        <v>58.117285592215353</v>
      </c>
      <c r="T44" s="667">
        <v>48.921429225376635</v>
      </c>
      <c r="U44" s="667">
        <v>8.5942858287266173</v>
      </c>
      <c r="V44" s="667">
        <v>11.002857208251914</v>
      </c>
      <c r="W44" s="667">
        <v>1.3182857036590543</v>
      </c>
      <c r="X44" s="667">
        <v>45.627857753208637</v>
      </c>
      <c r="Y44" s="667">
        <v>9.9285714966910028</v>
      </c>
    </row>
    <row r="45" spans="1:25" ht="11.25" customHeight="1">
      <c r="A45" s="157"/>
      <c r="B45" s="159"/>
      <c r="C45" s="159"/>
      <c r="D45" s="159"/>
      <c r="E45" s="159"/>
      <c r="F45" s="159"/>
      <c r="G45" s="159"/>
      <c r="H45" s="159"/>
      <c r="I45" s="159"/>
      <c r="P45" s="666">
        <v>42</v>
      </c>
      <c r="Q45" s="667">
        <v>6.7610000201428573</v>
      </c>
      <c r="R45" s="667">
        <v>2.8671428815714286</v>
      </c>
      <c r="S45" s="667">
        <v>58.888142721428572</v>
      </c>
      <c r="T45" s="667">
        <v>55.619142805714283</v>
      </c>
      <c r="U45" s="667">
        <v>9.5089999614285716</v>
      </c>
      <c r="V45" s="667">
        <v>11.007142884285715</v>
      </c>
      <c r="W45" s="667">
        <v>1.2221428497142859</v>
      </c>
      <c r="X45" s="667">
        <v>52.615000045714282</v>
      </c>
      <c r="Y45" s="667">
        <v>9.6800000322857152</v>
      </c>
    </row>
    <row r="46" spans="1:25" ht="11.25" customHeight="1">
      <c r="A46" s="157"/>
      <c r="B46" s="159"/>
      <c r="C46" s="159"/>
      <c r="D46" s="159"/>
      <c r="E46" s="159"/>
      <c r="F46" s="159"/>
      <c r="G46" s="159"/>
      <c r="H46" s="159"/>
      <c r="I46" s="159"/>
      <c r="O46" s="665">
        <v>43</v>
      </c>
      <c r="P46" s="666">
        <v>43</v>
      </c>
      <c r="Q46" s="667">
        <v>6.53</v>
      </c>
      <c r="R46" s="667">
        <v>2.37</v>
      </c>
      <c r="S46" s="667">
        <v>69.2</v>
      </c>
      <c r="T46" s="667">
        <v>54.58</v>
      </c>
      <c r="U46" s="667">
        <v>8.23</v>
      </c>
      <c r="V46" s="667">
        <v>11.01</v>
      </c>
      <c r="W46" s="667">
        <v>1.35</v>
      </c>
      <c r="X46" s="667">
        <v>50.71</v>
      </c>
      <c r="Y46" s="667">
        <v>10.33</v>
      </c>
    </row>
    <row r="47" spans="1:25" ht="11.25" customHeight="1">
      <c r="A47" s="157"/>
      <c r="B47" s="159"/>
      <c r="C47" s="159"/>
      <c r="D47" s="159"/>
      <c r="E47" s="159"/>
      <c r="F47" s="159"/>
      <c r="G47" s="159"/>
      <c r="H47" s="159"/>
      <c r="I47" s="159"/>
      <c r="P47" s="666">
        <v>44</v>
      </c>
      <c r="Q47" s="667">
        <v>7.58</v>
      </c>
      <c r="R47" s="667">
        <v>4.8899999999999997</v>
      </c>
      <c r="S47" s="667">
        <v>51.59</v>
      </c>
      <c r="T47" s="667">
        <v>57.65</v>
      </c>
      <c r="U47" s="667">
        <v>7.72</v>
      </c>
      <c r="V47" s="667">
        <v>11.01</v>
      </c>
      <c r="W47" s="667">
        <v>1.47</v>
      </c>
      <c r="X47" s="667">
        <v>48.41</v>
      </c>
      <c r="Y47" s="667">
        <v>11.29</v>
      </c>
    </row>
    <row r="48" spans="1:25">
      <c r="A48" s="157"/>
      <c r="B48" s="159"/>
      <c r="C48" s="159"/>
      <c r="D48" s="159"/>
      <c r="E48" s="159"/>
      <c r="F48" s="159"/>
      <c r="G48" s="159"/>
      <c r="H48" s="159"/>
      <c r="I48" s="159"/>
      <c r="P48" s="666">
        <v>45</v>
      </c>
      <c r="Q48" s="667">
        <v>6.95</v>
      </c>
      <c r="R48" s="667">
        <v>1.61</v>
      </c>
      <c r="S48" s="667">
        <v>72.92</v>
      </c>
      <c r="T48" s="667">
        <v>67.069999999999993</v>
      </c>
      <c r="U48" s="667">
        <v>6.9</v>
      </c>
      <c r="V48" s="667">
        <v>11</v>
      </c>
      <c r="W48" s="667">
        <v>1.42</v>
      </c>
      <c r="X48" s="667">
        <v>47.24</v>
      </c>
      <c r="Y48" s="667">
        <v>9</v>
      </c>
    </row>
    <row r="49" spans="1:25">
      <c r="A49" s="157"/>
      <c r="B49" s="159"/>
      <c r="C49" s="159"/>
      <c r="D49" s="159"/>
      <c r="E49" s="159"/>
      <c r="F49" s="159"/>
      <c r="G49" s="159"/>
      <c r="H49" s="159"/>
      <c r="I49" s="159"/>
      <c r="P49" s="666">
        <v>46</v>
      </c>
      <c r="Q49" s="667">
        <v>6.8571429249999998</v>
      </c>
      <c r="R49" s="667">
        <v>1.6428571599999999</v>
      </c>
      <c r="S49" s="667">
        <v>58.4</v>
      </c>
      <c r="T49" s="667">
        <v>34.982142860000003</v>
      </c>
      <c r="U49" s="667">
        <v>5.0667143550000002</v>
      </c>
      <c r="V49" s="667">
        <v>11.01</v>
      </c>
      <c r="W49" s="667">
        <v>1.38</v>
      </c>
      <c r="X49" s="667">
        <v>40.61</v>
      </c>
      <c r="Y49" s="667">
        <v>8.81</v>
      </c>
    </row>
    <row r="50" spans="1:25">
      <c r="A50" s="157"/>
      <c r="B50" s="159"/>
      <c r="C50" s="159"/>
      <c r="D50" s="159"/>
      <c r="E50" s="159"/>
      <c r="F50" s="159"/>
      <c r="G50" s="159"/>
      <c r="H50" s="159"/>
      <c r="I50" s="159"/>
      <c r="P50" s="666">
        <v>47</v>
      </c>
      <c r="Q50" s="667">
        <v>6.9940000260000001</v>
      </c>
      <c r="R50" s="667">
        <v>1.5142857009999999</v>
      </c>
      <c r="S50" s="667">
        <v>52.554856440000002</v>
      </c>
      <c r="T50" s="667">
        <v>29.07742855</v>
      </c>
      <c r="U50" s="667">
        <v>4.2727143420000004</v>
      </c>
      <c r="V50" s="667">
        <v>11.00286</v>
      </c>
      <c r="W50" s="667">
        <v>1.63</v>
      </c>
      <c r="X50" s="667">
        <v>41.625</v>
      </c>
      <c r="Y50" s="667">
        <v>9.3542860000000001</v>
      </c>
    </row>
    <row r="51" spans="1:25">
      <c r="A51" s="157"/>
      <c r="B51" s="159"/>
      <c r="C51" s="159"/>
      <c r="D51" s="159"/>
      <c r="E51" s="159"/>
      <c r="F51" s="159"/>
      <c r="G51" s="159"/>
      <c r="H51" s="159"/>
      <c r="I51" s="159"/>
      <c r="O51" s="665">
        <v>48</v>
      </c>
      <c r="P51" s="666">
        <v>48</v>
      </c>
      <c r="Q51" s="667">
        <v>7.1124285970000001</v>
      </c>
      <c r="R51" s="667">
        <v>1.4714285645714287</v>
      </c>
      <c r="S51" s="667">
        <v>53.429429191428575</v>
      </c>
      <c r="T51" s="667">
        <v>88.059571399999996</v>
      </c>
      <c r="U51" s="667">
        <v>7.879285812428571</v>
      </c>
      <c r="V51" s="667">
        <v>10.862857274285714</v>
      </c>
      <c r="W51" s="667">
        <v>1.6007142748571428</v>
      </c>
      <c r="X51" s="667">
        <v>41.014285495714283</v>
      </c>
      <c r="Y51" s="667">
        <v>14.194285802</v>
      </c>
    </row>
    <row r="52" spans="1:25">
      <c r="A52" s="157"/>
      <c r="B52" s="159"/>
      <c r="C52" s="159"/>
      <c r="D52" s="159"/>
      <c r="E52" s="159"/>
      <c r="F52" s="159"/>
      <c r="G52" s="159"/>
      <c r="H52" s="159"/>
      <c r="I52" s="159"/>
      <c r="P52" s="666">
        <v>49</v>
      </c>
      <c r="Q52" s="667">
        <v>8.43</v>
      </c>
      <c r="R52" s="667">
        <v>2.2400000000000002</v>
      </c>
      <c r="S52" s="667">
        <v>61.07</v>
      </c>
      <c r="T52" s="667">
        <v>106.59</v>
      </c>
      <c r="U52" s="667">
        <v>16.09</v>
      </c>
      <c r="V52" s="667">
        <v>10.5</v>
      </c>
      <c r="W52" s="667">
        <v>1.1200000000000001</v>
      </c>
      <c r="X52" s="667">
        <v>83.6</v>
      </c>
      <c r="Y52" s="667">
        <v>22.62</v>
      </c>
    </row>
    <row r="53" spans="1:25">
      <c r="A53" s="157"/>
      <c r="B53" s="159"/>
      <c r="C53" s="159"/>
      <c r="D53" s="159"/>
      <c r="E53" s="159"/>
      <c r="F53" s="159"/>
      <c r="G53" s="159"/>
      <c r="H53" s="159"/>
      <c r="I53" s="159"/>
      <c r="P53" s="666">
        <v>50</v>
      </c>
      <c r="Q53" s="667">
        <v>8.32</v>
      </c>
      <c r="R53" s="667">
        <v>2.19</v>
      </c>
      <c r="S53" s="667">
        <v>78.02</v>
      </c>
      <c r="T53" s="667">
        <v>104.79</v>
      </c>
      <c r="U53" s="667">
        <v>18.649999999999999</v>
      </c>
      <c r="V53" s="667">
        <v>10.51</v>
      </c>
      <c r="W53" s="667">
        <v>1.1399999999999999</v>
      </c>
      <c r="X53" s="667">
        <v>66.8</v>
      </c>
      <c r="Y53" s="667">
        <v>22.62</v>
      </c>
    </row>
    <row r="54" spans="1:25">
      <c r="A54" s="157"/>
      <c r="B54" s="159"/>
      <c r="C54" s="159"/>
      <c r="D54" s="159"/>
      <c r="E54" s="159"/>
      <c r="F54" s="159"/>
      <c r="G54" s="159"/>
      <c r="H54" s="159"/>
      <c r="I54" s="159"/>
      <c r="P54" s="666">
        <v>51</v>
      </c>
      <c r="Q54" s="667">
        <v>9.08</v>
      </c>
      <c r="R54" s="667">
        <v>3.71</v>
      </c>
      <c r="S54" s="667">
        <v>67.64</v>
      </c>
      <c r="T54" s="667">
        <v>69.61</v>
      </c>
      <c r="U54" s="667">
        <v>11.22</v>
      </c>
      <c r="V54" s="667">
        <v>10.5</v>
      </c>
      <c r="W54" s="667">
        <v>1.37</v>
      </c>
      <c r="X54" s="667">
        <v>55.42</v>
      </c>
      <c r="Y54" s="667">
        <v>17.489999999999998</v>
      </c>
    </row>
    <row r="55" spans="1:25">
      <c r="A55" s="157"/>
      <c r="B55" s="159"/>
      <c r="C55" s="159"/>
      <c r="D55" s="159"/>
      <c r="E55" s="159"/>
      <c r="F55" s="159"/>
      <c r="G55" s="159"/>
      <c r="H55" s="159"/>
      <c r="I55" s="159"/>
      <c r="O55" s="665">
        <v>52</v>
      </c>
      <c r="P55" s="666">
        <v>52</v>
      </c>
      <c r="Q55" s="667">
        <v>8.42</v>
      </c>
      <c r="R55" s="667">
        <v>3.57</v>
      </c>
      <c r="S55" s="667">
        <v>56.187571937142856</v>
      </c>
      <c r="T55" s="667">
        <v>58.452428545714284</v>
      </c>
      <c r="U55" s="667">
        <v>8.01</v>
      </c>
      <c r="V55" s="667">
        <v>10.507142884285715</v>
      </c>
      <c r="W55" s="667">
        <v>1.53</v>
      </c>
      <c r="X55" s="667">
        <v>59.550713675714292</v>
      </c>
      <c r="Y55" s="667">
        <v>18.608285904285712</v>
      </c>
    </row>
    <row r="56" spans="1:25">
      <c r="A56" s="157"/>
      <c r="B56" s="159"/>
      <c r="C56" s="159"/>
      <c r="D56" s="159"/>
      <c r="E56" s="159"/>
      <c r="F56" s="159"/>
      <c r="G56" s="159"/>
      <c r="H56" s="159"/>
      <c r="I56" s="159"/>
      <c r="N56" s="665">
        <v>2017</v>
      </c>
      <c r="O56" s="665">
        <v>1</v>
      </c>
      <c r="P56" s="666">
        <v>1</v>
      </c>
      <c r="Q56" s="667">
        <v>13.85</v>
      </c>
      <c r="R56" s="667">
        <v>11.3</v>
      </c>
      <c r="S56" s="667">
        <v>104.02</v>
      </c>
      <c r="T56" s="667">
        <v>148.43</v>
      </c>
      <c r="U56" s="667">
        <v>24.1</v>
      </c>
      <c r="V56" s="667">
        <v>10.220000000000001</v>
      </c>
      <c r="W56" s="667">
        <v>3.28</v>
      </c>
      <c r="X56" s="667">
        <v>89.46</v>
      </c>
      <c r="Y56" s="667">
        <v>25.43</v>
      </c>
    </row>
    <row r="57" spans="1:25">
      <c r="A57" s="157"/>
      <c r="B57" s="159"/>
      <c r="C57" s="159"/>
      <c r="D57" s="159"/>
      <c r="E57" s="159"/>
      <c r="F57" s="159"/>
      <c r="G57" s="159"/>
      <c r="H57" s="159"/>
      <c r="I57" s="159"/>
      <c r="P57" s="666">
        <v>2</v>
      </c>
      <c r="Q57" s="667">
        <v>14.96</v>
      </c>
      <c r="R57" s="667">
        <v>15.4</v>
      </c>
      <c r="S57" s="667">
        <v>143.97</v>
      </c>
      <c r="T57" s="667">
        <v>175.88</v>
      </c>
      <c r="U57" s="667">
        <v>33.74</v>
      </c>
      <c r="V57" s="667">
        <v>10.17</v>
      </c>
      <c r="W57" s="667">
        <v>6.45</v>
      </c>
      <c r="X57" s="667">
        <v>178.14</v>
      </c>
      <c r="Y57" s="667">
        <v>55.67</v>
      </c>
    </row>
    <row r="58" spans="1:25">
      <c r="A58" s="157"/>
      <c r="B58" s="159"/>
      <c r="C58" s="159"/>
      <c r="D58" s="159"/>
      <c r="E58" s="159"/>
      <c r="F58" s="159"/>
      <c r="G58" s="159"/>
      <c r="H58" s="159"/>
      <c r="I58" s="159"/>
      <c r="P58" s="666">
        <v>3</v>
      </c>
      <c r="Q58" s="667">
        <v>28.98</v>
      </c>
      <c r="R58" s="667">
        <v>21.94</v>
      </c>
      <c r="S58" s="667">
        <v>355.12</v>
      </c>
      <c r="T58" s="667">
        <v>177.57</v>
      </c>
      <c r="U58" s="667">
        <v>35.49</v>
      </c>
      <c r="V58" s="667">
        <v>10</v>
      </c>
      <c r="W58" s="667">
        <v>9.0500000000000007</v>
      </c>
      <c r="X58" s="667">
        <v>174.94</v>
      </c>
      <c r="Y58" s="667">
        <v>58.31</v>
      </c>
    </row>
    <row r="59" spans="1:25">
      <c r="A59" s="157"/>
      <c r="B59" s="159"/>
      <c r="C59" s="159"/>
      <c r="D59" s="159"/>
      <c r="E59" s="159"/>
      <c r="F59" s="159"/>
      <c r="G59" s="159"/>
      <c r="H59" s="159"/>
      <c r="I59" s="159"/>
      <c r="O59" s="665">
        <v>4</v>
      </c>
      <c r="P59" s="666">
        <v>4</v>
      </c>
      <c r="Q59" s="667">
        <v>30.46</v>
      </c>
      <c r="R59" s="667">
        <v>23.91</v>
      </c>
      <c r="S59" s="667">
        <v>519.4</v>
      </c>
      <c r="T59" s="667">
        <v>205.76</v>
      </c>
      <c r="U59" s="667">
        <v>48.48</v>
      </c>
      <c r="V59" s="667">
        <v>10</v>
      </c>
      <c r="W59" s="667">
        <v>2.4300000000000002</v>
      </c>
      <c r="X59" s="667">
        <v>141.31</v>
      </c>
      <c r="Y59" s="667">
        <v>47.49</v>
      </c>
    </row>
    <row r="60" spans="1:25">
      <c r="A60" s="157"/>
      <c r="B60" s="159"/>
      <c r="C60" s="159"/>
      <c r="D60" s="159"/>
      <c r="E60" s="159"/>
      <c r="F60" s="159"/>
      <c r="G60" s="159"/>
      <c r="H60" s="159"/>
      <c r="I60" s="159"/>
      <c r="P60" s="666">
        <v>5</v>
      </c>
      <c r="Q60" s="667">
        <v>21.36</v>
      </c>
      <c r="R60" s="667">
        <v>18.07</v>
      </c>
      <c r="S60" s="667">
        <v>330.78</v>
      </c>
      <c r="T60" s="667">
        <v>123.41</v>
      </c>
      <c r="U60" s="667">
        <v>25.33</v>
      </c>
      <c r="V60" s="667">
        <v>11.41</v>
      </c>
      <c r="W60" s="667">
        <v>2.87</v>
      </c>
      <c r="X60" s="667">
        <v>123.59</v>
      </c>
      <c r="Y60" s="667">
        <v>45.46</v>
      </c>
    </row>
    <row r="61" spans="1:25">
      <c r="A61" s="157"/>
      <c r="B61" s="159"/>
      <c r="C61" s="159"/>
      <c r="D61" s="159"/>
      <c r="E61" s="159"/>
      <c r="F61" s="159"/>
      <c r="G61" s="159"/>
      <c r="H61" s="159"/>
      <c r="I61" s="159"/>
      <c r="P61" s="666">
        <v>6</v>
      </c>
      <c r="Q61" s="667">
        <v>25.42</v>
      </c>
      <c r="R61" s="667">
        <v>21.42</v>
      </c>
      <c r="S61" s="667">
        <v>200.58</v>
      </c>
      <c r="T61" s="667">
        <v>108.48</v>
      </c>
      <c r="U61" s="667">
        <v>22.99</v>
      </c>
      <c r="V61" s="667">
        <v>10.57</v>
      </c>
      <c r="W61" s="667">
        <v>3.01</v>
      </c>
      <c r="X61" s="667">
        <v>85.48</v>
      </c>
      <c r="Y61" s="667">
        <v>28.56</v>
      </c>
    </row>
    <row r="62" spans="1:25">
      <c r="A62" s="157"/>
      <c r="B62" s="159"/>
      <c r="C62" s="159"/>
      <c r="D62" s="159"/>
      <c r="E62" s="159"/>
      <c r="F62" s="159"/>
      <c r="G62" s="159"/>
      <c r="H62" s="159"/>
      <c r="I62" s="159"/>
      <c r="P62" s="666">
        <v>7</v>
      </c>
      <c r="Q62" s="667">
        <v>35.43</v>
      </c>
      <c r="R62" s="667">
        <v>25.12</v>
      </c>
      <c r="S62" s="667">
        <v>393.69</v>
      </c>
      <c r="T62" s="667">
        <v>144.62</v>
      </c>
      <c r="U62" s="667">
        <v>39.44</v>
      </c>
      <c r="V62" s="667">
        <v>10</v>
      </c>
      <c r="W62" s="667">
        <v>2.88</v>
      </c>
      <c r="X62" s="667">
        <v>100.57</v>
      </c>
      <c r="Y62" s="667">
        <v>25.04</v>
      </c>
    </row>
    <row r="63" spans="1:25">
      <c r="A63" s="157"/>
      <c r="B63" s="159"/>
      <c r="C63" s="159"/>
      <c r="D63" s="159"/>
      <c r="E63" s="159"/>
      <c r="F63" s="159"/>
      <c r="G63" s="159"/>
      <c r="H63" s="159"/>
      <c r="I63" s="159"/>
      <c r="O63" s="665">
        <v>8</v>
      </c>
      <c r="P63" s="666">
        <v>8</v>
      </c>
      <c r="Q63" s="667">
        <v>30.45</v>
      </c>
      <c r="R63" s="667">
        <v>23.33</v>
      </c>
      <c r="S63" s="667">
        <v>345.37</v>
      </c>
      <c r="T63" s="667">
        <v>140.63</v>
      </c>
      <c r="U63" s="667">
        <v>30.47</v>
      </c>
      <c r="V63" s="667">
        <v>9.58</v>
      </c>
      <c r="W63" s="667">
        <v>2.0699999999999998</v>
      </c>
      <c r="X63" s="667">
        <v>163.72999999999999</v>
      </c>
      <c r="Y63" s="667">
        <v>58.84</v>
      </c>
    </row>
    <row r="64" spans="1:25" ht="6" customHeight="1">
      <c r="A64" s="157"/>
      <c r="B64" s="159"/>
      <c r="C64" s="159"/>
      <c r="D64" s="159"/>
      <c r="E64" s="159"/>
      <c r="F64" s="159"/>
      <c r="G64" s="159"/>
      <c r="H64" s="159"/>
      <c r="I64" s="159"/>
      <c r="P64" s="666">
        <v>9</v>
      </c>
      <c r="Q64" s="667">
        <v>37.72</v>
      </c>
      <c r="R64" s="667">
        <v>24.83</v>
      </c>
      <c r="S64" s="667">
        <v>567.22</v>
      </c>
      <c r="T64" s="667">
        <v>245.85</v>
      </c>
      <c r="U64" s="667">
        <v>67.56</v>
      </c>
      <c r="V64" s="667">
        <v>9.01</v>
      </c>
      <c r="W64" s="667">
        <v>7.33</v>
      </c>
      <c r="X64" s="667">
        <v>285.31</v>
      </c>
      <c r="Y64" s="667">
        <v>102.26</v>
      </c>
    </row>
    <row r="65" spans="1:25" ht="24.75" customHeight="1">
      <c r="A65" s="956" t="s">
        <v>566</v>
      </c>
      <c r="B65" s="956"/>
      <c r="C65" s="956"/>
      <c r="D65" s="956"/>
      <c r="E65" s="956"/>
      <c r="F65" s="956"/>
      <c r="G65" s="956"/>
      <c r="H65" s="956"/>
      <c r="I65" s="956"/>
      <c r="J65" s="956"/>
      <c r="K65" s="956"/>
      <c r="L65" s="956"/>
      <c r="P65" s="666">
        <v>10</v>
      </c>
      <c r="Q65" s="667">
        <v>36.46</v>
      </c>
      <c r="R65" s="667">
        <v>24.95</v>
      </c>
      <c r="S65" s="667">
        <v>467.04</v>
      </c>
      <c r="T65" s="667">
        <v>188.01</v>
      </c>
      <c r="U65" s="667">
        <v>50.5</v>
      </c>
      <c r="V65" s="667">
        <v>10.06</v>
      </c>
      <c r="W65" s="667">
        <v>3.71</v>
      </c>
      <c r="X65" s="667">
        <v>374.33</v>
      </c>
      <c r="Y65" s="667">
        <v>83.74</v>
      </c>
    </row>
    <row r="66" spans="1:25" ht="20.25" customHeight="1">
      <c r="P66" s="666">
        <v>11</v>
      </c>
      <c r="Q66" s="667">
        <v>35.590000000000003</v>
      </c>
      <c r="R66" s="667">
        <v>26.89</v>
      </c>
      <c r="S66" s="667">
        <v>448.3</v>
      </c>
      <c r="T66" s="667">
        <v>169.95</v>
      </c>
      <c r="U66" s="667">
        <v>51.21</v>
      </c>
      <c r="V66" s="667">
        <v>26.15</v>
      </c>
      <c r="W66" s="667">
        <v>8.66</v>
      </c>
      <c r="X66" s="667">
        <v>219.86</v>
      </c>
      <c r="Y66" s="667">
        <v>62.42</v>
      </c>
    </row>
    <row r="67" spans="1:25">
      <c r="O67" s="665">
        <v>12</v>
      </c>
      <c r="P67" s="666">
        <v>12</v>
      </c>
      <c r="Q67" s="667">
        <v>37.82</v>
      </c>
      <c r="R67" s="667">
        <v>20.6</v>
      </c>
      <c r="S67" s="667">
        <v>350.87</v>
      </c>
      <c r="T67" s="667">
        <v>146.01</v>
      </c>
      <c r="U67" s="667">
        <v>38.08</v>
      </c>
      <c r="V67" s="667">
        <v>12.43</v>
      </c>
      <c r="W67" s="667">
        <v>5.63</v>
      </c>
      <c r="X67" s="667">
        <v>190.11</v>
      </c>
      <c r="Y67" s="667">
        <v>52.01</v>
      </c>
    </row>
    <row r="68" spans="1:25">
      <c r="P68" s="666">
        <v>13</v>
      </c>
      <c r="Q68" s="667">
        <v>35.93</v>
      </c>
      <c r="R68" s="667">
        <v>24.02</v>
      </c>
      <c r="S68" s="667">
        <v>380.48</v>
      </c>
      <c r="T68" s="667">
        <v>173.02</v>
      </c>
      <c r="U68" s="667">
        <v>38.869999999999997</v>
      </c>
      <c r="V68" s="667">
        <v>11.98</v>
      </c>
      <c r="W68" s="667">
        <v>5.83</v>
      </c>
      <c r="X68" s="667">
        <v>272.08999999999997</v>
      </c>
      <c r="Y68" s="667">
        <v>65.430000000000007</v>
      </c>
    </row>
    <row r="69" spans="1:25">
      <c r="P69" s="666">
        <v>14</v>
      </c>
      <c r="Q69" s="667">
        <v>42.9</v>
      </c>
      <c r="R69" s="667">
        <v>17.87</v>
      </c>
      <c r="S69" s="667">
        <v>427.28</v>
      </c>
      <c r="T69" s="667">
        <v>137.65</v>
      </c>
      <c r="U69" s="667">
        <v>35.950000000000003</v>
      </c>
      <c r="V69" s="667">
        <v>28.72</v>
      </c>
      <c r="W69" s="667">
        <v>4.95</v>
      </c>
      <c r="X69" s="667">
        <v>301.82</v>
      </c>
      <c r="Y69" s="667">
        <v>71.06</v>
      </c>
    </row>
    <row r="70" spans="1:25">
      <c r="P70" s="666">
        <v>15</v>
      </c>
      <c r="Q70" s="667">
        <v>31.19</v>
      </c>
      <c r="R70" s="667">
        <v>17.87</v>
      </c>
      <c r="S70" s="667">
        <v>334.14</v>
      </c>
      <c r="T70" s="667">
        <v>129.9</v>
      </c>
      <c r="U70" s="667">
        <v>29.93</v>
      </c>
      <c r="V70" s="667">
        <v>16.28</v>
      </c>
      <c r="W70" s="667">
        <v>1.82</v>
      </c>
      <c r="X70" s="667">
        <v>203.49</v>
      </c>
      <c r="Y70" s="667">
        <v>77.099999999999994</v>
      </c>
    </row>
    <row r="71" spans="1:25">
      <c r="O71" s="665">
        <v>16</v>
      </c>
      <c r="P71" s="666">
        <v>16</v>
      </c>
      <c r="Q71" s="667">
        <v>22.8</v>
      </c>
      <c r="R71" s="667">
        <v>11.46</v>
      </c>
      <c r="S71" s="667">
        <v>218.96</v>
      </c>
      <c r="T71" s="667">
        <v>100.66</v>
      </c>
      <c r="U71" s="667">
        <v>21.85</v>
      </c>
      <c r="V71" s="667">
        <v>15.43</v>
      </c>
      <c r="W71" s="667">
        <v>2.33</v>
      </c>
      <c r="X71" s="667">
        <v>155.33000000000001</v>
      </c>
      <c r="Y71" s="667">
        <v>48.77</v>
      </c>
    </row>
    <row r="72" spans="1:25">
      <c r="P72" s="666">
        <v>17</v>
      </c>
      <c r="Q72" s="667">
        <v>20.18</v>
      </c>
      <c r="R72" s="667">
        <v>11.46</v>
      </c>
      <c r="S72" s="667">
        <v>180.47</v>
      </c>
      <c r="T72" s="667">
        <v>91.24</v>
      </c>
      <c r="U72" s="667">
        <v>18.89</v>
      </c>
      <c r="V72" s="667">
        <v>12.29</v>
      </c>
      <c r="W72" s="667">
        <v>1.9</v>
      </c>
      <c r="X72" s="667">
        <v>111.37</v>
      </c>
      <c r="Y72" s="667">
        <v>34.409999999999997</v>
      </c>
    </row>
    <row r="73" spans="1:25">
      <c r="P73" s="666">
        <v>18</v>
      </c>
      <c r="Q73" s="667">
        <v>19.84</v>
      </c>
      <c r="R73" s="667">
        <v>10.36</v>
      </c>
      <c r="S73" s="667">
        <v>212.89</v>
      </c>
      <c r="T73" s="667">
        <v>98.95</v>
      </c>
      <c r="U73" s="667">
        <v>19.899999999999999</v>
      </c>
      <c r="V73" s="667">
        <v>11.64</v>
      </c>
      <c r="W73" s="667">
        <v>1.46</v>
      </c>
      <c r="X73" s="667">
        <v>117.05</v>
      </c>
      <c r="Y73" s="667">
        <v>28.8</v>
      </c>
    </row>
    <row r="74" spans="1:25">
      <c r="P74" s="666">
        <v>19</v>
      </c>
      <c r="Q74" s="667">
        <v>21.4</v>
      </c>
      <c r="R74" s="667">
        <v>9.25</v>
      </c>
      <c r="S74" s="667">
        <v>199.54</v>
      </c>
      <c r="T74" s="667">
        <v>89.02</v>
      </c>
      <c r="U74" s="667">
        <v>15.9</v>
      </c>
      <c r="V74" s="667">
        <v>11</v>
      </c>
      <c r="W74" s="667">
        <v>1.36</v>
      </c>
      <c r="X74" s="667">
        <v>79.2</v>
      </c>
      <c r="Y74" s="667">
        <v>22.78</v>
      </c>
    </row>
    <row r="75" spans="1:25">
      <c r="O75" s="665">
        <v>20</v>
      </c>
      <c r="P75" s="666">
        <v>20</v>
      </c>
      <c r="Q75" s="667">
        <v>17.23</v>
      </c>
      <c r="R75" s="667">
        <v>6.32</v>
      </c>
      <c r="S75" s="667">
        <v>136.84</v>
      </c>
      <c r="T75" s="667">
        <v>72.95</v>
      </c>
      <c r="U75" s="667">
        <v>15.03</v>
      </c>
      <c r="V75" s="667">
        <v>11</v>
      </c>
      <c r="W75" s="667">
        <v>1.98</v>
      </c>
      <c r="X75" s="667">
        <v>69.37</v>
      </c>
      <c r="Y75" s="667">
        <v>17.8</v>
      </c>
    </row>
    <row r="76" spans="1:25">
      <c r="P76" s="666">
        <v>21</v>
      </c>
      <c r="Q76" s="667">
        <v>16.09</v>
      </c>
      <c r="R76" s="667">
        <v>6.32</v>
      </c>
      <c r="S76" s="667">
        <v>116.86</v>
      </c>
      <c r="T76" s="667">
        <v>99.42</v>
      </c>
      <c r="U76" s="667">
        <v>20.059999999999999</v>
      </c>
      <c r="V76" s="667">
        <v>11.01</v>
      </c>
      <c r="W76" s="667">
        <v>1.6</v>
      </c>
      <c r="X76" s="667">
        <v>68.8</v>
      </c>
      <c r="Y76" s="667">
        <v>17.84</v>
      </c>
    </row>
    <row r="77" spans="1:25">
      <c r="P77" s="666">
        <v>22</v>
      </c>
      <c r="Q77" s="667">
        <v>15.1</v>
      </c>
      <c r="R77" s="667">
        <v>5.59</v>
      </c>
      <c r="S77" s="667">
        <v>118.58</v>
      </c>
      <c r="T77" s="667">
        <v>79.099999999999994</v>
      </c>
      <c r="U77" s="667">
        <v>16</v>
      </c>
      <c r="V77" s="667">
        <v>11</v>
      </c>
      <c r="W77" s="667">
        <v>1.01</v>
      </c>
      <c r="X77" s="667">
        <v>69.05</v>
      </c>
      <c r="Y77" s="667">
        <v>16.37</v>
      </c>
    </row>
    <row r="78" spans="1:25">
      <c r="P78" s="666">
        <v>23</v>
      </c>
      <c r="Q78" s="667">
        <v>14.28</v>
      </c>
      <c r="R78" s="667">
        <v>4.8499999999999996</v>
      </c>
      <c r="S78" s="667">
        <v>112.05</v>
      </c>
      <c r="T78" s="667">
        <v>63.27</v>
      </c>
      <c r="U78" s="667">
        <v>13.78</v>
      </c>
      <c r="V78" s="667">
        <v>11</v>
      </c>
      <c r="W78" s="667">
        <v>1.82</v>
      </c>
      <c r="X78" s="667">
        <v>54.09</v>
      </c>
      <c r="Y78" s="667">
        <v>13.15</v>
      </c>
    </row>
    <row r="79" spans="1:25">
      <c r="O79" s="665">
        <v>24</v>
      </c>
      <c r="P79" s="666">
        <v>24</v>
      </c>
      <c r="Q79" s="667">
        <v>13.3</v>
      </c>
      <c r="R79" s="667">
        <v>4.8499999999999996</v>
      </c>
      <c r="S79" s="667">
        <v>91.62</v>
      </c>
      <c r="T79" s="667">
        <v>49.79</v>
      </c>
      <c r="U79" s="667">
        <v>11.29</v>
      </c>
      <c r="V79" s="667">
        <v>11</v>
      </c>
      <c r="W79" s="667">
        <v>1.89</v>
      </c>
      <c r="X79" s="667">
        <v>45.31</v>
      </c>
      <c r="Y79" s="667">
        <v>10.85</v>
      </c>
    </row>
    <row r="80" spans="1:25">
      <c r="P80" s="666">
        <v>25</v>
      </c>
      <c r="Q80" s="667">
        <v>12.63</v>
      </c>
      <c r="R80" s="667">
        <v>3.77</v>
      </c>
      <c r="S80" s="667">
        <v>81.33</v>
      </c>
      <c r="T80" s="667">
        <v>46.74</v>
      </c>
      <c r="U80" s="667">
        <v>10.02</v>
      </c>
      <c r="V80" s="667">
        <v>11</v>
      </c>
      <c r="W80" s="667">
        <v>1.77</v>
      </c>
      <c r="X80" s="667">
        <v>40.42</v>
      </c>
      <c r="Y80" s="667">
        <v>8.98</v>
      </c>
    </row>
    <row r="81" spans="15:25">
      <c r="P81" s="666">
        <v>26</v>
      </c>
      <c r="Q81" s="667">
        <v>11.92</v>
      </c>
      <c r="R81" s="667">
        <v>3.77</v>
      </c>
      <c r="S81" s="667">
        <v>80.900000000000006</v>
      </c>
      <c r="T81" s="667">
        <v>41.45</v>
      </c>
      <c r="U81" s="667">
        <v>9.24</v>
      </c>
      <c r="V81" s="667">
        <v>12</v>
      </c>
      <c r="W81" s="667">
        <v>1.86</v>
      </c>
      <c r="X81" s="667">
        <v>37.89</v>
      </c>
      <c r="Y81" s="667">
        <v>9.41</v>
      </c>
    </row>
    <row r="82" spans="15:25">
      <c r="P82" s="666">
        <v>27</v>
      </c>
      <c r="Q82" s="667">
        <v>11.92</v>
      </c>
      <c r="R82" s="667">
        <v>3.91</v>
      </c>
      <c r="S82" s="667">
        <v>82.99</v>
      </c>
      <c r="T82" s="667">
        <v>60.31</v>
      </c>
      <c r="U82" s="667">
        <v>9.73</v>
      </c>
      <c r="V82" s="667">
        <v>12</v>
      </c>
      <c r="W82" s="667">
        <v>1.9</v>
      </c>
      <c r="X82" s="667">
        <v>38.229999999999997</v>
      </c>
      <c r="Y82" s="667">
        <v>8.58</v>
      </c>
    </row>
    <row r="83" spans="15:25">
      <c r="O83" s="665">
        <v>28</v>
      </c>
      <c r="P83" s="666">
        <v>28</v>
      </c>
      <c r="Q83" s="667">
        <v>11.04</v>
      </c>
      <c r="R83" s="667">
        <v>3.91</v>
      </c>
      <c r="S83" s="667">
        <v>71.739999999999995</v>
      </c>
      <c r="T83" s="667">
        <v>39.090000000000003</v>
      </c>
      <c r="U83" s="667">
        <v>8.42</v>
      </c>
      <c r="V83" s="667">
        <v>12</v>
      </c>
      <c r="W83" s="667">
        <v>1.65</v>
      </c>
      <c r="X83" s="667">
        <v>33.9</v>
      </c>
      <c r="Y83" s="667">
        <v>6.64</v>
      </c>
    </row>
    <row r="84" spans="15:25">
      <c r="P84" s="666">
        <v>29</v>
      </c>
      <c r="Q84" s="667">
        <v>10.27</v>
      </c>
      <c r="R84" s="667">
        <v>3.42</v>
      </c>
      <c r="S84" s="667">
        <v>67.8</v>
      </c>
      <c r="T84" s="667">
        <v>32.590000000000003</v>
      </c>
      <c r="U84" s="667">
        <v>7.7</v>
      </c>
      <c r="V84" s="667">
        <v>10.51</v>
      </c>
      <c r="W84" s="667">
        <v>1.79</v>
      </c>
      <c r="X84" s="667">
        <v>31.97</v>
      </c>
      <c r="Y84" s="667">
        <v>6.49</v>
      </c>
    </row>
    <row r="85" spans="15:25">
      <c r="P85" s="666">
        <v>30</v>
      </c>
      <c r="Q85" s="667">
        <v>9.4700000000000006</v>
      </c>
      <c r="R85" s="667">
        <v>3.42</v>
      </c>
      <c r="S85" s="667">
        <v>69.62</v>
      </c>
      <c r="T85" s="667">
        <v>28.39</v>
      </c>
      <c r="U85" s="667">
        <v>7.39</v>
      </c>
      <c r="V85" s="667">
        <v>12</v>
      </c>
      <c r="W85" s="667">
        <v>1.64</v>
      </c>
      <c r="X85" s="667">
        <v>31.76</v>
      </c>
      <c r="Y85" s="667">
        <v>6.15</v>
      </c>
    </row>
    <row r="86" spans="15:25">
      <c r="P86" s="666">
        <v>31</v>
      </c>
      <c r="Q86" s="667">
        <v>9.0500000000000007</v>
      </c>
      <c r="R86" s="667">
        <v>3.3</v>
      </c>
      <c r="S86" s="667">
        <v>61.71</v>
      </c>
      <c r="T86" s="667">
        <v>26.51</v>
      </c>
      <c r="U86" s="667">
        <v>7.02</v>
      </c>
      <c r="V86" s="667">
        <v>12</v>
      </c>
      <c r="W86" s="667">
        <v>1.87</v>
      </c>
      <c r="X86" s="667">
        <v>31.68</v>
      </c>
      <c r="Y86" s="667">
        <v>5.51</v>
      </c>
    </row>
    <row r="87" spans="15:25">
      <c r="O87" s="665">
        <v>32</v>
      </c>
      <c r="P87" s="666">
        <v>32</v>
      </c>
      <c r="Q87" s="667">
        <v>9.9</v>
      </c>
      <c r="R87" s="667">
        <v>2.68</v>
      </c>
      <c r="S87" s="667">
        <v>65.38</v>
      </c>
      <c r="T87" s="667">
        <v>24.1</v>
      </c>
      <c r="U87" s="667">
        <v>6.7</v>
      </c>
      <c r="V87" s="667">
        <v>12</v>
      </c>
      <c r="W87" s="667">
        <v>1.95</v>
      </c>
      <c r="X87" s="667">
        <v>31.01</v>
      </c>
      <c r="Y87" s="667">
        <v>5.16</v>
      </c>
    </row>
    <row r="88" spans="15:25">
      <c r="P88" s="666">
        <v>33</v>
      </c>
      <c r="Q88" s="667">
        <v>9.17</v>
      </c>
      <c r="R88" s="667">
        <v>2.4300000000000002</v>
      </c>
      <c r="S88" s="667">
        <v>59.63</v>
      </c>
      <c r="T88" s="667">
        <v>24.29</v>
      </c>
      <c r="U88" s="667">
        <v>6.44</v>
      </c>
      <c r="V88" s="667">
        <v>12</v>
      </c>
      <c r="W88" s="667">
        <v>1.82</v>
      </c>
      <c r="X88" s="667">
        <v>30.23</v>
      </c>
      <c r="Y88" s="667">
        <v>5.27</v>
      </c>
    </row>
    <row r="89" spans="15:25">
      <c r="P89" s="666">
        <v>34</v>
      </c>
      <c r="Q89" s="667">
        <v>7.78</v>
      </c>
      <c r="R89" s="667">
        <v>2.61</v>
      </c>
      <c r="S89" s="667">
        <v>60.62</v>
      </c>
      <c r="T89" s="667">
        <v>25.9</v>
      </c>
      <c r="U89" s="667">
        <v>6.62</v>
      </c>
      <c r="V89" s="667">
        <v>12</v>
      </c>
      <c r="W89" s="667">
        <v>1.89</v>
      </c>
      <c r="X89" s="667">
        <v>32.17</v>
      </c>
      <c r="Y89" s="667">
        <v>5.0599999999999996</v>
      </c>
    </row>
    <row r="90" spans="15:25">
      <c r="P90" s="666">
        <v>35</v>
      </c>
      <c r="Q90" s="667">
        <v>7.73</v>
      </c>
      <c r="R90" s="667">
        <v>3.07</v>
      </c>
      <c r="S90" s="667">
        <v>58.47</v>
      </c>
      <c r="T90" s="667">
        <v>26.33</v>
      </c>
      <c r="U90" s="667">
        <v>6.66</v>
      </c>
      <c r="V90" s="667">
        <v>12.14</v>
      </c>
      <c r="W90" s="667">
        <v>1.97</v>
      </c>
      <c r="X90" s="667">
        <v>31.63</v>
      </c>
      <c r="Y90" s="667">
        <v>4.84</v>
      </c>
    </row>
    <row r="91" spans="15:25">
      <c r="O91" s="665">
        <v>36</v>
      </c>
      <c r="P91" s="666">
        <v>36</v>
      </c>
      <c r="Q91" s="667">
        <v>7.1</v>
      </c>
      <c r="R91" s="667">
        <v>3.57</v>
      </c>
      <c r="S91" s="667">
        <v>61.13</v>
      </c>
      <c r="T91" s="667">
        <v>27.35</v>
      </c>
      <c r="U91" s="667">
        <v>6.84</v>
      </c>
      <c r="V91" s="667">
        <v>13</v>
      </c>
      <c r="W91" s="667">
        <v>1.76</v>
      </c>
      <c r="X91" s="667">
        <v>34.090000000000003</v>
      </c>
      <c r="Y91" s="667">
        <v>4.8899999999999997</v>
      </c>
    </row>
    <row r="92" spans="15:25">
      <c r="P92" s="666">
        <v>37</v>
      </c>
      <c r="Q92" s="667">
        <v>7.53</v>
      </c>
      <c r="R92" s="667">
        <v>5.04</v>
      </c>
      <c r="S92" s="667">
        <v>59.93</v>
      </c>
      <c r="T92" s="667">
        <v>34.56</v>
      </c>
      <c r="U92" s="667">
        <v>7.96</v>
      </c>
      <c r="V92" s="667">
        <v>13</v>
      </c>
      <c r="W92" s="667">
        <v>1.7</v>
      </c>
      <c r="X92" s="667">
        <v>38.06</v>
      </c>
      <c r="Y92" s="667">
        <v>8.4</v>
      </c>
    </row>
    <row r="93" spans="15:25">
      <c r="P93" s="666">
        <v>38</v>
      </c>
      <c r="Q93" s="667">
        <v>9.73</v>
      </c>
      <c r="R93" s="667">
        <v>3.75</v>
      </c>
      <c r="S93" s="667">
        <v>64.319999999999993</v>
      </c>
      <c r="T93" s="667">
        <v>41.74</v>
      </c>
      <c r="U93" s="667">
        <v>9.43</v>
      </c>
      <c r="V93" s="667">
        <v>13</v>
      </c>
      <c r="W93" s="667">
        <v>1.77</v>
      </c>
      <c r="X93" s="667">
        <v>41.12</v>
      </c>
      <c r="Y93" s="667">
        <v>6.42</v>
      </c>
    </row>
    <row r="94" spans="15:25">
      <c r="O94" s="665">
        <v>39</v>
      </c>
      <c r="P94" s="666">
        <v>39</v>
      </c>
      <c r="Q94" s="667">
        <v>7.21</v>
      </c>
      <c r="R94" s="667">
        <v>3.83</v>
      </c>
      <c r="S94" s="667">
        <v>66.83</v>
      </c>
      <c r="T94" s="667">
        <v>46.48</v>
      </c>
      <c r="U94" s="667">
        <v>7.93</v>
      </c>
      <c r="V94" s="667">
        <v>13</v>
      </c>
      <c r="W94" s="667">
        <v>1.99</v>
      </c>
      <c r="X94" s="667">
        <v>33.06</v>
      </c>
      <c r="Y94" s="667">
        <v>7.98</v>
      </c>
    </row>
    <row r="95" spans="15:25">
      <c r="P95" s="666">
        <v>40</v>
      </c>
      <c r="Q95" s="667">
        <v>6.89</v>
      </c>
      <c r="R95" s="667">
        <v>3.2</v>
      </c>
      <c r="S95" s="667">
        <v>56.32</v>
      </c>
      <c r="T95" s="667">
        <v>28.11</v>
      </c>
      <c r="U95" s="667">
        <v>6.02</v>
      </c>
      <c r="V95" s="667">
        <v>13</v>
      </c>
      <c r="W95" s="667">
        <v>1.48</v>
      </c>
      <c r="X95" s="667">
        <v>35.54</v>
      </c>
      <c r="Y95" s="667">
        <v>5.32</v>
      </c>
    </row>
    <row r="96" spans="15:25">
      <c r="P96" s="666">
        <v>41</v>
      </c>
      <c r="Q96" s="667">
        <v>7.51</v>
      </c>
      <c r="R96" s="667">
        <v>3.26</v>
      </c>
      <c r="S96" s="667">
        <v>57.18</v>
      </c>
      <c r="T96" s="667">
        <v>32.11</v>
      </c>
      <c r="U96" s="667">
        <v>6.5</v>
      </c>
      <c r="V96" s="667">
        <v>13</v>
      </c>
      <c r="W96" s="667">
        <v>1.53</v>
      </c>
      <c r="X96" s="667">
        <v>37.47</v>
      </c>
      <c r="Y96" s="667">
        <v>4.95</v>
      </c>
    </row>
    <row r="97" spans="14:25">
      <c r="P97" s="666">
        <v>42</v>
      </c>
      <c r="Q97" s="667">
        <v>7.92</v>
      </c>
      <c r="R97" s="667">
        <v>3.59</v>
      </c>
      <c r="S97" s="667">
        <v>71.87</v>
      </c>
      <c r="T97" s="667">
        <v>64.69</v>
      </c>
      <c r="U97" s="667">
        <v>9.44</v>
      </c>
      <c r="V97" s="667">
        <v>13</v>
      </c>
      <c r="W97" s="667">
        <v>1.93</v>
      </c>
      <c r="X97" s="667">
        <v>52.42</v>
      </c>
      <c r="Y97" s="667">
        <v>7.39</v>
      </c>
    </row>
    <row r="98" spans="14:25">
      <c r="O98" s="665">
        <v>43</v>
      </c>
      <c r="P98" s="666">
        <v>43</v>
      </c>
      <c r="Q98" s="667">
        <v>9.16</v>
      </c>
      <c r="R98" s="667">
        <v>3.99</v>
      </c>
      <c r="S98" s="667">
        <v>73.22</v>
      </c>
      <c r="T98" s="667">
        <v>71.16</v>
      </c>
      <c r="U98" s="667">
        <v>8.8800000000000008</v>
      </c>
      <c r="V98" s="667">
        <v>13</v>
      </c>
      <c r="W98" s="667">
        <v>1.69</v>
      </c>
      <c r="X98" s="667">
        <v>43.93</v>
      </c>
      <c r="Y98" s="667">
        <v>6.18</v>
      </c>
    </row>
    <row r="99" spans="14:25">
      <c r="P99" s="666">
        <v>44</v>
      </c>
      <c r="Q99" s="667">
        <v>8.81</v>
      </c>
      <c r="R99" s="667">
        <v>5.0199999999999996</v>
      </c>
      <c r="S99" s="667">
        <v>75.150000000000006</v>
      </c>
      <c r="T99" s="667">
        <v>62.33</v>
      </c>
      <c r="U99" s="667">
        <v>10.59</v>
      </c>
      <c r="V99" s="667">
        <v>13</v>
      </c>
      <c r="W99" s="667">
        <v>1.65</v>
      </c>
      <c r="X99" s="667">
        <v>40.229999999999997</v>
      </c>
      <c r="Y99" s="667">
        <v>8.7899999999999991</v>
      </c>
    </row>
    <row r="100" spans="14:25">
      <c r="P100" s="666">
        <v>45</v>
      </c>
      <c r="Q100" s="667">
        <v>8.3800000000000008</v>
      </c>
      <c r="R100" s="667">
        <v>4.2</v>
      </c>
      <c r="S100" s="667">
        <v>67.39</v>
      </c>
      <c r="T100" s="667">
        <v>61.76</v>
      </c>
      <c r="U100" s="667">
        <v>10.039999999999999</v>
      </c>
      <c r="V100" s="667">
        <v>13</v>
      </c>
      <c r="W100" s="667">
        <v>1.51</v>
      </c>
      <c r="X100" s="667">
        <v>41.85</v>
      </c>
      <c r="Y100" s="667">
        <v>11.45</v>
      </c>
    </row>
    <row r="101" spans="14:25">
      <c r="P101" s="666">
        <v>46</v>
      </c>
      <c r="Q101" s="667">
        <v>7.55</v>
      </c>
      <c r="R101" s="667">
        <v>3.7</v>
      </c>
      <c r="S101" s="667">
        <v>66.959999999999994</v>
      </c>
      <c r="T101" s="667">
        <v>66.040000000000006</v>
      </c>
      <c r="U101" s="667">
        <v>8.7799999999999994</v>
      </c>
      <c r="V101" s="667">
        <v>13</v>
      </c>
      <c r="W101" s="667">
        <v>1.65</v>
      </c>
      <c r="X101" s="667">
        <v>70.849999999999994</v>
      </c>
      <c r="Y101" s="667">
        <v>14.58</v>
      </c>
    </row>
    <row r="102" spans="14:25">
      <c r="P102" s="666">
        <v>47</v>
      </c>
      <c r="Q102" s="667">
        <v>7.39</v>
      </c>
      <c r="R102" s="667">
        <v>3.85</v>
      </c>
      <c r="S102" s="667">
        <v>67.72</v>
      </c>
      <c r="T102" s="667">
        <v>52.82</v>
      </c>
      <c r="U102" s="667">
        <v>7.81</v>
      </c>
      <c r="V102" s="667">
        <v>13</v>
      </c>
      <c r="W102" s="667">
        <v>1.6</v>
      </c>
      <c r="X102" s="667">
        <v>64.819999999999993</v>
      </c>
      <c r="Y102" s="667">
        <v>12.14</v>
      </c>
    </row>
    <row r="103" spans="14:25">
      <c r="O103" s="665">
        <v>48</v>
      </c>
      <c r="P103" s="666">
        <v>48</v>
      </c>
      <c r="Q103" s="667">
        <v>7.9678571564285718</v>
      </c>
      <c r="R103" s="667">
        <v>3.558142900428571</v>
      </c>
      <c r="S103" s="667">
        <v>77.366571698571434</v>
      </c>
      <c r="T103" s="667">
        <v>66.577285762857144</v>
      </c>
      <c r="U103" s="667">
        <v>9.1851428580000007</v>
      </c>
      <c r="V103" s="667">
        <v>13.005714417142858</v>
      </c>
      <c r="W103" s="667">
        <v>1.6</v>
      </c>
      <c r="X103" s="667">
        <v>47.846427917142854</v>
      </c>
      <c r="Y103" s="667">
        <v>12.516714369142859</v>
      </c>
    </row>
    <row r="104" spans="14:25">
      <c r="P104" s="666">
        <v>49</v>
      </c>
      <c r="Q104" s="667">
        <v>8.4875713758571436</v>
      </c>
      <c r="R104" s="667">
        <v>3.2600000074285718</v>
      </c>
      <c r="S104" s="667">
        <v>84.55585806714285</v>
      </c>
      <c r="T104" s="667">
        <v>72.732000077142857</v>
      </c>
      <c r="U104" s="667">
        <v>14.04828548342857</v>
      </c>
      <c r="V104" s="667">
        <v>13.002857208571429</v>
      </c>
      <c r="W104" s="667">
        <v>1.6</v>
      </c>
      <c r="X104" s="667">
        <v>57.322143555714298</v>
      </c>
      <c r="Y104" s="667">
        <v>18.826999800000003</v>
      </c>
    </row>
    <row r="105" spans="14:25">
      <c r="P105" s="666">
        <v>50</v>
      </c>
      <c r="Q105" s="667">
        <v>8.7257142747142868</v>
      </c>
      <c r="R105" s="667">
        <v>3.4628571441428577</v>
      </c>
      <c r="S105" s="667">
        <v>77.460142951428566</v>
      </c>
      <c r="T105" s="667">
        <v>64.097142899999994</v>
      </c>
      <c r="U105" s="667">
        <v>11.032857077571427</v>
      </c>
      <c r="V105" s="667">
        <v>13</v>
      </c>
      <c r="W105" s="667">
        <v>1.6000000240000001</v>
      </c>
      <c r="X105" s="667">
        <v>51.470714571428573</v>
      </c>
      <c r="Y105" s="667">
        <v>20.280285972857143</v>
      </c>
    </row>
    <row r="106" spans="14:25">
      <c r="P106" s="666">
        <v>51</v>
      </c>
      <c r="Q106" s="667">
        <v>9.7215715127142861</v>
      </c>
      <c r="R106" s="667">
        <v>4.2539999484285715</v>
      </c>
      <c r="S106" s="667">
        <v>78.166143688571424</v>
      </c>
      <c r="T106" s="667">
        <v>94.237856191428577</v>
      </c>
      <c r="U106" s="667">
        <v>14.381428445285712</v>
      </c>
      <c r="V106" s="667">
        <v>13.01285743857143</v>
      </c>
      <c r="W106" s="667">
        <v>1.6257142851428572</v>
      </c>
      <c r="X106" s="667">
        <v>65.58357184285714</v>
      </c>
      <c r="Y106" s="667">
        <v>34.849000112857141</v>
      </c>
    </row>
    <row r="107" spans="14:25">
      <c r="O107" s="665">
        <v>52</v>
      </c>
      <c r="P107" s="666">
        <v>52</v>
      </c>
      <c r="Q107" s="667">
        <v>10.323285784571427</v>
      </c>
      <c r="R107" s="667">
        <v>4.6457142829999993</v>
      </c>
      <c r="S107" s="667">
        <v>86.972714017142849</v>
      </c>
      <c r="T107" s="667">
        <v>94.357285634285716</v>
      </c>
      <c r="U107" s="667">
        <v>13.293999945714287</v>
      </c>
      <c r="V107" s="667">
        <v>13.09681579142857</v>
      </c>
      <c r="W107" s="667">
        <v>1.644999981</v>
      </c>
      <c r="X107" s="667">
        <v>104.27285767571428</v>
      </c>
      <c r="Y107" s="667">
        <v>35.335714887142856</v>
      </c>
    </row>
    <row r="108" spans="14:25">
      <c r="N108" s="665">
        <v>2018</v>
      </c>
      <c r="O108" s="665">
        <v>1</v>
      </c>
      <c r="P108" s="666">
        <v>1</v>
      </c>
      <c r="Q108" s="667">
        <v>10.34</v>
      </c>
      <c r="R108" s="667">
        <v>4.4628571428571426</v>
      </c>
      <c r="S108" s="667">
        <v>140.04142857142858</v>
      </c>
      <c r="T108" s="667">
        <v>143.09</v>
      </c>
      <c r="U108" s="667">
        <v>20.63</v>
      </c>
      <c r="V108" s="667">
        <v>13</v>
      </c>
      <c r="W108" s="667">
        <v>1.64</v>
      </c>
      <c r="X108" s="667">
        <v>201.2428571428571</v>
      </c>
      <c r="Y108" s="667">
        <v>63.23</v>
      </c>
    </row>
    <row r="109" spans="14:25">
      <c r="P109" s="666">
        <v>2</v>
      </c>
      <c r="Q109" s="667">
        <v>13.730999947142859</v>
      </c>
      <c r="R109" s="667">
        <v>3.5944285392857145</v>
      </c>
      <c r="S109" s="667">
        <v>209.91800362857143</v>
      </c>
      <c r="T109" s="667">
        <v>160.98214394285716</v>
      </c>
      <c r="U109" s="667">
        <v>36.213856559999996</v>
      </c>
      <c r="V109" s="667">
        <v>11.774285724285715</v>
      </c>
      <c r="W109" s="667">
        <v>1.5914286031428568</v>
      </c>
      <c r="X109" s="667">
        <v>229.4250030571429</v>
      </c>
      <c r="Y109" s="667">
        <v>56.654285431428562</v>
      </c>
    </row>
    <row r="110" spans="14:25">
      <c r="P110" s="666">
        <v>3</v>
      </c>
      <c r="Q110" s="667">
        <v>15.983285902857142</v>
      </c>
      <c r="R110" s="667">
        <v>8.3045714242857152</v>
      </c>
      <c r="S110" s="667">
        <v>223.6645725857143</v>
      </c>
      <c r="T110" s="667">
        <v>190.44042751428574</v>
      </c>
      <c r="U110" s="667">
        <v>30.819142750000001</v>
      </c>
      <c r="V110" s="667">
        <v>11.857142857142858</v>
      </c>
      <c r="W110" s="667">
        <v>1.5814286125714285</v>
      </c>
      <c r="X110" s="667">
        <v>261.56357028571426</v>
      </c>
      <c r="Y110" s="667">
        <v>68.516428267142857</v>
      </c>
    </row>
    <row r="111" spans="14:25">
      <c r="O111" s="665">
        <v>4</v>
      </c>
      <c r="P111" s="666">
        <v>4</v>
      </c>
      <c r="Q111" s="667">
        <v>21.988571574285714</v>
      </c>
      <c r="R111" s="667">
        <v>15.598142828000002</v>
      </c>
      <c r="S111" s="667">
        <v>346.88342720000003</v>
      </c>
      <c r="T111" s="667">
        <v>205.5832868285714</v>
      </c>
      <c r="U111" s="667">
        <v>40.893000467142862</v>
      </c>
      <c r="V111" s="667">
        <v>18.734285627142857</v>
      </c>
      <c r="W111" s="667">
        <v>1.5700000519999997</v>
      </c>
      <c r="X111" s="667">
        <v>261.98000009999998</v>
      </c>
      <c r="Y111" s="667">
        <v>58.935427530000005</v>
      </c>
    </row>
    <row r="112" spans="14:25">
      <c r="P112" s="666">
        <v>5</v>
      </c>
      <c r="Q112" s="667">
        <v>17.729000225714284</v>
      </c>
      <c r="R112" s="667">
        <v>13.724571365714285</v>
      </c>
      <c r="S112" s="667">
        <v>214.95928737142859</v>
      </c>
      <c r="T112" s="667">
        <v>93.607142857142861</v>
      </c>
      <c r="U112" s="667">
        <v>17.748285841428572</v>
      </c>
      <c r="V112" s="667">
        <v>23.390000208571426</v>
      </c>
      <c r="W112" s="667">
        <v>1.5700000519999997</v>
      </c>
      <c r="X112" s="667">
        <v>141.83571514285714</v>
      </c>
      <c r="Y112" s="667">
        <v>45.332857951428579</v>
      </c>
    </row>
    <row r="113" spans="15:25">
      <c r="P113" s="666">
        <v>6</v>
      </c>
      <c r="Q113" s="667">
        <v>13.582571572857143</v>
      </c>
      <c r="R113" s="667">
        <v>8.6634286477142854</v>
      </c>
      <c r="S113" s="667">
        <v>166.34242902857142</v>
      </c>
      <c r="T113" s="667">
        <v>108.25571334000001</v>
      </c>
      <c r="U113" s="667">
        <v>18.79157175142857</v>
      </c>
      <c r="V113" s="667">
        <v>20.201017107142857</v>
      </c>
      <c r="W113" s="667">
        <v>2.3694285491428571</v>
      </c>
      <c r="X113" s="667">
        <v>164.55714089999998</v>
      </c>
      <c r="Y113" s="667">
        <v>65.987571171428584</v>
      </c>
    </row>
    <row r="114" spans="15:25">
      <c r="P114" s="666">
        <v>7</v>
      </c>
      <c r="Q114" s="667">
        <v>14.722571237142859</v>
      </c>
      <c r="R114" s="667">
        <v>11.071428435428571</v>
      </c>
      <c r="S114" s="667">
        <v>239.50057330000001</v>
      </c>
      <c r="T114" s="667">
        <v>202.98199900000003</v>
      </c>
      <c r="U114" s="667">
        <v>42.088571821428573</v>
      </c>
      <c r="V114" s="667">
        <v>15.283185821428571</v>
      </c>
      <c r="W114" s="667">
        <v>3.1689999100000001</v>
      </c>
      <c r="X114" s="667">
        <v>355.31285748571423</v>
      </c>
      <c r="Y114" s="667">
        <v>97.722999031428586</v>
      </c>
    </row>
    <row r="115" spans="15:25">
      <c r="O115" s="665">
        <v>8</v>
      </c>
      <c r="P115" s="666">
        <v>8</v>
      </c>
      <c r="Q115" s="667">
        <v>18.48</v>
      </c>
      <c r="R115" s="667">
        <v>14.97</v>
      </c>
      <c r="S115" s="667">
        <v>357.61814662857148</v>
      </c>
      <c r="T115" s="667">
        <v>251.1</v>
      </c>
      <c r="U115" s="667">
        <v>43.74</v>
      </c>
      <c r="V115" s="667">
        <v>16.564</v>
      </c>
      <c r="W115" s="667">
        <v>3.16</v>
      </c>
      <c r="X115" s="667">
        <v>437.78</v>
      </c>
      <c r="Y115" s="667">
        <v>142.13</v>
      </c>
    </row>
    <row r="116" spans="15:25">
      <c r="P116" s="666">
        <v>9</v>
      </c>
      <c r="Q116" s="667">
        <v>21.652428627142854</v>
      </c>
      <c r="R116" s="667">
        <v>14.185285431142857</v>
      </c>
      <c r="S116" s="667">
        <v>333.90885488571433</v>
      </c>
      <c r="T116" s="667">
        <v>204.95843285714287</v>
      </c>
      <c r="U116" s="667">
        <v>31.755000522857138</v>
      </c>
      <c r="V116" s="667">
        <v>15.852976190476195</v>
      </c>
      <c r="W116" s="667">
        <v>3.1689999100000001</v>
      </c>
      <c r="X116" s="667">
        <v>424.14571271428576</v>
      </c>
      <c r="Y116" s="667">
        <v>142.13857270714286</v>
      </c>
    </row>
    <row r="117" spans="15:25">
      <c r="P117" s="666">
        <v>10</v>
      </c>
      <c r="Q117" s="667">
        <v>30.272714344285713</v>
      </c>
      <c r="R117" s="667">
        <v>17.434571538571429</v>
      </c>
      <c r="S117" s="667">
        <v>431.64157101428572</v>
      </c>
      <c r="T117" s="667">
        <v>177.15485925714287</v>
      </c>
      <c r="U117" s="667">
        <v>31.196571622857142</v>
      </c>
      <c r="V117" s="667">
        <v>14.442</v>
      </c>
      <c r="W117" s="667">
        <v>4.7437142644285712</v>
      </c>
      <c r="X117" s="667">
        <v>293.69142804285718</v>
      </c>
      <c r="Y117" s="667">
        <v>72.30971418</v>
      </c>
    </row>
    <row r="118" spans="15:25">
      <c r="P118" s="666">
        <v>11</v>
      </c>
      <c r="Q118" s="667">
        <v>28.071857179999999</v>
      </c>
      <c r="R118" s="667">
        <v>17.048571724285715</v>
      </c>
      <c r="S118" s="667">
        <v>485.98543439999997</v>
      </c>
      <c r="T118" s="667">
        <v>169.375</v>
      </c>
      <c r="U118" s="667">
        <v>52.626284462857136</v>
      </c>
      <c r="V118" s="667">
        <v>18.273</v>
      </c>
      <c r="W118" s="667">
        <v>3.0879999738571429</v>
      </c>
      <c r="X118" s="667">
        <v>511.54500034285724</v>
      </c>
      <c r="Y118" s="667">
        <v>119.7894287057143</v>
      </c>
    </row>
    <row r="119" spans="15:25">
      <c r="O119" s="665">
        <v>12</v>
      </c>
      <c r="P119" s="666">
        <v>12</v>
      </c>
      <c r="Q119" s="667">
        <v>29.90999984714286</v>
      </c>
      <c r="R119" s="667">
        <v>21.62</v>
      </c>
      <c r="S119" s="667">
        <v>465.24414497142863</v>
      </c>
      <c r="T119" s="667">
        <v>201.58328465714288</v>
      </c>
      <c r="U119" s="667">
        <v>57.669144221428567</v>
      </c>
      <c r="V119" s="667">
        <v>23.244</v>
      </c>
      <c r="W119" s="667">
        <v>4.5095714328571432</v>
      </c>
      <c r="X119" s="667">
        <v>433.89143152857145</v>
      </c>
      <c r="Y119" s="667">
        <v>152.80443028571429</v>
      </c>
    </row>
    <row r="120" spans="15:25">
      <c r="P120" s="666">
        <v>13</v>
      </c>
      <c r="Q120" s="667">
        <v>28.360142844285718</v>
      </c>
      <c r="R120" s="667">
        <v>17.439428465714283</v>
      </c>
      <c r="S120" s="667">
        <v>396.37686155714289</v>
      </c>
      <c r="T120" s="667">
        <v>163.75585502857143</v>
      </c>
      <c r="U120" s="667">
        <v>35.725570951428573</v>
      </c>
      <c r="V120" s="667">
        <v>23.143392837142859</v>
      </c>
      <c r="W120" s="667">
        <v>3.3929999999999998</v>
      </c>
      <c r="X120" s="667">
        <v>281.79928587142859</v>
      </c>
      <c r="Y120" s="667">
        <v>107.32928468714286</v>
      </c>
    </row>
    <row r="121" spans="15:25">
      <c r="P121" s="666">
        <v>14</v>
      </c>
      <c r="Q121" s="667">
        <v>23.830285752857144</v>
      </c>
      <c r="R121" s="667">
        <v>12.833285604571429</v>
      </c>
      <c r="S121" s="667">
        <v>226.32643345714288</v>
      </c>
      <c r="T121" s="667">
        <v>133.53585814285714</v>
      </c>
      <c r="U121" s="667">
        <v>28.622000282857147</v>
      </c>
      <c r="V121" s="667">
        <v>19.16</v>
      </c>
      <c r="W121" s="667">
        <v>1.736</v>
      </c>
      <c r="X121" s="667">
        <v>176.23214502857144</v>
      </c>
      <c r="Y121" s="667">
        <v>80.936570849999995</v>
      </c>
    </row>
    <row r="122" spans="15:25">
      <c r="P122" s="666">
        <v>15</v>
      </c>
      <c r="Q122" s="667">
        <v>27</v>
      </c>
      <c r="R122" s="667">
        <v>15.571285655714286</v>
      </c>
      <c r="S122" s="667">
        <v>207.40800040000002</v>
      </c>
      <c r="T122" s="667">
        <v>107.59514291428572</v>
      </c>
      <c r="U122" s="667">
        <v>30.753999982857145</v>
      </c>
      <c r="V122" s="667">
        <v>14.377143042857142</v>
      </c>
      <c r="W122" s="667">
        <v>1.8612856864285716</v>
      </c>
      <c r="X122" s="667">
        <v>130.09</v>
      </c>
      <c r="Y122" s="667">
        <v>42.693143572857146</v>
      </c>
    </row>
    <row r="123" spans="15:25">
      <c r="O123" s="665">
        <v>16</v>
      </c>
      <c r="P123" s="666">
        <v>16</v>
      </c>
      <c r="Q123" s="667">
        <v>19.899999999999999</v>
      </c>
      <c r="R123" s="667">
        <v>12.83</v>
      </c>
      <c r="S123" s="667">
        <v>166.38871437142856</v>
      </c>
      <c r="T123" s="667">
        <v>95.78</v>
      </c>
      <c r="U123" s="667">
        <v>29.88</v>
      </c>
      <c r="V123" s="667">
        <v>12.36</v>
      </c>
      <c r="W123" s="667">
        <v>1.9</v>
      </c>
      <c r="X123" s="667">
        <v>96.9</v>
      </c>
      <c r="Y123" s="667">
        <v>33.717142651428574</v>
      </c>
    </row>
    <row r="124" spans="15:25">
      <c r="P124" s="666">
        <v>17</v>
      </c>
      <c r="Q124" s="667">
        <v>19.14</v>
      </c>
      <c r="R124" s="667">
        <v>13.52</v>
      </c>
      <c r="S124" s="667">
        <v>168.19342804285716</v>
      </c>
      <c r="T124" s="667">
        <v>95.39</v>
      </c>
      <c r="U124" s="667">
        <v>22.257285525714284</v>
      </c>
      <c r="V124" s="667">
        <v>13.4</v>
      </c>
      <c r="W124" s="667">
        <v>1.7940000124285713</v>
      </c>
      <c r="X124" s="667">
        <v>89.59</v>
      </c>
      <c r="Y124" s="667">
        <v>27.06</v>
      </c>
    </row>
    <row r="125" spans="15:25">
      <c r="P125" s="666">
        <v>18</v>
      </c>
      <c r="Q125" s="667">
        <v>19.703571455714286</v>
      </c>
      <c r="R125" s="667">
        <v>14.166857039571427</v>
      </c>
      <c r="S125" s="667">
        <v>171.5428597714286</v>
      </c>
      <c r="T125" s="667">
        <v>85.958285739999994</v>
      </c>
      <c r="U125" s="667">
        <v>21.651714052857141</v>
      </c>
      <c r="V125" s="667">
        <v>12.785805702857145</v>
      </c>
      <c r="W125" s="667">
        <v>2.3024285860000004</v>
      </c>
      <c r="X125" s="667">
        <v>89.602142331428567</v>
      </c>
      <c r="Y125" s="667">
        <v>22.269714081428571</v>
      </c>
    </row>
    <row r="126" spans="15:25">
      <c r="P126" s="666">
        <v>19</v>
      </c>
      <c r="Q126" s="667">
        <v>15.48828561</v>
      </c>
      <c r="R126" s="667">
        <v>12.650857108142857</v>
      </c>
      <c r="S126" s="667">
        <v>146.54485865714287</v>
      </c>
      <c r="T126" s="667">
        <v>88.244000028571435</v>
      </c>
      <c r="U126" s="667">
        <v>19.037142890000002</v>
      </c>
      <c r="V126" s="667">
        <v>11.328391347142857</v>
      </c>
      <c r="W126" s="667">
        <v>1.8057142665714285</v>
      </c>
      <c r="X126" s="667">
        <v>75.568572998571426</v>
      </c>
      <c r="Y126" s="667">
        <v>17.565999711428571</v>
      </c>
    </row>
    <row r="127" spans="15:25">
      <c r="O127" s="665">
        <v>20</v>
      </c>
      <c r="P127" s="666">
        <v>20</v>
      </c>
      <c r="Q127" s="667">
        <v>14.601142882857145</v>
      </c>
      <c r="R127" s="667">
        <v>10.013285772</v>
      </c>
      <c r="S127" s="667">
        <v>112.76242937142857</v>
      </c>
      <c r="T127" s="667">
        <v>64.809571402857145</v>
      </c>
      <c r="U127" s="667">
        <v>16.531571660000001</v>
      </c>
      <c r="V127" s="667">
        <v>10.899261474285714</v>
      </c>
      <c r="W127" s="667">
        <v>1.7767143248571429</v>
      </c>
      <c r="X127" s="667">
        <v>62.208570752857149</v>
      </c>
      <c r="Y127" s="667">
        <v>14.502285821428572</v>
      </c>
    </row>
    <row r="128" spans="15:25">
      <c r="P128" s="666">
        <v>21</v>
      </c>
      <c r="Q128" s="667">
        <v>13.411285537142858</v>
      </c>
      <c r="R128" s="667">
        <v>7.8631429672857154</v>
      </c>
      <c r="S128" s="667">
        <v>94.636570517142857</v>
      </c>
      <c r="T128" s="667">
        <v>49.303714208571428</v>
      </c>
      <c r="U128" s="667">
        <v>13.450571468571427</v>
      </c>
      <c r="V128" s="667">
        <v>11.166911400000002</v>
      </c>
      <c r="W128" s="667">
        <v>1.8437143055714282</v>
      </c>
      <c r="X128" s="667">
        <v>54.38714218285714</v>
      </c>
      <c r="Y128" s="667">
        <v>12.214999879999999</v>
      </c>
    </row>
    <row r="129" spans="15:26">
      <c r="P129" s="666">
        <v>22</v>
      </c>
      <c r="Q129" s="667">
        <v>12.490285737142855</v>
      </c>
      <c r="R129" s="667">
        <v>6.4215714250000007</v>
      </c>
      <c r="S129" s="667">
        <v>81.718714031428576</v>
      </c>
      <c r="T129" s="667">
        <v>42.928571428571431</v>
      </c>
      <c r="U129" s="667">
        <v>11.897571562857141</v>
      </c>
      <c r="V129" s="667">
        <v>10.57333578442857</v>
      </c>
      <c r="W129" s="667">
        <v>1.8770000252857142</v>
      </c>
      <c r="X129" s="667">
        <v>48.837857382857138</v>
      </c>
      <c r="Y129" s="667">
        <v>10.894571441428569</v>
      </c>
    </row>
    <row r="130" spans="15:26">
      <c r="P130" s="666">
        <v>23</v>
      </c>
      <c r="Q130" s="667">
        <v>12.278000014285713</v>
      </c>
      <c r="R130" s="667">
        <v>5.5577142921428564</v>
      </c>
      <c r="S130" s="667">
        <v>83.760285512857152</v>
      </c>
      <c r="T130" s="667">
        <v>67.797571451428567</v>
      </c>
      <c r="U130" s="667">
        <v>15.801714215714284</v>
      </c>
      <c r="V130" s="667">
        <v>11.341294289999999</v>
      </c>
      <c r="W130" s="667">
        <v>1.7928571701428571</v>
      </c>
      <c r="X130" s="667">
        <v>58.175000328571436</v>
      </c>
      <c r="Y130" s="667">
        <v>13.860571451428571</v>
      </c>
    </row>
    <row r="131" spans="15:26">
      <c r="O131" s="665">
        <v>24</v>
      </c>
      <c r="P131" s="666">
        <v>24</v>
      </c>
      <c r="Q131" s="667">
        <v>10.882714271142857</v>
      </c>
      <c r="R131" s="667">
        <v>5.3317142215714286</v>
      </c>
      <c r="S131" s="667">
        <v>82.799001421428557</v>
      </c>
      <c r="T131" s="667">
        <v>63.982142857142854</v>
      </c>
      <c r="U131" s="667">
        <v>15.595999989999999</v>
      </c>
      <c r="V131" s="667">
        <v>11.96411841142857</v>
      </c>
      <c r="W131" s="667">
        <v>2.0252857377142854</v>
      </c>
      <c r="X131" s="667">
        <v>61.988572801428582</v>
      </c>
      <c r="Y131" s="667">
        <v>13.392856871428572</v>
      </c>
    </row>
    <row r="132" spans="15:26">
      <c r="P132" s="666">
        <v>25</v>
      </c>
      <c r="Q132" s="667">
        <v>10.290999957142857</v>
      </c>
      <c r="R132" s="667">
        <v>3.7498572211428569</v>
      </c>
      <c r="S132" s="667">
        <v>74.093855721428568</v>
      </c>
      <c r="T132" s="667">
        <v>53.035571505714287</v>
      </c>
      <c r="U132" s="667">
        <v>14.135857038571428</v>
      </c>
      <c r="V132" s="667">
        <v>11.79</v>
      </c>
      <c r="W132" s="667">
        <v>2.0514285564285717</v>
      </c>
      <c r="X132" s="667">
        <v>51.970714024285719</v>
      </c>
      <c r="Y132" s="667">
        <v>10.749428476857142</v>
      </c>
    </row>
    <row r="133" spans="15:26">
      <c r="P133" s="666">
        <v>26</v>
      </c>
      <c r="Q133" s="667">
        <v>9.5591429302857147</v>
      </c>
      <c r="R133" s="667">
        <v>3.5651427677142853</v>
      </c>
      <c r="S133" s="667">
        <v>66.795142037142867</v>
      </c>
      <c r="T133" s="667">
        <v>40.369000025714286</v>
      </c>
      <c r="U133" s="667">
        <v>10.912428581428573</v>
      </c>
      <c r="V133" s="667">
        <v>10.93</v>
      </c>
      <c r="W133" s="667">
        <v>2.1038571597142854</v>
      </c>
      <c r="X133" s="667">
        <v>44.390714371428579</v>
      </c>
      <c r="Y133" s="667">
        <v>9.1145714351428584</v>
      </c>
    </row>
    <row r="134" spans="15:26">
      <c r="P134" s="666">
        <v>27</v>
      </c>
      <c r="Q134" s="667">
        <v>9.3137141635714293</v>
      </c>
      <c r="R134" s="667">
        <v>4.7600000245714282</v>
      </c>
      <c r="S134" s="667">
        <v>67.368571689999996</v>
      </c>
      <c r="T134" s="667">
        <v>33.409999999999997</v>
      </c>
      <c r="U134" s="667">
        <v>9.4035714009999989</v>
      </c>
      <c r="V134" s="667">
        <v>12.51</v>
      </c>
      <c r="W134" s="667">
        <v>2.0499999999999998</v>
      </c>
      <c r="X134" s="667">
        <v>39.173571994285716</v>
      </c>
      <c r="Y134" s="667">
        <v>7.6487142698571438</v>
      </c>
    </row>
    <row r="135" spans="15:26">
      <c r="O135" s="665">
        <v>28</v>
      </c>
      <c r="P135" s="666">
        <v>28</v>
      </c>
      <c r="Q135" s="667">
        <v>8.7544284548571447</v>
      </c>
      <c r="R135" s="667">
        <v>2.5707143034285713</v>
      </c>
      <c r="S135" s="667">
        <v>65.073571887142847</v>
      </c>
      <c r="T135" s="667">
        <v>33.160714285714285</v>
      </c>
      <c r="U135" s="667">
        <v>9.4155716217142871</v>
      </c>
      <c r="V135" s="667">
        <v>12.3</v>
      </c>
      <c r="W135" s="667">
        <v>2.2505714212857142</v>
      </c>
      <c r="X135" s="667">
        <v>36.999285560000011</v>
      </c>
      <c r="Y135" s="667">
        <v>7.0544285774285713</v>
      </c>
    </row>
    <row r="136" spans="15:26">
      <c r="P136" s="666">
        <v>29</v>
      </c>
      <c r="Q136" s="667">
        <v>8.6149000000000004</v>
      </c>
      <c r="R136" s="667">
        <v>3.7006000000000001</v>
      </c>
      <c r="S136" s="667">
        <v>62.515714285714289</v>
      </c>
      <c r="T136" s="667">
        <v>35.738</v>
      </c>
      <c r="U136" s="667">
        <v>9.5503999999999998</v>
      </c>
      <c r="V136" s="667">
        <v>12.245714285714286</v>
      </c>
      <c r="W136" s="667">
        <v>1.9771428571428571</v>
      </c>
      <c r="X136" s="667">
        <v>38.677142857142861</v>
      </c>
      <c r="Y136" s="667">
        <v>6.3400000000000007</v>
      </c>
    </row>
    <row r="137" spans="15:26">
      <c r="P137" s="666">
        <v>30</v>
      </c>
      <c r="Q137" s="667">
        <v>8.1221428598571439</v>
      </c>
      <c r="R137" s="667">
        <v>4.9111429789999992</v>
      </c>
      <c r="S137" s="667">
        <v>57.148857115714286</v>
      </c>
      <c r="T137" s="667">
        <v>85.065429679999994</v>
      </c>
      <c r="U137" s="667">
        <v>15.534142631428571</v>
      </c>
      <c r="V137" s="667">
        <v>10.995952741142858</v>
      </c>
      <c r="W137" s="667">
        <v>2.2859999964285715</v>
      </c>
      <c r="X137" s="667">
        <v>56.166428702857139</v>
      </c>
      <c r="Y137" s="667">
        <v>9.4385714285714304</v>
      </c>
    </row>
    <row r="138" spans="15:26">
      <c r="P138" s="666">
        <v>31</v>
      </c>
      <c r="Q138" s="667">
        <v>7.5620000000000003</v>
      </c>
      <c r="R138" s="667">
        <v>3.28</v>
      </c>
      <c r="S138" s="667">
        <v>58.768000000000001</v>
      </c>
      <c r="T138" s="667">
        <v>40.375</v>
      </c>
      <c r="U138" s="667">
        <v>8.5579999999999998</v>
      </c>
      <c r="V138" s="667">
        <v>13.18</v>
      </c>
      <c r="W138" s="667">
        <v>2</v>
      </c>
      <c r="X138" s="667">
        <v>50.215000000000003</v>
      </c>
      <c r="Y138" s="667">
        <v>8.5770238095238049</v>
      </c>
    </row>
    <row r="139" spans="15:26">
      <c r="O139" s="665">
        <v>32</v>
      </c>
      <c r="P139" s="666">
        <v>32</v>
      </c>
      <c r="Q139" s="667">
        <v>8.4994284765714276</v>
      </c>
      <c r="R139" s="667">
        <v>4.8781427315714287</v>
      </c>
      <c r="S139" s="667">
        <v>54.703428540000004</v>
      </c>
      <c r="T139" s="667">
        <v>52.946428571428569</v>
      </c>
      <c r="U139" s="667">
        <v>10.739857128857144</v>
      </c>
      <c r="V139" s="667">
        <v>10.850328444285712</v>
      </c>
      <c r="W139" s="667">
        <v>2.0667142697142857</v>
      </c>
      <c r="X139" s="667">
        <v>50.460713522857141</v>
      </c>
      <c r="Y139" s="667">
        <v>9.7962856299999999</v>
      </c>
    </row>
    <row r="140" spans="15:26">
      <c r="P140" s="666">
        <v>33</v>
      </c>
      <c r="Q140" s="667">
        <v>7.8117142411428571</v>
      </c>
      <c r="R140" s="667">
        <v>4.5999999999999996</v>
      </c>
      <c r="S140" s="667">
        <v>59.066285269999995</v>
      </c>
      <c r="T140" s="667">
        <v>47.13</v>
      </c>
      <c r="U140" s="667">
        <v>9.23</v>
      </c>
      <c r="V140" s="667">
        <v>10.84</v>
      </c>
      <c r="W140" s="667">
        <v>2.0499999999999998</v>
      </c>
      <c r="X140" s="667">
        <v>44.64</v>
      </c>
      <c r="Y140" s="667">
        <v>8.7822855541428577</v>
      </c>
    </row>
    <row r="141" spans="15:26">
      <c r="P141" s="666">
        <v>34</v>
      </c>
      <c r="Q141" s="667">
        <v>6.44</v>
      </c>
      <c r="R141" s="667">
        <v>5.1568571165714285</v>
      </c>
      <c r="S141" s="667">
        <v>82.033571515714272</v>
      </c>
      <c r="T141" s="667">
        <v>63.892999920000001</v>
      </c>
      <c r="U141" s="667">
        <v>10.917285918714287</v>
      </c>
      <c r="V141" s="667">
        <v>10.534582955714285</v>
      </c>
      <c r="W141" s="667">
        <v>1.8788571358571429</v>
      </c>
      <c r="X141" s="667">
        <v>35.627857751428571</v>
      </c>
      <c r="Y141" s="667">
        <v>11.383714402571428</v>
      </c>
    </row>
    <row r="142" spans="15:26">
      <c r="P142" s="666">
        <v>35</v>
      </c>
      <c r="Q142" s="667">
        <v>7.5428571428571427</v>
      </c>
      <c r="R142" s="667">
        <v>2.15</v>
      </c>
      <c r="S142" s="667">
        <v>71.48</v>
      </c>
      <c r="T142" s="667">
        <v>45.64</v>
      </c>
      <c r="U142" s="667">
        <v>9.4700000000000006</v>
      </c>
      <c r="V142" s="667">
        <v>10.92</v>
      </c>
      <c r="W142" s="667">
        <v>1.88</v>
      </c>
      <c r="X142" s="667">
        <v>32.979999999999997</v>
      </c>
      <c r="Y142" s="667">
        <v>7.88</v>
      </c>
    </row>
    <row r="143" spans="15:26">
      <c r="O143" s="665">
        <v>36</v>
      </c>
      <c r="P143" s="666">
        <v>36</v>
      </c>
      <c r="Q143" s="667">
        <v>7.1671427998571433</v>
      </c>
      <c r="R143" s="667">
        <v>4.8342857142857136</v>
      </c>
      <c r="S143" s="667">
        <v>63.092857142857149</v>
      </c>
      <c r="T143" s="667">
        <v>34.571428571428569</v>
      </c>
      <c r="U143" s="667">
        <v>7.5942857142857134</v>
      </c>
      <c r="V143" s="667">
        <v>11.091428571428571</v>
      </c>
      <c r="W143" s="667">
        <v>1.8442857142857143</v>
      </c>
      <c r="X143" s="667">
        <v>31.20428571428571</v>
      </c>
      <c r="Y143" s="667">
        <v>8.0857142857142854</v>
      </c>
      <c r="Z143" s="737"/>
    </row>
    <row r="144" spans="15:26">
      <c r="P144" s="666">
        <v>37</v>
      </c>
      <c r="Q144" s="667">
        <v>7.1637143408571422</v>
      </c>
      <c r="R144" s="667">
        <v>3.1535714688571423</v>
      </c>
      <c r="S144" s="667">
        <v>61.141713821428574</v>
      </c>
      <c r="T144" s="667">
        <v>28.744000025714286</v>
      </c>
      <c r="U144" s="667">
        <v>6.5637142318571433</v>
      </c>
      <c r="V144" s="667">
        <v>10.825238499999999</v>
      </c>
      <c r="W144" s="667">
        <v>1.8114285809999999</v>
      </c>
      <c r="X144" s="667">
        <v>29.614285605714283</v>
      </c>
      <c r="Y144" s="667">
        <v>8.6452856064285708</v>
      </c>
    </row>
    <row r="145" spans="15:25">
      <c r="P145" s="666">
        <v>38</v>
      </c>
      <c r="Q145" s="667">
        <v>8.31</v>
      </c>
      <c r="R145" s="667">
        <v>3.3441428289999995</v>
      </c>
      <c r="S145" s="667">
        <v>49.664428712857145</v>
      </c>
      <c r="T145" s="667">
        <v>35.571571351428574</v>
      </c>
      <c r="U145" s="667">
        <v>7.2939999444285712</v>
      </c>
      <c r="V145" s="667">
        <v>11.159824370000001</v>
      </c>
      <c r="W145" s="667">
        <v>1.8427142925714282</v>
      </c>
      <c r="X145" s="667">
        <v>30.912857054285716</v>
      </c>
      <c r="Y145" s="667">
        <v>8.6452856064285708</v>
      </c>
    </row>
    <row r="146" spans="15:25">
      <c r="P146" s="666">
        <v>39</v>
      </c>
      <c r="Q146" s="667">
        <v>7.621428489714285</v>
      </c>
      <c r="R146" s="667">
        <v>4.6500000000000004</v>
      </c>
      <c r="S146" s="667">
        <v>42.24</v>
      </c>
      <c r="T146" s="667">
        <v>39.39</v>
      </c>
      <c r="U146" s="667">
        <v>7.68</v>
      </c>
      <c r="V146" s="667">
        <v>11.33</v>
      </c>
      <c r="W146" s="667">
        <v>1.64</v>
      </c>
      <c r="X146" s="667">
        <v>37.200000000000003</v>
      </c>
      <c r="Y146" s="667">
        <v>7.4194285528571422</v>
      </c>
    </row>
    <row r="147" spans="15:25">
      <c r="O147" s="665">
        <v>40</v>
      </c>
      <c r="P147" s="666">
        <v>40</v>
      </c>
      <c r="Q147" s="667">
        <v>7.621428489714285</v>
      </c>
      <c r="R147" s="667">
        <v>5.128571373571428</v>
      </c>
      <c r="S147" s="667">
        <v>38.906285422857138</v>
      </c>
      <c r="T147" s="667">
        <v>41.34000069857143</v>
      </c>
      <c r="U147" s="667">
        <v>9.112857137571428</v>
      </c>
      <c r="V147" s="667">
        <v>11.565001485714285</v>
      </c>
      <c r="W147" s="667">
        <v>1.8221428395714285</v>
      </c>
      <c r="X147" s="667">
        <v>42.197143011428572</v>
      </c>
      <c r="Y147" s="667">
        <v>9.6005713597142837</v>
      </c>
    </row>
    <row r="148" spans="15:25">
      <c r="Q148" s="736" t="s">
        <v>302</v>
      </c>
      <c r="R148" s="736" t="s">
        <v>303</v>
      </c>
      <c r="S148" s="736" t="s">
        <v>304</v>
      </c>
      <c r="T148" s="736" t="s">
        <v>305</v>
      </c>
      <c r="U148" s="736" t="s">
        <v>306</v>
      </c>
      <c r="V148" s="736" t="s">
        <v>307</v>
      </c>
      <c r="W148" s="736" t="s">
        <v>308</v>
      </c>
      <c r="X148" s="736" t="s">
        <v>309</v>
      </c>
      <c r="Y148" s="736" t="s">
        <v>310</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O59"/>
  <sheetViews>
    <sheetView showGridLines="0" view="pageBreakPreview" zoomScale="145" zoomScaleNormal="100" zoomScaleSheetLayoutView="145" zoomScalePageLayoutView="160" workbookViewId="0">
      <selection activeCell="G27" sqref="G27"/>
    </sheetView>
  </sheetViews>
  <sheetFormatPr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2" width="9.33203125" style="3"/>
    <col min="13" max="13" width="20.5" style="641" customWidth="1"/>
    <col min="14" max="15" width="9.33203125" style="640"/>
    <col min="16" max="16384" width="9.33203125" style="3"/>
  </cols>
  <sheetData>
    <row r="1" spans="1:15" ht="11.25" customHeight="1"/>
    <row r="2" spans="1:15" ht="11.25" customHeight="1">
      <c r="A2" s="936" t="s">
        <v>490</v>
      </c>
      <c r="B2" s="936"/>
      <c r="C2" s="936"/>
      <c r="D2" s="936"/>
      <c r="E2" s="936"/>
      <c r="F2" s="936"/>
      <c r="G2" s="936"/>
      <c r="H2" s="936"/>
      <c r="I2" s="936"/>
      <c r="J2" s="936"/>
      <c r="K2" s="936"/>
    </row>
    <row r="3" spans="1:15" ht="11.25" customHeight="1">
      <c r="A3" s="238"/>
      <c r="B3" s="238"/>
      <c r="C3" s="238"/>
      <c r="D3" s="238"/>
      <c r="E3" s="238"/>
      <c r="F3" s="238"/>
      <c r="G3" s="238"/>
      <c r="H3" s="238"/>
      <c r="I3" s="238"/>
      <c r="J3" s="238"/>
      <c r="K3" s="547"/>
      <c r="L3" s="45"/>
    </row>
    <row r="4" spans="1:15" ht="11.25" customHeight="1">
      <c r="A4" s="921" t="s">
        <v>491</v>
      </c>
      <c r="B4" s="921"/>
      <c r="C4" s="921"/>
      <c r="D4" s="921"/>
      <c r="E4" s="921"/>
      <c r="F4" s="921"/>
      <c r="G4" s="921"/>
      <c r="H4" s="921"/>
      <c r="I4" s="239"/>
      <c r="J4" s="239"/>
      <c r="L4" s="45"/>
    </row>
    <row r="5" spans="1:15" ht="7.5" customHeight="1">
      <c r="A5" s="240"/>
      <c r="B5" s="240"/>
      <c r="C5" s="240"/>
      <c r="D5" s="240"/>
      <c r="E5" s="240"/>
      <c r="F5" s="240"/>
      <c r="G5" s="240"/>
      <c r="H5" s="240"/>
      <c r="I5" s="240"/>
      <c r="J5" s="240"/>
      <c r="L5" s="10"/>
    </row>
    <row r="6" spans="1:15" ht="11.25" customHeight="1">
      <c r="A6" s="240"/>
      <c r="B6" s="244" t="s">
        <v>492</v>
      </c>
      <c r="C6" s="240"/>
      <c r="D6" s="240"/>
      <c r="E6" s="240"/>
      <c r="F6" s="240"/>
      <c r="G6" s="240"/>
      <c r="H6" s="240"/>
      <c r="I6" s="240"/>
      <c r="J6" s="240"/>
      <c r="L6" s="20"/>
    </row>
    <row r="7" spans="1:15" ht="7.5" customHeight="1">
      <c r="A7" s="240"/>
      <c r="B7" s="241"/>
      <c r="C7" s="240"/>
      <c r="D7" s="240"/>
      <c r="E7" s="240"/>
      <c r="F7" s="240"/>
      <c r="G7" s="240"/>
      <c r="H7" s="240"/>
      <c r="I7" s="240"/>
      <c r="J7" s="240"/>
      <c r="L7" s="16"/>
    </row>
    <row r="8" spans="1:15" ht="21" customHeight="1">
      <c r="A8" s="240"/>
      <c r="B8" s="807" t="s">
        <v>175</v>
      </c>
      <c r="C8" s="808" t="s">
        <v>176</v>
      </c>
      <c r="D8" s="808" t="s">
        <v>177</v>
      </c>
      <c r="E8" s="808" t="s">
        <v>180</v>
      </c>
      <c r="F8" s="808" t="s">
        <v>179</v>
      </c>
      <c r="G8" s="809" t="s">
        <v>178</v>
      </c>
      <c r="H8" s="249"/>
      <c r="I8" s="249"/>
      <c r="J8" s="249"/>
      <c r="L8" s="34"/>
      <c r="M8" s="642" t="s">
        <v>176</v>
      </c>
      <c r="N8" s="643" t="str">
        <f>M8&amp;"
 ("&amp;ROUND(HLOOKUP(M8,$C$8:$G$9,2,0),2)&amp;"   USD/MWh)"</f>
        <v>PIURA OESTE 220
 (10.12   USD/MWh)</v>
      </c>
    </row>
    <row r="9" spans="1:15" ht="18" customHeight="1">
      <c r="A9" s="240"/>
      <c r="B9" s="810" t="s">
        <v>181</v>
      </c>
      <c r="C9" s="386">
        <v>10.124580916447947</v>
      </c>
      <c r="D9" s="386">
        <v>10.077263883631147</v>
      </c>
      <c r="E9" s="386">
        <v>9.9885642884783845</v>
      </c>
      <c r="F9" s="386">
        <v>9.8592989675869696</v>
      </c>
      <c r="G9" s="386">
        <v>9.7906357884951998</v>
      </c>
      <c r="H9" s="249"/>
      <c r="I9" s="249"/>
      <c r="J9" s="249"/>
      <c r="K9" s="249"/>
      <c r="L9" s="29"/>
      <c r="M9" s="642" t="s">
        <v>177</v>
      </c>
      <c r="N9" s="643" t="str">
        <f>M9&amp;"
("&amp;ROUND(HLOOKUP(M9,$C$8:$G$9,2,0),2)&amp;" USD/MWh)"</f>
        <v>CHICLAYO 220
(10.08 USD/MWh)</v>
      </c>
    </row>
    <row r="10" spans="1:15" ht="14.25" customHeight="1">
      <c r="A10" s="240"/>
      <c r="B10" s="958" t="str">
        <f>"Cuadro N°11: Valor de los costos marginales medios registrados en las principales barras del área norte durante el mes de "&amp;'1. Resumen'!Q4</f>
        <v>Cuadro N°11: Valor de los costos marginales medios registrados en las principales barras del área norte durante el mes de setiembre</v>
      </c>
      <c r="C10" s="958"/>
      <c r="D10" s="958"/>
      <c r="E10" s="958"/>
      <c r="F10" s="958"/>
      <c r="G10" s="958"/>
      <c r="H10" s="958"/>
      <c r="I10" s="958"/>
      <c r="J10" s="249"/>
      <c r="K10" s="249"/>
      <c r="L10" s="29"/>
      <c r="M10" s="642" t="s">
        <v>179</v>
      </c>
      <c r="N10" s="643" t="str">
        <f>M10&amp;"
("&amp;ROUND(HLOOKUP(M10,$C$8:$G$9,2,0),2)&amp;" USD/MWh)"</f>
        <v>TRUJILLO 220
(9.86 USD/MWh)</v>
      </c>
    </row>
    <row r="11" spans="1:15" ht="11.25" customHeight="1">
      <c r="A11" s="240"/>
      <c r="B11" s="250"/>
      <c r="C11" s="249"/>
      <c r="D11" s="249"/>
      <c r="E11" s="249"/>
      <c r="F11" s="249"/>
      <c r="G11" s="249"/>
      <c r="H11" s="249"/>
      <c r="I11" s="249"/>
      <c r="J11" s="249"/>
      <c r="K11" s="249"/>
      <c r="L11" s="29"/>
      <c r="M11" s="642" t="s">
        <v>178</v>
      </c>
      <c r="N11" s="643" t="str">
        <f>M11&amp;"
("&amp;ROUND(HLOOKUP(M11,$C$8:$G$9,2,0),2)&amp;" USD/MWh)"</f>
        <v>CHIMBOTE1 138
(9.79 USD/MWh)</v>
      </c>
    </row>
    <row r="12" spans="1:15" ht="11.25" customHeight="1">
      <c r="A12" s="240"/>
      <c r="B12" s="249"/>
      <c r="C12" s="249"/>
      <c r="D12" s="249"/>
      <c r="E12" s="249"/>
      <c r="F12" s="249"/>
      <c r="G12" s="249"/>
      <c r="H12" s="249"/>
      <c r="I12" s="249"/>
      <c r="J12" s="249"/>
      <c r="K12" s="249"/>
      <c r="L12" s="31"/>
      <c r="M12" s="642" t="s">
        <v>180</v>
      </c>
      <c r="N12" s="643" t="str">
        <f>M12&amp;"
("&amp;ROUND(HLOOKUP(M12,$C$8:$G$9,2,0),2)&amp;" USD/MWh)"</f>
        <v>CAJAMARCA 220
(9.99 USD/MWh)</v>
      </c>
    </row>
    <row r="13" spans="1:15" ht="11.25" customHeight="1">
      <c r="A13" s="240"/>
      <c r="B13" s="249"/>
      <c r="C13" s="249"/>
      <c r="D13" s="249"/>
      <c r="E13" s="249"/>
      <c r="F13" s="249"/>
      <c r="G13" s="249"/>
      <c r="H13" s="249"/>
      <c r="I13" s="249"/>
      <c r="J13" s="249"/>
      <c r="K13" s="249"/>
      <c r="L13" s="34"/>
      <c r="M13" s="642"/>
      <c r="N13" s="643"/>
      <c r="O13" s="642"/>
    </row>
    <row r="14" spans="1:15" ht="11.25" customHeight="1">
      <c r="A14" s="240"/>
      <c r="B14" s="249"/>
      <c r="C14" s="249"/>
      <c r="D14" s="249"/>
      <c r="E14" s="249"/>
      <c r="F14" s="249"/>
      <c r="G14" s="249"/>
      <c r="H14" s="249"/>
      <c r="I14" s="249"/>
      <c r="J14" s="249"/>
      <c r="K14" s="249"/>
      <c r="L14" s="29"/>
      <c r="M14" s="642" t="s">
        <v>183</v>
      </c>
      <c r="N14" s="643" t="str">
        <f t="shared" ref="N14:N20" si="0">M14&amp;"
("&amp;ROUND(HLOOKUP(M14,$C$26:$I$27,2,0),2)&amp;" USD/MWh)"</f>
        <v>CHAVARRIA 220
(9.4 USD/MWh)</v>
      </c>
    </row>
    <row r="15" spans="1:15" ht="11.25" customHeight="1">
      <c r="A15" s="240"/>
      <c r="B15" s="249"/>
      <c r="C15" s="249"/>
      <c r="D15" s="249"/>
      <c r="E15" s="249"/>
      <c r="F15" s="249"/>
      <c r="G15" s="249"/>
      <c r="H15" s="249"/>
      <c r="I15" s="249"/>
      <c r="J15" s="249"/>
      <c r="K15" s="249"/>
      <c r="L15" s="29"/>
      <c r="M15" s="642" t="s">
        <v>185</v>
      </c>
      <c r="N15" s="643" t="str">
        <f t="shared" si="0"/>
        <v>INDEPENDENCIA 220
(9.42 USD/MWh)</v>
      </c>
    </row>
    <row r="16" spans="1:15" ht="11.25" customHeight="1">
      <c r="A16" s="240"/>
      <c r="B16" s="249"/>
      <c r="C16" s="249"/>
      <c r="D16" s="249"/>
      <c r="E16" s="249"/>
      <c r="F16" s="249"/>
      <c r="G16" s="249"/>
      <c r="H16" s="249"/>
      <c r="I16" s="249"/>
      <c r="J16" s="249"/>
      <c r="K16" s="249"/>
      <c r="L16" s="29"/>
      <c r="M16" s="642" t="s">
        <v>186</v>
      </c>
      <c r="N16" s="643" t="str">
        <f t="shared" si="0"/>
        <v>CARABAYLLO 220
(9.39 USD/MWh)</v>
      </c>
    </row>
    <row r="17" spans="1:14" ht="11.25" customHeight="1">
      <c r="A17" s="240"/>
      <c r="B17" s="249"/>
      <c r="C17" s="249"/>
      <c r="D17" s="249"/>
      <c r="E17" s="249"/>
      <c r="F17" s="249"/>
      <c r="G17" s="249"/>
      <c r="H17" s="249"/>
      <c r="I17" s="249"/>
      <c r="J17" s="249"/>
      <c r="K17" s="249"/>
      <c r="L17" s="29"/>
      <c r="M17" s="642" t="s">
        <v>182</v>
      </c>
      <c r="N17" s="643" t="str">
        <f t="shared" si="0"/>
        <v>SANTA ROSA 220
(9.38 USD/MWh)</v>
      </c>
    </row>
    <row r="18" spans="1:14" ht="11.25" customHeight="1">
      <c r="A18" s="240"/>
      <c r="B18" s="249"/>
      <c r="C18" s="249"/>
      <c r="D18" s="249"/>
      <c r="E18" s="249"/>
      <c r="F18" s="249"/>
      <c r="G18" s="249"/>
      <c r="H18" s="249"/>
      <c r="I18" s="249"/>
      <c r="J18" s="249"/>
      <c r="K18" s="249"/>
      <c r="L18" s="29"/>
      <c r="M18" s="642" t="s">
        <v>184</v>
      </c>
      <c r="N18" s="643" t="str">
        <f t="shared" si="0"/>
        <v>SAN JUAN 220
(9.32 USD/MWh)</v>
      </c>
    </row>
    <row r="19" spans="1:14" ht="11.25" customHeight="1">
      <c r="A19" s="240"/>
      <c r="B19" s="249"/>
      <c r="C19" s="249"/>
      <c r="D19" s="249"/>
      <c r="E19" s="249"/>
      <c r="F19" s="249"/>
      <c r="G19" s="249"/>
      <c r="H19" s="249"/>
      <c r="I19" s="249"/>
      <c r="J19" s="249"/>
      <c r="K19" s="249"/>
      <c r="L19" s="39"/>
      <c r="M19" s="642" t="s">
        <v>187</v>
      </c>
      <c r="N19" s="643" t="str">
        <f t="shared" si="0"/>
        <v>POMACOCHA 220
(9.31 USD/MWh)</v>
      </c>
    </row>
    <row r="20" spans="1:14" ht="11.25" customHeight="1">
      <c r="A20" s="240"/>
      <c r="B20" s="247"/>
      <c r="C20" s="247"/>
      <c r="D20" s="247"/>
      <c r="E20" s="247"/>
      <c r="F20" s="247"/>
      <c r="G20" s="249"/>
      <c r="H20" s="249"/>
      <c r="I20" s="249"/>
      <c r="J20" s="249"/>
      <c r="K20" s="249"/>
      <c r="L20" s="29"/>
      <c r="M20" s="642" t="s">
        <v>188</v>
      </c>
      <c r="N20" s="643" t="str">
        <f t="shared" si="0"/>
        <v>OROYA NUEVA 50
(9.39 USD/MWh)</v>
      </c>
    </row>
    <row r="21" spans="1:14" ht="11.25" customHeight="1">
      <c r="A21" s="240"/>
      <c r="B21" s="959" t="str">
        <f>"Gráfico N°20: Costos marginales medios registrados en las principales barras del área norte durante el mes de "&amp;'1. Resumen'!Q4</f>
        <v>Gráfico N°20: Costos marginales medios registrados en las principales barras del área norte durante el mes de setiembre</v>
      </c>
      <c r="C21" s="959"/>
      <c r="D21" s="959"/>
      <c r="E21" s="959"/>
      <c r="F21" s="959"/>
      <c r="G21" s="959"/>
      <c r="H21" s="959"/>
      <c r="I21" s="959"/>
      <c r="J21" s="249"/>
      <c r="K21" s="249"/>
      <c r="L21" s="29"/>
      <c r="M21" s="642"/>
      <c r="N21" s="643"/>
    </row>
    <row r="22" spans="1:14" ht="7.5" customHeight="1">
      <c r="A22" s="240"/>
      <c r="B22" s="242"/>
      <c r="C22" s="242"/>
      <c r="D22" s="242"/>
      <c r="E22" s="242"/>
      <c r="F22" s="242"/>
      <c r="G22" s="240"/>
      <c r="H22" s="240"/>
      <c r="I22" s="240"/>
      <c r="J22" s="240"/>
      <c r="K22" s="240"/>
      <c r="L22" s="20"/>
      <c r="M22" s="642"/>
      <c r="N22" s="643"/>
    </row>
    <row r="23" spans="1:14" ht="11.25" customHeight="1">
      <c r="A23" s="240"/>
      <c r="B23" s="242"/>
      <c r="C23" s="242"/>
      <c r="D23" s="242"/>
      <c r="E23" s="242"/>
      <c r="F23" s="242"/>
      <c r="G23" s="240"/>
      <c r="H23" s="240"/>
      <c r="I23" s="240"/>
      <c r="J23" s="240"/>
      <c r="K23" s="240"/>
      <c r="L23" s="22"/>
      <c r="M23" s="642" t="s">
        <v>189</v>
      </c>
      <c r="N23" s="643" t="str">
        <f t="shared" ref="N23:N29" si="1">M23&amp;"
("&amp;ROUND(HLOOKUP(M23,$C$45:$I$46,2,0),2)&amp;" USD/MWh)"</f>
        <v>TINTAYA NUEVA 220
(10.45 USD/MWh)</v>
      </c>
    </row>
    <row r="24" spans="1:14" ht="11.25" customHeight="1">
      <c r="A24" s="240"/>
      <c r="B24" s="245" t="s">
        <v>493</v>
      </c>
      <c r="C24" s="242"/>
      <c r="D24" s="242"/>
      <c r="E24" s="242"/>
      <c r="F24" s="242"/>
      <c r="G24" s="240"/>
      <c r="H24" s="240"/>
      <c r="I24" s="240"/>
      <c r="J24" s="240"/>
      <c r="K24" s="240"/>
      <c r="L24" s="20"/>
      <c r="M24" s="642" t="s">
        <v>190</v>
      </c>
      <c r="N24" s="643" t="str">
        <f t="shared" si="1"/>
        <v>PUNO 138
(10.18 USD/MWh)</v>
      </c>
    </row>
    <row r="25" spans="1:14" ht="6.75" customHeight="1">
      <c r="A25" s="240"/>
      <c r="B25" s="242"/>
      <c r="C25" s="242"/>
      <c r="D25" s="242"/>
      <c r="E25" s="242"/>
      <c r="F25" s="242"/>
      <c r="G25" s="240"/>
      <c r="H25" s="240"/>
      <c r="I25" s="240"/>
      <c r="J25" s="240"/>
      <c r="K25" s="240"/>
      <c r="L25" s="20"/>
      <c r="M25" s="642" t="s">
        <v>191</v>
      </c>
      <c r="N25" s="643" t="str">
        <f t="shared" si="1"/>
        <v>SOCABAYA 220
(10.05 USD/MWh)</v>
      </c>
    </row>
    <row r="26" spans="1:14" ht="25.5" customHeight="1">
      <c r="A26" s="240"/>
      <c r="B26" s="811" t="s">
        <v>175</v>
      </c>
      <c r="C26" s="808" t="s">
        <v>185</v>
      </c>
      <c r="D26" s="808" t="s">
        <v>183</v>
      </c>
      <c r="E26" s="808" t="s">
        <v>188</v>
      </c>
      <c r="F26" s="808" t="s">
        <v>186</v>
      </c>
      <c r="G26" s="808" t="s">
        <v>182</v>
      </c>
      <c r="H26" s="808" t="s">
        <v>184</v>
      </c>
      <c r="I26" s="809" t="s">
        <v>187</v>
      </c>
      <c r="J26" s="246"/>
      <c r="K26" s="249"/>
      <c r="L26" s="29"/>
      <c r="M26" s="642" t="s">
        <v>192</v>
      </c>
      <c r="N26" s="643" t="str">
        <f t="shared" si="1"/>
        <v>MOQUEGUA 138
(10.01 USD/MWh)</v>
      </c>
    </row>
    <row r="27" spans="1:14" ht="18" customHeight="1">
      <c r="A27" s="240"/>
      <c r="B27" s="812" t="s">
        <v>181</v>
      </c>
      <c r="C27" s="386">
        <v>9.4189701725385628</v>
      </c>
      <c r="D27" s="386">
        <v>9.3959114065969853</v>
      </c>
      <c r="E27" s="386">
        <v>9.3923942520105719</v>
      </c>
      <c r="F27" s="386">
        <v>9.3877916786543469</v>
      </c>
      <c r="G27" s="386">
        <v>9.3824278543307198</v>
      </c>
      <c r="H27" s="386">
        <v>9.3207255417591828</v>
      </c>
      <c r="I27" s="386">
        <v>9.312992240182755</v>
      </c>
      <c r="J27" s="248"/>
      <c r="K27" s="249"/>
      <c r="L27" s="29"/>
      <c r="M27" s="642" t="s">
        <v>193</v>
      </c>
      <c r="N27" s="643" t="str">
        <f t="shared" si="1"/>
        <v>DOLORESPATA 138
(9.95 USD/MWh)</v>
      </c>
    </row>
    <row r="28" spans="1:14" ht="19.5" customHeight="1">
      <c r="A28" s="240"/>
      <c r="B28" s="960" t="str">
        <f>"Cuadro N°12: Valor de los costos marginales medios registrados en las principales barras del área centro durante el mes de "&amp;'1. Resumen'!Q4</f>
        <v>Cuadro N°12: Valor de los costos marginales medios registrados en las principales barras del área centro durante el mes de setiembre</v>
      </c>
      <c r="C28" s="960"/>
      <c r="D28" s="960"/>
      <c r="E28" s="960"/>
      <c r="F28" s="960"/>
      <c r="G28" s="960"/>
      <c r="H28" s="960"/>
      <c r="I28" s="960"/>
      <c r="J28" s="249"/>
      <c r="K28" s="249"/>
      <c r="L28" s="29"/>
      <c r="M28" s="642" t="s">
        <v>194</v>
      </c>
      <c r="N28" s="643" t="str">
        <f t="shared" si="1"/>
        <v>COTARUSE 220
(9.75 USD/MWh)</v>
      </c>
    </row>
    <row r="29" spans="1:14" ht="11.25" customHeight="1">
      <c r="A29" s="240"/>
      <c r="B29" s="247"/>
      <c r="C29" s="247"/>
      <c r="D29" s="247"/>
      <c r="E29" s="247"/>
      <c r="F29" s="247"/>
      <c r="G29" s="247"/>
      <c r="H29" s="247"/>
      <c r="I29" s="247"/>
      <c r="J29" s="247"/>
      <c r="K29" s="247"/>
      <c r="L29" s="29"/>
      <c r="M29" s="642" t="s">
        <v>195</v>
      </c>
      <c r="N29" s="643" t="str">
        <f t="shared" si="1"/>
        <v>SAN GABAN 138
(9.8 USD/MWh)</v>
      </c>
    </row>
    <row r="30" spans="1:14" ht="11.25" customHeight="1">
      <c r="A30" s="240"/>
      <c r="B30" s="247"/>
      <c r="C30" s="247"/>
      <c r="D30" s="247"/>
      <c r="E30" s="247"/>
      <c r="F30" s="247"/>
      <c r="G30" s="247"/>
      <c r="H30" s="247"/>
      <c r="I30" s="247"/>
      <c r="J30" s="247"/>
      <c r="K30" s="247"/>
      <c r="L30" s="29"/>
      <c r="M30" s="642"/>
      <c r="N30" s="639"/>
    </row>
    <row r="31" spans="1:14" ht="11.25" customHeight="1">
      <c r="A31" s="240"/>
      <c r="B31" s="247"/>
      <c r="C31" s="247"/>
      <c r="D31" s="247"/>
      <c r="E31" s="247"/>
      <c r="F31" s="247"/>
      <c r="G31" s="247"/>
      <c r="H31" s="247"/>
      <c r="I31" s="247"/>
      <c r="J31" s="247"/>
      <c r="K31" s="247"/>
      <c r="L31" s="29"/>
      <c r="M31" s="642"/>
      <c r="N31" s="639"/>
    </row>
    <row r="32" spans="1:14" ht="11.25" customHeight="1">
      <c r="A32" s="240"/>
      <c r="B32" s="247"/>
      <c r="C32" s="247"/>
      <c r="D32" s="247"/>
      <c r="E32" s="247"/>
      <c r="F32" s="247"/>
      <c r="G32" s="247"/>
      <c r="H32" s="247"/>
      <c r="I32" s="247"/>
      <c r="J32" s="247"/>
      <c r="K32" s="247"/>
      <c r="L32" s="29"/>
      <c r="M32" s="642"/>
    </row>
    <row r="33" spans="1:12" ht="11.25" customHeight="1">
      <c r="A33" s="240"/>
      <c r="B33" s="247"/>
      <c r="C33" s="247"/>
      <c r="D33" s="247"/>
      <c r="E33" s="247"/>
      <c r="F33" s="247"/>
      <c r="G33" s="247"/>
      <c r="H33" s="247"/>
      <c r="I33" s="247"/>
      <c r="J33" s="247"/>
      <c r="K33" s="247"/>
      <c r="L33" s="29"/>
    </row>
    <row r="34" spans="1:12" ht="11.25" customHeight="1">
      <c r="A34" s="240"/>
      <c r="B34" s="247"/>
      <c r="C34" s="247"/>
      <c r="D34" s="247"/>
      <c r="E34" s="247"/>
      <c r="F34" s="247"/>
      <c r="G34" s="247"/>
      <c r="H34" s="247"/>
      <c r="I34" s="247"/>
      <c r="J34" s="247"/>
      <c r="K34" s="247"/>
      <c r="L34" s="29"/>
    </row>
    <row r="35" spans="1:12" ht="11.25" customHeight="1">
      <c r="A35" s="240"/>
      <c r="B35" s="247"/>
      <c r="C35" s="247"/>
      <c r="D35" s="247"/>
      <c r="E35" s="247"/>
      <c r="F35" s="247"/>
      <c r="G35" s="247"/>
      <c r="H35" s="247"/>
      <c r="I35" s="247"/>
      <c r="J35" s="247"/>
      <c r="K35" s="247"/>
      <c r="L35" s="48"/>
    </row>
    <row r="36" spans="1:12" ht="11.25" customHeight="1">
      <c r="A36" s="240"/>
      <c r="B36" s="247"/>
      <c r="C36" s="247"/>
      <c r="D36" s="247"/>
      <c r="E36" s="247"/>
      <c r="F36" s="247"/>
      <c r="G36" s="247"/>
      <c r="H36" s="247"/>
      <c r="I36" s="247"/>
      <c r="J36" s="247"/>
      <c r="K36" s="247"/>
      <c r="L36" s="29"/>
    </row>
    <row r="37" spans="1:12" ht="11.25" customHeight="1">
      <c r="A37" s="240"/>
      <c r="B37" s="247"/>
      <c r="C37" s="247"/>
      <c r="D37" s="247"/>
      <c r="E37" s="247"/>
      <c r="F37" s="247"/>
      <c r="G37" s="247"/>
      <c r="H37" s="247"/>
      <c r="I37" s="247"/>
      <c r="J37" s="247"/>
      <c r="K37" s="247"/>
      <c r="L37" s="29"/>
    </row>
    <row r="38" spans="1:12" ht="11.25" customHeight="1">
      <c r="A38" s="240"/>
      <c r="B38" s="247"/>
      <c r="C38" s="247"/>
      <c r="D38" s="247"/>
      <c r="E38" s="247"/>
      <c r="F38" s="247"/>
      <c r="G38" s="247"/>
      <c r="H38" s="247"/>
      <c r="I38" s="247"/>
      <c r="J38" s="247"/>
      <c r="K38" s="247"/>
      <c r="L38" s="29"/>
    </row>
    <row r="39" spans="1:12" ht="11.25" customHeight="1">
      <c r="A39" s="240"/>
      <c r="B39" s="247"/>
      <c r="C39" s="247"/>
      <c r="D39" s="247"/>
      <c r="E39" s="247"/>
      <c r="F39" s="247"/>
      <c r="G39" s="247"/>
      <c r="H39" s="247"/>
      <c r="I39" s="247"/>
      <c r="J39" s="247"/>
      <c r="K39" s="247"/>
      <c r="L39" s="29"/>
    </row>
    <row r="40" spans="1:12" ht="13.5" customHeight="1">
      <c r="A40" s="240"/>
      <c r="B40" s="958" t="str">
        <f>"Gráfico N°21: Costos marginales medios registrados en las principales barras del área centro durante el mes de "&amp;'1. Resumen'!Q4</f>
        <v>Gráfico N°21: Costos marginales medios registrados en las principales barras del área centro durante el mes de setiembre</v>
      </c>
      <c r="C40" s="958"/>
      <c r="D40" s="958"/>
      <c r="E40" s="958"/>
      <c r="F40" s="958"/>
      <c r="G40" s="958"/>
      <c r="H40" s="958"/>
      <c r="I40" s="958"/>
      <c r="J40" s="247"/>
      <c r="K40" s="247"/>
      <c r="L40" s="29"/>
    </row>
    <row r="41" spans="1:12" ht="6.75" customHeight="1">
      <c r="A41" s="240"/>
      <c r="B41" s="247"/>
      <c r="C41" s="247"/>
      <c r="D41" s="247"/>
      <c r="E41" s="247"/>
      <c r="F41" s="247"/>
      <c r="G41" s="247"/>
      <c r="H41" s="247"/>
      <c r="I41" s="247"/>
      <c r="J41" s="247"/>
      <c r="K41" s="247"/>
      <c r="L41" s="29"/>
    </row>
    <row r="42" spans="1:12" ht="8.25" customHeight="1">
      <c r="A42" s="240"/>
      <c r="B42" s="242"/>
      <c r="C42" s="242"/>
      <c r="D42" s="242"/>
      <c r="E42" s="242"/>
      <c r="F42" s="242"/>
      <c r="G42" s="242"/>
      <c r="H42" s="242"/>
      <c r="I42" s="242"/>
      <c r="J42" s="242"/>
      <c r="K42" s="242"/>
      <c r="L42" s="15"/>
    </row>
    <row r="43" spans="1:12" ht="11.25" customHeight="1">
      <c r="A43" s="240"/>
      <c r="B43" s="245" t="s">
        <v>494</v>
      </c>
      <c r="C43" s="242"/>
      <c r="D43" s="242"/>
      <c r="E43" s="242"/>
      <c r="F43" s="242"/>
      <c r="G43" s="242"/>
      <c r="H43" s="242"/>
      <c r="I43" s="242"/>
      <c r="J43" s="242"/>
      <c r="K43" s="242"/>
      <c r="L43" s="14"/>
    </row>
    <row r="44" spans="1:12" ht="6.75" customHeight="1">
      <c r="A44" s="240"/>
      <c r="B44" s="242"/>
      <c r="C44" s="242"/>
      <c r="D44" s="242"/>
      <c r="E44" s="242"/>
      <c r="F44" s="242"/>
      <c r="G44" s="242"/>
      <c r="H44" s="242"/>
      <c r="I44" s="242"/>
      <c r="J44" s="242"/>
      <c r="K44" s="242"/>
      <c r="L44" s="14"/>
    </row>
    <row r="45" spans="1:12" ht="27" customHeight="1">
      <c r="A45" s="240"/>
      <c r="B45" s="811" t="s">
        <v>175</v>
      </c>
      <c r="C45" s="808" t="s">
        <v>189</v>
      </c>
      <c r="D45" s="808" t="s">
        <v>190</v>
      </c>
      <c r="E45" s="808" t="s">
        <v>191</v>
      </c>
      <c r="F45" s="808" t="s">
        <v>192</v>
      </c>
      <c r="G45" s="808" t="s">
        <v>193</v>
      </c>
      <c r="H45" s="808" t="s">
        <v>195</v>
      </c>
      <c r="I45" s="809" t="s">
        <v>194</v>
      </c>
      <c r="J45" s="246"/>
      <c r="K45" s="247"/>
    </row>
    <row r="46" spans="1:12" ht="18.75" customHeight="1">
      <c r="A46" s="240"/>
      <c r="B46" s="812" t="s">
        <v>181</v>
      </c>
      <c r="C46" s="386">
        <v>10.454495236683126</v>
      </c>
      <c r="D46" s="386">
        <v>10.178181569250977</v>
      </c>
      <c r="E46" s="386">
        <v>10.050614366082817</v>
      </c>
      <c r="F46" s="386">
        <v>10.008490824794704</v>
      </c>
      <c r="G46" s="386">
        <v>9.9518296112624807</v>
      </c>
      <c r="H46" s="386">
        <v>9.7980176469227587</v>
      </c>
      <c r="I46" s="386">
        <v>9.7503704943132306</v>
      </c>
      <c r="J46" s="248"/>
      <c r="K46" s="247"/>
    </row>
    <row r="47" spans="1:12" ht="18" customHeight="1">
      <c r="A47" s="240"/>
      <c r="B47" s="960" t="str">
        <f>"Cuadro N°13: Valor de los costos marginales medios registrados en las principales barras del área sur durante el mes de "&amp;'1. Resumen'!Q4</f>
        <v>Cuadro N°13: Valor de los costos marginales medios registrados en las principales barras del área sur durante el mes de setiembre</v>
      </c>
      <c r="C47" s="960"/>
      <c r="D47" s="960"/>
      <c r="E47" s="960"/>
      <c r="F47" s="960"/>
      <c r="G47" s="960"/>
      <c r="H47" s="960"/>
      <c r="I47" s="960"/>
      <c r="J47" s="248"/>
      <c r="K47" s="247"/>
    </row>
    <row r="48" spans="1:12" ht="12.75">
      <c r="A48" s="240"/>
      <c r="B48" s="247"/>
      <c r="C48" s="247"/>
      <c r="D48" s="247"/>
      <c r="E48" s="247"/>
      <c r="F48" s="247"/>
      <c r="G48" s="249"/>
      <c r="H48" s="249"/>
      <c r="I48" s="249"/>
      <c r="J48" s="249"/>
      <c r="K48" s="247"/>
    </row>
    <row r="49" spans="1:11" ht="12.75">
      <c r="A49" s="240"/>
      <c r="B49" s="249"/>
      <c r="C49" s="249"/>
      <c r="D49" s="249"/>
      <c r="E49" s="249"/>
      <c r="F49" s="249"/>
      <c r="G49" s="249"/>
      <c r="H49" s="249"/>
      <c r="I49" s="249"/>
      <c r="J49" s="249"/>
      <c r="K49" s="247"/>
    </row>
    <row r="50" spans="1:11" ht="12.75">
      <c r="A50" s="240"/>
      <c r="B50" s="132"/>
      <c r="C50" s="132"/>
      <c r="D50" s="132"/>
      <c r="E50" s="132"/>
      <c r="F50" s="132"/>
      <c r="G50" s="132"/>
      <c r="H50" s="132"/>
      <c r="I50" s="132"/>
      <c r="J50" s="132"/>
      <c r="K50" s="247"/>
    </row>
    <row r="51" spans="1:11" ht="12.75">
      <c r="A51" s="240"/>
      <c r="B51" s="132"/>
      <c r="C51" s="132"/>
      <c r="D51" s="132"/>
      <c r="E51" s="132"/>
      <c r="F51" s="132"/>
      <c r="G51" s="132"/>
      <c r="H51" s="132"/>
      <c r="I51" s="132"/>
      <c r="J51" s="132"/>
      <c r="K51" s="247"/>
    </row>
    <row r="52" spans="1:11" ht="12.75">
      <c r="A52" s="240"/>
      <c r="B52" s="132"/>
      <c r="C52" s="132"/>
      <c r="D52" s="132"/>
      <c r="E52" s="132"/>
      <c r="F52" s="132"/>
      <c r="G52" s="132"/>
      <c r="H52" s="132"/>
      <c r="I52" s="132"/>
      <c r="J52" s="132"/>
      <c r="K52" s="247"/>
    </row>
    <row r="53" spans="1:11" ht="12.75">
      <c r="A53" s="240"/>
      <c r="B53" s="132"/>
      <c r="C53" s="132"/>
      <c r="D53" s="132"/>
      <c r="E53" s="132"/>
      <c r="F53" s="132"/>
      <c r="G53" s="132"/>
      <c r="H53" s="132"/>
      <c r="I53" s="132"/>
      <c r="J53" s="132"/>
      <c r="K53" s="247"/>
    </row>
    <row r="54" spans="1:11" ht="12.75">
      <c r="A54" s="240"/>
      <c r="B54" s="132"/>
      <c r="C54" s="132"/>
      <c r="D54" s="132"/>
      <c r="E54" s="132"/>
      <c r="F54" s="132"/>
      <c r="G54" s="132"/>
      <c r="H54" s="132"/>
      <c r="I54" s="132"/>
      <c r="J54" s="132"/>
      <c r="K54" s="247"/>
    </row>
    <row r="55" spans="1:11" ht="12.75">
      <c r="A55" s="240"/>
      <c r="B55" s="132"/>
      <c r="C55" s="132"/>
      <c r="D55" s="132"/>
      <c r="E55" s="132"/>
      <c r="F55" s="132"/>
      <c r="G55" s="132"/>
      <c r="H55" s="132"/>
      <c r="I55" s="132"/>
      <c r="J55" s="132"/>
      <c r="K55" s="247"/>
    </row>
    <row r="56" spans="1:11" ht="12.75">
      <c r="A56" s="240"/>
      <c r="B56" s="249"/>
      <c r="C56" s="249"/>
      <c r="D56" s="249"/>
      <c r="E56" s="249"/>
      <c r="F56" s="249"/>
      <c r="G56" s="249"/>
      <c r="H56" s="249"/>
      <c r="I56" s="249"/>
      <c r="J56" s="249"/>
      <c r="K56" s="247"/>
    </row>
    <row r="57" spans="1:11" ht="12.75">
      <c r="A57" s="240"/>
      <c r="B57" s="249"/>
      <c r="C57" s="249"/>
      <c r="D57" s="249"/>
      <c r="E57" s="249"/>
      <c r="F57" s="249"/>
      <c r="G57" s="249"/>
      <c r="H57" s="249"/>
      <c r="I57" s="249"/>
      <c r="J57" s="249"/>
      <c r="K57" s="247"/>
    </row>
    <row r="58" spans="1:11" ht="12.75">
      <c r="A58" s="240"/>
      <c r="B58" s="958" t="str">
        <f>"Gráfico N°22: Costos marginales medios registrados en las principales barras del área sur durante el mes de "&amp;'1. Resumen'!Q4</f>
        <v>Gráfico N°22: Costos marginales medios registrados en las principales barras del área sur durante el mes de setiembre</v>
      </c>
      <c r="C58" s="958"/>
      <c r="D58" s="958"/>
      <c r="E58" s="958"/>
      <c r="F58" s="958"/>
      <c r="G58" s="958"/>
      <c r="H58" s="958"/>
      <c r="I58" s="958"/>
      <c r="J58" s="249"/>
      <c r="K58" s="247"/>
    </row>
    <row r="59" spans="1:11" ht="12.75">
      <c r="A59" s="92"/>
      <c r="B59" s="157"/>
      <c r="C59" s="157"/>
      <c r="D59" s="157"/>
      <c r="E59" s="157"/>
      <c r="F59" s="157"/>
      <c r="G59" s="157"/>
      <c r="H59" s="249"/>
      <c r="I59" s="249"/>
      <c r="J59" s="249"/>
      <c r="K59" s="247"/>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75" zoomScaleNormal="100" zoomScaleSheetLayoutView="175" zoomScalePageLayoutView="145" workbookViewId="0">
      <selection activeCell="M27" sqref="M27"/>
    </sheetView>
  </sheetViews>
  <sheetFormatPr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921" t="s">
        <v>496</v>
      </c>
      <c r="B2" s="921"/>
      <c r="C2" s="921"/>
      <c r="D2" s="921"/>
      <c r="E2" s="921"/>
      <c r="F2" s="921"/>
      <c r="G2" s="921"/>
      <c r="H2" s="921"/>
      <c r="I2" s="921"/>
      <c r="J2" s="921"/>
      <c r="K2" s="921"/>
      <c r="L2" s="921"/>
    </row>
    <row r="3" spans="1:12" ht="11.25" customHeight="1">
      <c r="A3" s="240"/>
      <c r="B3" s="240"/>
      <c r="C3" s="240"/>
      <c r="D3" s="240"/>
      <c r="E3" s="240"/>
      <c r="F3" s="240"/>
      <c r="G3" s="240"/>
      <c r="H3" s="240"/>
      <c r="I3" s="240"/>
      <c r="J3" s="240"/>
      <c r="K3" s="240"/>
      <c r="L3" s="251"/>
    </row>
    <row r="4" spans="1:12" ht="11.25" customHeight="1">
      <c r="A4" s="240"/>
      <c r="B4" s="240"/>
      <c r="C4" s="240"/>
      <c r="D4" s="240"/>
      <c r="E4" s="240"/>
      <c r="F4" s="240"/>
      <c r="G4" s="240"/>
      <c r="H4" s="240"/>
      <c r="I4" s="240"/>
      <c r="J4" s="240"/>
      <c r="K4" s="240"/>
      <c r="L4" s="84"/>
    </row>
    <row r="5" spans="1:12" ht="11.25" customHeight="1">
      <c r="A5" s="240"/>
      <c r="B5" s="240"/>
      <c r="C5" s="240"/>
      <c r="D5" s="240"/>
      <c r="E5" s="240"/>
      <c r="F5" s="240"/>
      <c r="G5" s="240"/>
      <c r="H5" s="240"/>
      <c r="I5" s="240"/>
      <c r="J5" s="240"/>
      <c r="K5" s="240"/>
      <c r="L5" s="84"/>
    </row>
    <row r="6" spans="1:12" ht="11.25" customHeight="1">
      <c r="A6" s="240"/>
      <c r="B6" s="240"/>
      <c r="C6" s="240"/>
      <c r="D6" s="240"/>
      <c r="E6" s="240"/>
      <c r="F6" s="240"/>
      <c r="G6" s="240"/>
      <c r="H6" s="240"/>
      <c r="I6" s="240"/>
      <c r="J6" s="240"/>
      <c r="K6" s="240"/>
      <c r="L6" s="84"/>
    </row>
    <row r="7" spans="1:12" ht="11.25" customHeight="1">
      <c r="A7" s="240"/>
      <c r="B7" s="241"/>
      <c r="C7" s="240"/>
      <c r="D7" s="240"/>
      <c r="E7" s="240"/>
      <c r="F7" s="240"/>
      <c r="G7" s="240"/>
      <c r="H7" s="240"/>
      <c r="I7" s="240"/>
      <c r="J7" s="240"/>
      <c r="K7" s="240"/>
      <c r="L7" s="84"/>
    </row>
    <row r="8" spans="1:12" ht="11.25" customHeight="1">
      <c r="A8" s="240"/>
      <c r="B8" s="241"/>
      <c r="C8" s="240"/>
      <c r="D8" s="240"/>
      <c r="E8" s="240"/>
      <c r="F8" s="240"/>
      <c r="G8" s="240"/>
      <c r="H8" s="240"/>
      <c r="I8" s="240"/>
      <c r="J8" s="240"/>
      <c r="K8" s="240"/>
      <c r="L8" s="84"/>
    </row>
    <row r="9" spans="1:12" ht="11.25" customHeight="1">
      <c r="A9" s="240"/>
      <c r="B9" s="241"/>
      <c r="C9" s="240"/>
      <c r="D9" s="240"/>
      <c r="E9" s="240"/>
      <c r="F9" s="240"/>
      <c r="G9" s="240"/>
      <c r="H9" s="240"/>
      <c r="I9" s="240"/>
      <c r="J9" s="240"/>
      <c r="K9" s="240"/>
      <c r="L9" s="84"/>
    </row>
    <row r="10" spans="1:12" ht="11.25" customHeight="1">
      <c r="A10" s="240"/>
      <c r="B10" s="240"/>
      <c r="C10" s="240"/>
      <c r="D10" s="240"/>
      <c r="E10" s="240"/>
      <c r="F10" s="240"/>
      <c r="G10" s="240"/>
      <c r="H10" s="240"/>
      <c r="I10" s="240"/>
      <c r="J10" s="240"/>
      <c r="K10" s="240"/>
      <c r="L10" s="84"/>
    </row>
    <row r="11" spans="1:12" ht="11.25" customHeight="1">
      <c r="A11" s="240"/>
      <c r="B11" s="240"/>
      <c r="C11" s="240"/>
      <c r="D11" s="240"/>
      <c r="E11" s="240"/>
      <c r="F11" s="240"/>
      <c r="G11" s="240"/>
      <c r="H11" s="240"/>
      <c r="I11" s="240"/>
      <c r="J11" s="240"/>
      <c r="K11" s="240"/>
      <c r="L11" s="84"/>
    </row>
    <row r="12" spans="1:12" ht="11.25" customHeight="1">
      <c r="A12" s="240"/>
      <c r="B12" s="240"/>
      <c r="C12" s="240"/>
      <c r="D12" s="240"/>
      <c r="E12" s="240"/>
      <c r="F12" s="240"/>
      <c r="G12" s="240"/>
      <c r="H12" s="240"/>
      <c r="I12" s="240"/>
      <c r="J12" s="240"/>
      <c r="K12" s="240"/>
      <c r="L12" s="84"/>
    </row>
    <row r="13" spans="1:12" ht="11.25" customHeight="1">
      <c r="A13" s="240"/>
      <c r="B13" s="240"/>
      <c r="C13" s="240"/>
      <c r="D13" s="240"/>
      <c r="E13" s="240"/>
      <c r="F13" s="240"/>
      <c r="G13" s="240"/>
      <c r="H13" s="240"/>
      <c r="I13" s="240"/>
      <c r="J13" s="240"/>
      <c r="K13" s="240"/>
      <c r="L13" s="84"/>
    </row>
    <row r="14" spans="1:12" ht="11.25" customHeight="1">
      <c r="A14" s="240"/>
      <c r="B14" s="240"/>
      <c r="C14" s="240"/>
      <c r="D14" s="240"/>
      <c r="E14" s="240"/>
      <c r="F14" s="240"/>
      <c r="G14" s="240"/>
      <c r="H14" s="240"/>
      <c r="I14" s="240"/>
      <c r="J14" s="240"/>
      <c r="K14" s="240"/>
      <c r="L14" s="84"/>
    </row>
    <row r="15" spans="1:12" ht="11.25" customHeight="1">
      <c r="A15" s="240"/>
      <c r="B15" s="240"/>
      <c r="C15" s="240"/>
      <c r="D15" s="240"/>
      <c r="E15" s="240"/>
      <c r="F15" s="240"/>
      <c r="G15" s="240"/>
      <c r="H15" s="240"/>
      <c r="I15" s="240"/>
      <c r="J15" s="240"/>
      <c r="K15" s="240"/>
      <c r="L15" s="84"/>
    </row>
    <row r="16" spans="1:12" ht="11.25" customHeight="1">
      <c r="A16" s="240"/>
      <c r="B16" s="240"/>
      <c r="C16" s="240"/>
      <c r="D16" s="240"/>
      <c r="E16" s="240"/>
      <c r="F16" s="240"/>
      <c r="G16" s="240"/>
      <c r="H16" s="240"/>
      <c r="I16" s="240"/>
      <c r="J16" s="240"/>
      <c r="K16" s="240"/>
      <c r="L16" s="84"/>
    </row>
    <row r="17" spans="1:12" ht="11.25" customHeight="1">
      <c r="A17" s="240"/>
      <c r="B17" s="240"/>
      <c r="C17" s="240"/>
      <c r="D17" s="240"/>
      <c r="E17" s="240"/>
      <c r="F17" s="240"/>
      <c r="G17" s="240"/>
      <c r="H17" s="240"/>
      <c r="I17" s="240"/>
      <c r="J17" s="240"/>
      <c r="K17" s="240"/>
      <c r="L17" s="84"/>
    </row>
    <row r="18" spans="1:12" ht="11.25" customHeight="1">
      <c r="A18" s="240"/>
      <c r="B18" s="240"/>
      <c r="C18" s="240"/>
      <c r="D18" s="240"/>
      <c r="E18" s="240"/>
      <c r="F18" s="240"/>
      <c r="G18" s="240"/>
      <c r="H18" s="240"/>
      <c r="I18" s="240"/>
      <c r="J18" s="240"/>
      <c r="K18" s="240"/>
      <c r="L18" s="251"/>
    </row>
    <row r="19" spans="1:12" ht="11.25" customHeight="1">
      <c r="A19" s="240"/>
      <c r="B19" s="240"/>
      <c r="C19" s="240"/>
      <c r="D19" s="240"/>
      <c r="E19" s="240"/>
      <c r="F19" s="240"/>
      <c r="G19" s="240"/>
      <c r="H19" s="240"/>
      <c r="I19" s="240"/>
      <c r="J19" s="240"/>
      <c r="K19" s="240"/>
      <c r="L19" s="251"/>
    </row>
    <row r="20" spans="1:12" ht="11.25" customHeight="1">
      <c r="A20" s="240"/>
      <c r="B20" s="240"/>
      <c r="C20" s="240"/>
      <c r="D20" s="240"/>
      <c r="E20" s="240"/>
      <c r="F20" s="240"/>
      <c r="G20" s="240"/>
      <c r="H20" s="240"/>
      <c r="I20" s="240"/>
      <c r="J20" s="240"/>
      <c r="K20" s="240"/>
      <c r="L20" s="251"/>
    </row>
    <row r="21" spans="1:12" ht="11.25" customHeight="1">
      <c r="A21" s="240"/>
      <c r="B21" s="240"/>
      <c r="C21" s="240"/>
      <c r="D21" s="240"/>
      <c r="E21" s="240"/>
      <c r="F21" s="240"/>
      <c r="G21" s="240"/>
      <c r="H21" s="240"/>
      <c r="I21" s="240"/>
      <c r="J21" s="240"/>
      <c r="K21" s="240"/>
      <c r="L21" s="251"/>
    </row>
    <row r="22" spans="1:12" ht="11.25" customHeight="1">
      <c r="A22" s="240"/>
      <c r="B22" s="240"/>
      <c r="C22" s="240"/>
      <c r="D22" s="240"/>
      <c r="E22" s="240"/>
      <c r="F22" s="240"/>
      <c r="G22" s="240"/>
      <c r="H22" s="240"/>
      <c r="I22" s="240"/>
      <c r="J22" s="240"/>
      <c r="K22" s="240"/>
      <c r="L22" s="251"/>
    </row>
    <row r="23" spans="1:12" ht="11.25" customHeight="1">
      <c r="A23" s="240"/>
      <c r="B23" s="240"/>
      <c r="C23" s="240"/>
      <c r="D23" s="240"/>
      <c r="E23" s="240"/>
      <c r="F23" s="240"/>
      <c r="G23" s="240"/>
      <c r="H23" s="240"/>
      <c r="I23" s="240"/>
      <c r="J23" s="240"/>
      <c r="K23" s="240"/>
      <c r="L23" s="251"/>
    </row>
    <row r="24" spans="1:12" ht="11.25" customHeight="1">
      <c r="A24" s="240"/>
      <c r="B24" s="240"/>
      <c r="C24" s="240"/>
      <c r="D24" s="240"/>
      <c r="E24" s="240"/>
      <c r="F24" s="240"/>
      <c r="G24" s="240"/>
      <c r="H24" s="240"/>
      <c r="I24" s="240"/>
      <c r="J24" s="240"/>
      <c r="K24" s="240"/>
      <c r="L24" s="251"/>
    </row>
    <row r="25" spans="1:12" ht="11.25" customHeight="1">
      <c r="A25" s="240"/>
      <c r="B25" s="240"/>
      <c r="C25" s="240"/>
      <c r="D25" s="240"/>
      <c r="E25" s="240"/>
      <c r="F25" s="240"/>
      <c r="G25" s="240"/>
      <c r="H25" s="240"/>
      <c r="I25" s="240"/>
      <c r="J25" s="240"/>
      <c r="K25" s="240"/>
      <c r="L25" s="251"/>
    </row>
    <row r="26" spans="1:12" ht="11.25" customHeight="1">
      <c r="A26" s="240"/>
      <c r="B26" s="240"/>
      <c r="C26" s="240"/>
      <c r="D26" s="240"/>
      <c r="E26" s="240"/>
      <c r="F26" s="240"/>
      <c r="G26" s="240"/>
      <c r="H26" s="240"/>
      <c r="I26" s="240"/>
      <c r="J26" s="240"/>
      <c r="K26" s="240"/>
      <c r="L26" s="251"/>
    </row>
    <row r="27" spans="1:12" ht="11.25" customHeight="1">
      <c r="A27" s="240"/>
      <c r="B27" s="240"/>
      <c r="C27" s="240"/>
      <c r="D27" s="240"/>
      <c r="E27" s="240"/>
      <c r="F27" s="240"/>
      <c r="G27" s="240"/>
      <c r="H27" s="240"/>
      <c r="I27" s="240"/>
      <c r="J27" s="240"/>
      <c r="K27" s="240"/>
      <c r="L27" s="251"/>
    </row>
    <row r="28" spans="1:12" ht="11.25" customHeight="1">
      <c r="A28" s="240"/>
      <c r="B28" s="240"/>
      <c r="C28" s="240"/>
      <c r="D28" s="240"/>
      <c r="E28" s="240"/>
      <c r="F28" s="240"/>
      <c r="G28" s="240"/>
      <c r="H28" s="240"/>
      <c r="I28" s="240"/>
      <c r="J28" s="240"/>
      <c r="K28" s="240"/>
      <c r="L28" s="251"/>
    </row>
    <row r="29" spans="1:12" ht="11.25" customHeight="1">
      <c r="A29" s="240"/>
      <c r="B29" s="240"/>
      <c r="C29" s="240"/>
      <c r="D29" s="240"/>
      <c r="E29" s="240"/>
      <c r="F29" s="240"/>
      <c r="G29" s="240"/>
      <c r="H29" s="240"/>
      <c r="I29" s="240"/>
      <c r="J29" s="240"/>
      <c r="K29" s="240"/>
      <c r="L29" s="251"/>
    </row>
    <row r="30" spans="1:12" ht="11.25" customHeight="1">
      <c r="A30" s="240"/>
      <c r="B30" s="240"/>
      <c r="C30" s="240"/>
      <c r="D30" s="240"/>
      <c r="E30" s="240"/>
      <c r="F30" s="240"/>
      <c r="G30" s="240"/>
      <c r="H30" s="240"/>
      <c r="I30" s="240"/>
      <c r="J30" s="240"/>
      <c r="K30" s="240"/>
      <c r="L30" s="251"/>
    </row>
    <row r="31" spans="1:12" ht="11.25" customHeight="1">
      <c r="A31" s="240"/>
      <c r="B31" s="240"/>
      <c r="C31" s="240"/>
      <c r="D31" s="240"/>
      <c r="E31" s="240"/>
      <c r="F31" s="240"/>
      <c r="G31" s="240"/>
      <c r="H31" s="240"/>
      <c r="I31" s="240"/>
      <c r="J31" s="240"/>
      <c r="K31" s="240"/>
      <c r="L31" s="251"/>
    </row>
    <row r="32" spans="1:12" ht="11.25" customHeight="1">
      <c r="A32" s="240"/>
      <c r="B32" s="240"/>
      <c r="C32" s="240"/>
      <c r="D32" s="240"/>
      <c r="E32" s="240"/>
      <c r="F32" s="240"/>
      <c r="G32" s="240"/>
      <c r="H32" s="240"/>
      <c r="I32" s="240"/>
      <c r="J32" s="240"/>
      <c r="K32" s="240"/>
      <c r="L32" s="91"/>
    </row>
    <row r="33" spans="1:12" ht="11.25" customHeight="1">
      <c r="A33" s="240"/>
      <c r="B33" s="240"/>
      <c r="C33" s="240"/>
      <c r="D33" s="240"/>
      <c r="E33" s="240"/>
      <c r="F33" s="240"/>
      <c r="G33" s="240"/>
      <c r="H33" s="240"/>
      <c r="I33" s="240"/>
      <c r="J33" s="240"/>
      <c r="K33" s="240"/>
      <c r="L33" s="91"/>
    </row>
    <row r="34" spans="1:12" ht="11.25" customHeight="1">
      <c r="A34" s="240"/>
      <c r="B34" s="240"/>
      <c r="C34" s="240"/>
      <c r="D34" s="240"/>
      <c r="E34" s="240"/>
      <c r="F34" s="240"/>
      <c r="G34" s="240"/>
      <c r="H34" s="240"/>
      <c r="I34" s="240"/>
      <c r="J34" s="240"/>
      <c r="K34" s="240"/>
      <c r="L34" s="91"/>
    </row>
    <row r="35" spans="1:12" ht="11.25" customHeight="1">
      <c r="A35" s="240"/>
      <c r="B35" s="240"/>
      <c r="C35" s="240"/>
      <c r="D35" s="240"/>
      <c r="E35" s="240"/>
      <c r="F35" s="240"/>
      <c r="G35" s="240"/>
      <c r="H35" s="240"/>
      <c r="I35" s="240"/>
      <c r="J35" s="240"/>
      <c r="K35" s="240"/>
      <c r="L35" s="91"/>
    </row>
    <row r="36" spans="1:12" ht="11.25" customHeight="1">
      <c r="A36" s="240"/>
      <c r="B36" s="240"/>
      <c r="C36" s="240"/>
      <c r="D36" s="240"/>
      <c r="E36" s="240"/>
      <c r="F36" s="240"/>
      <c r="G36" s="240"/>
      <c r="H36" s="240"/>
      <c r="I36" s="240"/>
      <c r="J36" s="240"/>
      <c r="K36" s="240"/>
      <c r="L36" s="91"/>
    </row>
    <row r="37" spans="1:12" ht="11.25" customHeight="1">
      <c r="A37" s="240"/>
      <c r="B37" s="240"/>
      <c r="C37" s="240"/>
      <c r="D37" s="240"/>
      <c r="E37" s="240"/>
      <c r="F37" s="240"/>
      <c r="G37" s="240"/>
      <c r="H37" s="240"/>
      <c r="I37" s="240"/>
      <c r="J37" s="240"/>
      <c r="K37" s="240"/>
      <c r="L37" s="91"/>
    </row>
    <row r="38" spans="1:12" ht="11.25" customHeight="1">
      <c r="A38" s="240"/>
      <c r="B38" s="240"/>
      <c r="C38" s="240"/>
      <c r="D38" s="240"/>
      <c r="E38" s="240"/>
      <c r="F38" s="240"/>
      <c r="G38" s="240"/>
      <c r="H38" s="240"/>
      <c r="I38" s="240"/>
      <c r="J38" s="240"/>
      <c r="K38" s="240"/>
      <c r="L38" s="91"/>
    </row>
    <row r="39" spans="1:12" ht="11.25" customHeight="1">
      <c r="A39" s="240"/>
      <c r="B39" s="240"/>
      <c r="C39" s="240"/>
      <c r="D39" s="240"/>
      <c r="E39" s="240"/>
      <c r="F39" s="240"/>
      <c r="G39" s="240"/>
      <c r="H39" s="240"/>
      <c r="I39" s="240"/>
      <c r="J39" s="240"/>
      <c r="K39" s="240"/>
      <c r="L39" s="91"/>
    </row>
    <row r="40" spans="1:12" ht="11.25" customHeight="1">
      <c r="A40" s="240"/>
      <c r="B40" s="240"/>
      <c r="C40" s="240"/>
      <c r="D40" s="240"/>
      <c r="E40" s="240"/>
      <c r="F40" s="240"/>
      <c r="G40" s="240"/>
      <c r="H40" s="240"/>
      <c r="I40" s="240"/>
      <c r="J40" s="240"/>
      <c r="K40" s="240"/>
      <c r="L40" s="91"/>
    </row>
    <row r="41" spans="1:12" ht="11.25" customHeight="1">
      <c r="A41" s="240"/>
      <c r="B41" s="240"/>
      <c r="C41" s="240"/>
      <c r="D41" s="240"/>
      <c r="E41" s="240"/>
      <c r="F41" s="240"/>
      <c r="G41" s="240"/>
      <c r="H41" s="240"/>
      <c r="I41" s="240"/>
      <c r="J41" s="240"/>
      <c r="K41" s="240"/>
      <c r="L41" s="91"/>
    </row>
    <row r="42" spans="1:12" ht="11.25" customHeight="1">
      <c r="A42" s="240"/>
      <c r="B42" s="240"/>
      <c r="C42" s="240"/>
      <c r="D42" s="240"/>
      <c r="E42" s="240"/>
      <c r="F42" s="240"/>
      <c r="G42" s="240"/>
      <c r="H42" s="240"/>
      <c r="I42" s="240"/>
      <c r="J42" s="240"/>
      <c r="K42" s="240"/>
      <c r="L42" s="91"/>
    </row>
    <row r="43" spans="1:12" ht="11.25" customHeight="1">
      <c r="A43" s="240"/>
      <c r="B43" s="240"/>
      <c r="C43" s="240"/>
      <c r="D43" s="240"/>
      <c r="E43" s="240"/>
      <c r="F43" s="240"/>
      <c r="G43" s="240"/>
      <c r="H43" s="240"/>
      <c r="I43" s="240"/>
      <c r="J43" s="240"/>
      <c r="K43" s="240"/>
      <c r="L43" s="91"/>
    </row>
    <row r="44" spans="1:12" ht="11.25" customHeight="1">
      <c r="A44" s="92"/>
      <c r="B44" s="92"/>
      <c r="C44" s="92"/>
      <c r="D44" s="92"/>
      <c r="E44" s="92"/>
      <c r="F44" s="92"/>
      <c r="G44" s="92"/>
      <c r="H44" s="92"/>
      <c r="I44" s="92"/>
      <c r="J44" s="92"/>
      <c r="K44" s="240"/>
      <c r="L44" s="91"/>
    </row>
    <row r="45" spans="1:12" ht="11.25" customHeight="1">
      <c r="A45" s="92"/>
      <c r="B45" s="92"/>
      <c r="C45" s="92"/>
      <c r="D45" s="92"/>
      <c r="E45" s="92"/>
      <c r="F45" s="92"/>
      <c r="G45" s="92"/>
      <c r="H45" s="92"/>
      <c r="I45" s="92"/>
      <c r="J45" s="92"/>
      <c r="K45" s="240"/>
      <c r="L45" s="91"/>
    </row>
    <row r="46" spans="1:12" ht="11.25" customHeight="1">
      <c r="A46" s="92"/>
      <c r="B46" s="92"/>
      <c r="C46" s="92"/>
      <c r="D46" s="92"/>
      <c r="E46" s="92"/>
      <c r="F46" s="92"/>
      <c r="G46" s="92"/>
      <c r="H46" s="92"/>
      <c r="I46" s="92"/>
      <c r="J46" s="92"/>
      <c r="K46" s="240"/>
      <c r="L46" s="91"/>
    </row>
    <row r="47" spans="1:12" ht="11.25" customHeight="1">
      <c r="A47" s="92"/>
      <c r="B47" s="92"/>
      <c r="C47" s="92"/>
      <c r="D47" s="92"/>
      <c r="E47" s="92"/>
      <c r="F47" s="92"/>
      <c r="G47" s="92"/>
      <c r="H47" s="92"/>
      <c r="I47" s="92"/>
      <c r="J47" s="92"/>
      <c r="K47" s="240"/>
      <c r="L47" s="91"/>
    </row>
    <row r="48" spans="1:12" ht="11.25" customHeight="1">
      <c r="A48" s="92"/>
      <c r="B48" s="92"/>
      <c r="C48" s="92"/>
      <c r="D48" s="92"/>
      <c r="E48" s="92"/>
      <c r="F48" s="92"/>
      <c r="G48" s="92"/>
      <c r="H48" s="92"/>
      <c r="I48" s="92"/>
      <c r="J48" s="92"/>
      <c r="K48" s="240"/>
      <c r="L48" s="91"/>
    </row>
    <row r="49" spans="1:12" ht="11.25" customHeight="1">
      <c r="A49" s="92"/>
      <c r="B49" s="92"/>
      <c r="C49" s="92"/>
      <c r="D49" s="92"/>
      <c r="E49" s="92"/>
      <c r="F49" s="92"/>
      <c r="G49" s="92"/>
      <c r="H49" s="92"/>
      <c r="I49" s="92"/>
      <c r="J49" s="92"/>
      <c r="K49" s="240"/>
      <c r="L49" s="91"/>
    </row>
    <row r="50" spans="1:12" ht="12.75">
      <c r="A50" s="92"/>
      <c r="B50" s="92"/>
      <c r="C50" s="92"/>
      <c r="D50" s="92"/>
      <c r="E50" s="92"/>
      <c r="F50" s="92"/>
      <c r="G50" s="92"/>
      <c r="H50" s="92"/>
      <c r="I50" s="92"/>
      <c r="J50" s="92"/>
      <c r="K50" s="240"/>
      <c r="L50" s="91"/>
    </row>
    <row r="51" spans="1:12" ht="12.75">
      <c r="A51" s="92"/>
      <c r="B51" s="92"/>
      <c r="C51" s="92"/>
      <c r="D51" s="92"/>
      <c r="E51" s="92"/>
      <c r="F51" s="92"/>
      <c r="G51" s="92"/>
      <c r="H51" s="92"/>
      <c r="I51" s="92"/>
      <c r="J51" s="92"/>
      <c r="K51" s="240"/>
      <c r="L51" s="91"/>
    </row>
    <row r="52" spans="1:12" ht="12.75">
      <c r="A52" s="92"/>
      <c r="B52" s="92"/>
      <c r="C52" s="92"/>
      <c r="D52" s="92"/>
      <c r="E52" s="92"/>
      <c r="F52" s="92"/>
      <c r="G52" s="92"/>
      <c r="H52" s="92"/>
      <c r="I52" s="92"/>
      <c r="J52" s="92"/>
      <c r="K52" s="240"/>
      <c r="L52" s="91"/>
    </row>
    <row r="53" spans="1:12" ht="12.75">
      <c r="A53" s="92"/>
      <c r="B53" s="92"/>
      <c r="C53" s="92"/>
      <c r="D53" s="92"/>
      <c r="E53" s="92"/>
      <c r="F53" s="92"/>
      <c r="G53" s="92"/>
      <c r="H53" s="92"/>
      <c r="I53" s="92"/>
      <c r="J53" s="92"/>
      <c r="K53" s="240"/>
      <c r="L53" s="91"/>
    </row>
    <row r="54" spans="1:12" ht="12.75">
      <c r="A54" s="92"/>
      <c r="B54" s="92"/>
      <c r="C54" s="92"/>
      <c r="D54" s="92"/>
      <c r="E54" s="92"/>
      <c r="F54" s="92"/>
      <c r="G54" s="92"/>
      <c r="H54" s="92"/>
      <c r="I54" s="92"/>
      <c r="J54" s="92"/>
      <c r="K54" s="240"/>
      <c r="L54" s="91"/>
    </row>
    <row r="55" spans="1:12" ht="12.75">
      <c r="A55" s="92"/>
      <c r="B55" s="92"/>
      <c r="C55" s="92"/>
      <c r="D55" s="92"/>
      <c r="E55" s="92"/>
      <c r="F55" s="92"/>
      <c r="G55" s="92"/>
      <c r="H55" s="92"/>
      <c r="I55" s="92"/>
      <c r="J55" s="92"/>
      <c r="K55" s="240"/>
      <c r="L55" s="91"/>
    </row>
    <row r="56" spans="1:12" ht="12.75">
      <c r="A56" s="92"/>
      <c r="B56" s="92"/>
      <c r="C56" s="92"/>
      <c r="D56" s="92"/>
      <c r="E56" s="92"/>
      <c r="F56" s="92"/>
      <c r="G56" s="92"/>
      <c r="H56" s="92"/>
      <c r="I56" s="92"/>
      <c r="J56" s="92"/>
      <c r="K56" s="240"/>
      <c r="L56" s="91"/>
    </row>
    <row r="57" spans="1:12" ht="12.75">
      <c r="A57" s="92"/>
      <c r="B57" s="92"/>
      <c r="C57" s="92"/>
      <c r="D57" s="92"/>
      <c r="E57" s="92"/>
      <c r="F57" s="92"/>
      <c r="G57" s="92"/>
      <c r="H57" s="92"/>
      <c r="I57" s="92"/>
      <c r="J57" s="92"/>
      <c r="K57" s="240"/>
      <c r="L57" s="91"/>
    </row>
    <row r="58" spans="1:12" ht="12.75">
      <c r="A58" s="92"/>
      <c r="B58" s="92"/>
      <c r="C58" s="92"/>
      <c r="D58" s="92"/>
      <c r="E58" s="92"/>
      <c r="F58" s="92"/>
      <c r="G58" s="92"/>
      <c r="H58" s="92"/>
      <c r="I58" s="92"/>
      <c r="J58" s="92"/>
      <c r="K58" s="240"/>
      <c r="L58" s="91"/>
    </row>
    <row r="59" spans="1:12" ht="12.75">
      <c r="A59" s="92"/>
      <c r="B59" s="92"/>
      <c r="C59" s="92"/>
      <c r="D59" s="92"/>
      <c r="E59" s="92"/>
      <c r="F59" s="92"/>
      <c r="G59" s="92"/>
      <c r="H59" s="92"/>
      <c r="I59" s="92"/>
      <c r="J59" s="92"/>
      <c r="K59" s="240"/>
      <c r="L59" s="91"/>
    </row>
    <row r="60" spans="1:12" ht="12.75">
      <c r="A60" s="92"/>
      <c r="B60" s="92"/>
      <c r="C60" s="92"/>
      <c r="D60" s="92"/>
      <c r="E60" s="92"/>
      <c r="F60" s="92"/>
      <c r="G60" s="92"/>
      <c r="H60" s="92"/>
      <c r="I60" s="92"/>
      <c r="J60" s="92"/>
      <c r="K60" s="240"/>
      <c r="L60" s="91"/>
    </row>
    <row r="61" spans="1:12" ht="12.75">
      <c r="A61" s="92"/>
      <c r="B61" s="92"/>
      <c r="C61" s="92"/>
      <c r="D61" s="92"/>
      <c r="E61" s="92"/>
      <c r="F61" s="92"/>
      <c r="G61" s="92"/>
      <c r="H61" s="92"/>
      <c r="I61" s="92"/>
      <c r="J61" s="92"/>
      <c r="K61" s="240"/>
      <c r="L61" s="91"/>
    </row>
    <row r="62" spans="1:12" ht="12.75">
      <c r="A62" s="92"/>
      <c r="B62" s="92"/>
      <c r="C62" s="92"/>
      <c r="D62" s="92"/>
      <c r="E62" s="92"/>
      <c r="F62" s="92"/>
      <c r="G62" s="92"/>
      <c r="H62" s="92"/>
      <c r="I62" s="92"/>
      <c r="J62" s="92"/>
      <c r="K62" s="240"/>
      <c r="L62" s="91"/>
    </row>
    <row r="63" spans="1:12" ht="12.75">
      <c r="A63" s="92"/>
      <c r="B63" s="92"/>
      <c r="C63" s="92"/>
      <c r="D63" s="92"/>
      <c r="E63" s="92"/>
      <c r="F63" s="92"/>
      <c r="G63" s="92"/>
      <c r="H63" s="92"/>
      <c r="I63" s="92"/>
      <c r="J63" s="92"/>
      <c r="K63" s="240"/>
      <c r="L63" s="91"/>
    </row>
    <row r="64" spans="1:12" ht="12.75">
      <c r="A64" s="92"/>
      <c r="B64" s="92"/>
      <c r="C64" s="92"/>
      <c r="D64" s="92"/>
      <c r="E64" s="92"/>
      <c r="F64" s="92"/>
      <c r="G64" s="92"/>
      <c r="H64" s="92"/>
      <c r="I64" s="92"/>
      <c r="J64" s="92"/>
      <c r="K64" s="240"/>
      <c r="L64" s="91"/>
    </row>
    <row r="65" spans="1:12" ht="12.75">
      <c r="A65" s="92"/>
      <c r="B65" s="92"/>
      <c r="C65" s="92"/>
      <c r="D65" s="92"/>
      <c r="E65" s="92"/>
      <c r="F65" s="92"/>
      <c r="G65" s="92"/>
      <c r="H65" s="92"/>
      <c r="I65" s="92"/>
      <c r="J65" s="92"/>
      <c r="K65" s="240"/>
      <c r="L65" s="91"/>
    </row>
    <row r="66" spans="1:12" ht="12.75">
      <c r="A66" s="92"/>
      <c r="B66" s="92"/>
      <c r="C66" s="92"/>
      <c r="D66" s="92"/>
      <c r="E66" s="92"/>
      <c r="F66" s="92"/>
      <c r="G66" s="92"/>
      <c r="H66" s="92"/>
      <c r="I66" s="92"/>
      <c r="J66" s="92"/>
      <c r="K66" s="240"/>
      <c r="L66" s="91"/>
    </row>
    <row r="67" spans="1:12" ht="12.75">
      <c r="A67" s="92"/>
      <c r="B67" s="92"/>
      <c r="C67" s="92"/>
      <c r="D67" s="92"/>
      <c r="E67" s="92"/>
      <c r="F67" s="92"/>
      <c r="G67" s="92"/>
      <c r="H67" s="92"/>
      <c r="I67" s="92"/>
      <c r="J67" s="92"/>
      <c r="K67" s="240"/>
      <c r="L67" s="91"/>
    </row>
    <row r="68" spans="1:12" ht="12.75">
      <c r="A68" s="92"/>
      <c r="B68" s="92"/>
      <c r="C68" s="92"/>
      <c r="D68" s="92"/>
      <c r="E68" s="92"/>
      <c r="F68" s="92"/>
      <c r="G68" s="92"/>
      <c r="H68" s="92"/>
      <c r="I68" s="92"/>
      <c r="J68" s="92"/>
      <c r="K68" s="240"/>
      <c r="L68" s="91"/>
    </row>
    <row r="69" spans="1:12" ht="12.75">
      <c r="A69" s="92"/>
      <c r="B69" s="92"/>
      <c r="C69" s="92"/>
      <c r="D69" s="92"/>
      <c r="E69" s="92"/>
      <c r="F69" s="92"/>
      <c r="G69" s="92"/>
      <c r="H69" s="92"/>
      <c r="I69" s="92"/>
      <c r="J69" s="92"/>
      <c r="K69" s="240"/>
      <c r="L69" s="91"/>
    </row>
    <row r="70" spans="1:12" ht="12.75">
      <c r="A70" s="252"/>
      <c r="B70" s="252"/>
      <c r="C70" s="252"/>
      <c r="D70" s="252"/>
      <c r="E70" s="252"/>
      <c r="F70" s="252"/>
      <c r="G70" s="252"/>
      <c r="H70" s="252"/>
      <c r="I70" s="252"/>
      <c r="J70" s="252"/>
      <c r="K70" s="240"/>
      <c r="L70" s="91"/>
    </row>
    <row r="71" spans="1:12" ht="12.75">
      <c r="A71" s="92"/>
      <c r="B71" s="91"/>
      <c r="C71" s="91"/>
      <c r="D71" s="91"/>
      <c r="E71" s="91"/>
      <c r="F71" s="91"/>
      <c r="G71" s="91"/>
      <c r="H71" s="91"/>
      <c r="I71" s="91"/>
      <c r="J71" s="91"/>
      <c r="K71" s="240"/>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Setiembre 2018
INFSGI-MES-09-2018
11/10/2018
Versión: 01</oddHeader>
    <oddFooter>&amp;L&amp;7COES, 2018&amp;C15&amp;R&amp;7Dirección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61"/>
  <sheetViews>
    <sheetView showGridLines="0" view="pageBreakPreview" zoomScale="115" zoomScaleNormal="100" zoomScaleSheetLayoutView="115" zoomScalePageLayoutView="115" workbookViewId="0">
      <selection activeCell="M27" sqref="M27"/>
    </sheetView>
  </sheetViews>
  <sheetFormatPr defaultRowHeight="11.25"/>
  <cols>
    <col min="1" max="1" width="12.83203125" style="61" customWidth="1"/>
    <col min="2" max="2" width="19.33203125" style="61" customWidth="1"/>
    <col min="3" max="3" width="25.6640625" style="61" customWidth="1"/>
    <col min="4" max="4" width="10.1640625" style="61" customWidth="1"/>
    <col min="5" max="5" width="11" style="61" customWidth="1"/>
    <col min="6" max="6" width="10.5" style="61" customWidth="1"/>
    <col min="7" max="7" width="12.1640625" style="61" customWidth="1"/>
    <col min="8" max="8" width="12.33203125"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61" t="s">
        <v>495</v>
      </c>
      <c r="B2" s="961"/>
      <c r="C2" s="961"/>
      <c r="D2" s="961"/>
      <c r="E2" s="961"/>
      <c r="F2" s="961"/>
      <c r="G2" s="961"/>
      <c r="H2" s="961"/>
      <c r="I2" s="264"/>
      <c r="J2" s="264"/>
      <c r="K2" s="264"/>
    </row>
    <row r="3" spans="1:12" ht="11.25" customHeight="1">
      <c r="A3" s="97"/>
      <c r="B3" s="97"/>
      <c r="C3" s="97"/>
      <c r="D3" s="97"/>
      <c r="E3" s="97"/>
      <c r="F3" s="97"/>
      <c r="G3" s="97"/>
      <c r="H3" s="97"/>
      <c r="I3" s="265"/>
      <c r="J3" s="265"/>
      <c r="K3" s="265"/>
      <c r="L3" s="254"/>
    </row>
    <row r="4" spans="1:12" ht="11.25" customHeight="1">
      <c r="A4" s="951" t="s">
        <v>497</v>
      </c>
      <c r="B4" s="951"/>
      <c r="C4" s="951"/>
      <c r="D4" s="951"/>
      <c r="E4" s="951"/>
      <c r="F4" s="951"/>
      <c r="G4" s="951"/>
      <c r="H4" s="951"/>
      <c r="I4" s="255"/>
      <c r="J4" s="255"/>
      <c r="K4" s="255"/>
      <c r="L4" s="254"/>
    </row>
    <row r="5" spans="1:12" ht="11.25" customHeight="1">
      <c r="A5" s="97"/>
      <c r="B5" s="199"/>
      <c r="C5" s="98"/>
      <c r="D5" s="99"/>
      <c r="E5" s="99"/>
      <c r="F5" s="100"/>
      <c r="G5" s="96"/>
      <c r="H5" s="96"/>
      <c r="I5" s="256"/>
      <c r="J5" s="256"/>
      <c r="K5" s="256"/>
      <c r="L5" s="266"/>
    </row>
    <row r="6" spans="1:12" ht="30.75" customHeight="1">
      <c r="A6" s="877" t="s">
        <v>196</v>
      </c>
      <c r="B6" s="875" t="s">
        <v>197</v>
      </c>
      <c r="C6" s="875" t="s">
        <v>198</v>
      </c>
      <c r="D6" s="874" t="str">
        <f>UPPER('1. Resumen'!Q4)&amp;"
 "&amp;'1. Resumen'!Q5</f>
        <v>SETIEMBRE
 2018</v>
      </c>
      <c r="E6" s="874" t="str">
        <f>UPPER('1. Resumen'!Q4)&amp;"
 "&amp;'1. Resumen'!Q5-1</f>
        <v>SETIEMBRE
 2017</v>
      </c>
      <c r="F6" s="874" t="str">
        <f>UPPER('1. Resumen'!Q4)&amp;"
 "&amp;'1. Resumen'!Q5-2</f>
        <v>SETIEMBRE
 2016</v>
      </c>
      <c r="G6" s="875" t="s">
        <v>510</v>
      </c>
      <c r="H6" s="876" t="s">
        <v>199</v>
      </c>
      <c r="I6" s="256"/>
      <c r="J6" s="256"/>
      <c r="K6" s="256"/>
      <c r="L6" s="201"/>
    </row>
    <row r="7" spans="1:12" ht="16.5">
      <c r="A7" s="690" t="s">
        <v>200</v>
      </c>
      <c r="B7" s="684" t="s">
        <v>558</v>
      </c>
      <c r="C7" s="631" t="s">
        <v>557</v>
      </c>
      <c r="D7" s="271"/>
      <c r="E7" s="271">
        <v>556.88333333333344</v>
      </c>
      <c r="F7" s="271">
        <v>471.91666666666663</v>
      </c>
      <c r="G7" s="653">
        <f>+D7/E7-1</f>
        <v>-1</v>
      </c>
      <c r="H7" s="387">
        <f>+E7/F7-1</f>
        <v>0.18004591206074561</v>
      </c>
      <c r="I7" s="256"/>
      <c r="J7" s="256"/>
      <c r="K7" s="256"/>
      <c r="L7" s="74"/>
    </row>
    <row r="8" spans="1:12" ht="12.75">
      <c r="A8" s="962" t="s">
        <v>201</v>
      </c>
      <c r="B8" s="684" t="s">
        <v>783</v>
      </c>
      <c r="C8" s="631" t="s">
        <v>779</v>
      </c>
      <c r="D8" s="271"/>
      <c r="E8" s="271"/>
      <c r="F8" s="271">
        <v>5.5000000000000018</v>
      </c>
      <c r="G8" s="653"/>
      <c r="H8" s="387">
        <f t="shared" ref="H8:H9" si="0">+E8/F8-1</f>
        <v>-1</v>
      </c>
      <c r="I8" s="256"/>
      <c r="J8" s="256"/>
      <c r="K8" s="256"/>
      <c r="L8" s="74"/>
    </row>
    <row r="9" spans="1:12" ht="12.75">
      <c r="A9" s="963"/>
      <c r="B9" s="684" t="s">
        <v>627</v>
      </c>
      <c r="C9" s="631" t="s">
        <v>628</v>
      </c>
      <c r="D9" s="271"/>
      <c r="E9" s="271"/>
      <c r="F9" s="271">
        <v>12.316666666666666</v>
      </c>
      <c r="G9" s="653"/>
      <c r="H9" s="387">
        <f t="shared" si="0"/>
        <v>-1</v>
      </c>
      <c r="I9" s="256"/>
      <c r="J9" s="256"/>
      <c r="K9" s="256"/>
      <c r="L9" s="200"/>
    </row>
    <row r="10" spans="1:12" ht="12.75">
      <c r="A10" s="963"/>
      <c r="B10" s="684" t="s">
        <v>776</v>
      </c>
      <c r="C10" s="631" t="s">
        <v>780</v>
      </c>
      <c r="D10" s="271"/>
      <c r="E10" s="271">
        <v>32.783333333333331</v>
      </c>
      <c r="F10" s="271"/>
      <c r="G10" s="653">
        <f t="shared" ref="G10" si="1">+D10/E10-1</f>
        <v>-1</v>
      </c>
      <c r="H10" s="387"/>
      <c r="I10" s="256"/>
      <c r="J10" s="256"/>
      <c r="K10" s="257"/>
      <c r="L10" s="267"/>
    </row>
    <row r="11" spans="1:12" ht="12.75">
      <c r="A11" s="963"/>
      <c r="B11" s="684" t="s">
        <v>777</v>
      </c>
      <c r="C11" s="631" t="s">
        <v>781</v>
      </c>
      <c r="D11" s="271"/>
      <c r="E11" s="271"/>
      <c r="F11" s="271">
        <v>6.5166666666666657</v>
      </c>
      <c r="G11" s="653"/>
      <c r="H11" s="387">
        <f t="shared" ref="H11" si="2">+E11/F11-1</f>
        <v>-1</v>
      </c>
      <c r="I11" s="256"/>
      <c r="J11" s="256"/>
      <c r="K11" s="257"/>
      <c r="L11" s="267"/>
    </row>
    <row r="12" spans="1:12" ht="12.75">
      <c r="A12" s="963"/>
      <c r="B12" s="684" t="s">
        <v>778</v>
      </c>
      <c r="C12" s="631" t="s">
        <v>782</v>
      </c>
      <c r="D12" s="271">
        <v>16.133333333333326</v>
      </c>
      <c r="E12" s="271"/>
      <c r="F12" s="271"/>
      <c r="G12" s="653"/>
      <c r="H12" s="387"/>
      <c r="I12" s="256"/>
      <c r="J12" s="256"/>
      <c r="K12" s="257"/>
      <c r="L12" s="267"/>
    </row>
    <row r="13" spans="1:12" ht="12.75" hidden="1" customHeight="1">
      <c r="A13" s="963"/>
      <c r="B13" s="684"/>
      <c r="C13" s="631"/>
      <c r="D13" s="271"/>
      <c r="E13" s="271"/>
      <c r="F13" s="271"/>
      <c r="G13" s="653"/>
      <c r="H13" s="387"/>
      <c r="I13" s="256"/>
      <c r="J13" s="256"/>
      <c r="K13" s="257"/>
      <c r="L13" s="267"/>
    </row>
    <row r="14" spans="1:12" ht="12.75" hidden="1" customHeight="1">
      <c r="A14" s="963"/>
      <c r="B14" s="684"/>
      <c r="C14" s="631"/>
      <c r="D14" s="271"/>
      <c r="E14" s="271"/>
      <c r="F14" s="271"/>
      <c r="G14" s="653"/>
      <c r="H14" s="387"/>
      <c r="I14" s="256"/>
      <c r="J14" s="256"/>
      <c r="K14" s="257"/>
      <c r="L14" s="267"/>
    </row>
    <row r="15" spans="1:12" ht="12.75" hidden="1" customHeight="1">
      <c r="A15" s="964"/>
      <c r="B15" s="684"/>
      <c r="C15" s="631"/>
      <c r="D15" s="271"/>
      <c r="E15" s="271"/>
      <c r="F15" s="271"/>
      <c r="G15" s="653"/>
      <c r="H15" s="387"/>
      <c r="I15" s="256"/>
      <c r="J15" s="256"/>
      <c r="K15" s="257"/>
      <c r="L15" s="267"/>
    </row>
    <row r="16" spans="1:12" ht="11.25" customHeight="1">
      <c r="A16" s="850" t="s">
        <v>202</v>
      </c>
      <c r="B16" s="851"/>
      <c r="C16" s="852"/>
      <c r="D16" s="853">
        <f>SUM(D7:D15)</f>
        <v>16.133333333333326</v>
      </c>
      <c r="E16" s="853">
        <f t="shared" ref="E16:F16" si="3">SUM(E7:E15)</f>
        <v>589.66666666666674</v>
      </c>
      <c r="F16" s="853">
        <f t="shared" si="3"/>
        <v>496.24999999999994</v>
      </c>
      <c r="G16" s="854">
        <f>+E16/F16-1</f>
        <v>0.1882451721242655</v>
      </c>
      <c r="H16" s="854">
        <f>+D16/E16-1</f>
        <v>-0.97263990955342006</v>
      </c>
      <c r="I16" s="256"/>
      <c r="J16" s="256"/>
      <c r="K16" s="257"/>
      <c r="L16" s="267"/>
    </row>
    <row r="17" spans="1:12" ht="11.25" customHeight="1">
      <c r="A17" s="383" t="str">
        <f>"Cuadro N° 14: Horas de operación de los principales equipos de congestión en "&amp;'1. Resumen'!Q4</f>
        <v>Cuadro N° 14: Horas de operación de los principales equipos de congestión en setiembre</v>
      </c>
      <c r="B17" s="272"/>
      <c r="C17" s="273"/>
      <c r="D17" s="274"/>
      <c r="E17" s="274"/>
      <c r="F17" s="275"/>
      <c r="G17" s="96"/>
      <c r="H17" s="102"/>
      <c r="I17" s="256"/>
      <c r="J17" s="256"/>
      <c r="K17" s="257"/>
      <c r="L17" s="267"/>
    </row>
    <row r="18" spans="1:12" ht="11.25" customHeight="1">
      <c r="A18" s="158"/>
      <c r="B18" s="272"/>
      <c r="C18" s="273"/>
      <c r="D18" s="274"/>
      <c r="E18" s="274"/>
      <c r="F18" s="275"/>
      <c r="G18" s="96"/>
      <c r="H18" s="96"/>
      <c r="I18" s="256"/>
      <c r="J18" s="256"/>
      <c r="K18" s="257"/>
      <c r="L18" s="267"/>
    </row>
    <row r="19" spans="1:12" ht="11.25" customHeight="1">
      <c r="A19" s="158"/>
      <c r="B19" s="272"/>
      <c r="C19" s="273"/>
      <c r="D19" s="274"/>
      <c r="E19" s="274"/>
      <c r="F19" s="275"/>
      <c r="G19" s="96"/>
      <c r="H19" s="96"/>
      <c r="I19" s="256"/>
      <c r="J19" s="256"/>
      <c r="K19" s="257"/>
      <c r="L19" s="267"/>
    </row>
    <row r="20" spans="1:12" ht="11.25" customHeight="1">
      <c r="A20" s="97"/>
      <c r="B20" s="199"/>
      <c r="C20" s="98"/>
      <c r="D20" s="99"/>
      <c r="E20" s="99"/>
      <c r="F20" s="100"/>
      <c r="G20" s="96"/>
      <c r="H20" s="96"/>
      <c r="I20" s="256"/>
      <c r="J20" s="256"/>
      <c r="K20" s="257"/>
      <c r="L20" s="267"/>
    </row>
    <row r="21" spans="1:12" ht="11.25" customHeight="1">
      <c r="A21" s="97"/>
      <c r="B21" s="199"/>
      <c r="C21" s="98"/>
      <c r="D21" s="99"/>
      <c r="E21" s="99"/>
      <c r="F21" s="100"/>
      <c r="G21" s="96"/>
      <c r="H21" s="96"/>
      <c r="I21" s="256"/>
      <c r="J21" s="256"/>
      <c r="K21" s="257"/>
      <c r="L21" s="267"/>
    </row>
    <row r="22" spans="1:12" ht="11.25" customHeight="1">
      <c r="A22" s="97"/>
      <c r="B22" s="199"/>
      <c r="C22" s="98"/>
      <c r="D22" s="99"/>
      <c r="E22" s="99"/>
      <c r="F22" s="100"/>
      <c r="G22" s="96"/>
      <c r="H22" s="96"/>
      <c r="I22" s="256"/>
      <c r="J22" s="256"/>
      <c r="K22" s="257"/>
      <c r="L22" s="268"/>
    </row>
    <row r="23" spans="1:12" ht="11.25" customHeight="1">
      <c r="A23" s="97"/>
      <c r="B23" s="199"/>
      <c r="C23" s="98"/>
      <c r="D23" s="99"/>
      <c r="E23" s="99"/>
      <c r="F23" s="100"/>
      <c r="G23" s="96"/>
      <c r="H23" s="96"/>
      <c r="I23" s="256"/>
      <c r="J23" s="256"/>
      <c r="K23" s="257"/>
      <c r="L23" s="267"/>
    </row>
    <row r="24" spans="1:12" ht="11.25" customHeight="1">
      <c r="A24" s="97"/>
      <c r="B24" s="199"/>
      <c r="C24" s="98"/>
      <c r="D24" s="99"/>
      <c r="E24" s="99"/>
      <c r="F24" s="100"/>
      <c r="G24" s="96"/>
      <c r="H24" s="96"/>
      <c r="I24" s="256"/>
      <c r="J24" s="256"/>
      <c r="K24" s="257"/>
      <c r="L24" s="267"/>
    </row>
    <row r="25" spans="1:12" ht="11.25" customHeight="1">
      <c r="A25" s="97"/>
      <c r="B25" s="199"/>
      <c r="C25" s="98"/>
      <c r="D25" s="99"/>
      <c r="E25" s="99"/>
      <c r="F25" s="100"/>
      <c r="G25" s="96"/>
      <c r="H25" s="96"/>
      <c r="I25" s="256"/>
      <c r="J25" s="256"/>
      <c r="K25" s="256"/>
      <c r="L25" s="74"/>
    </row>
    <row r="26" spans="1:12" ht="11.25" customHeight="1">
      <c r="A26" s="97"/>
      <c r="B26" s="199"/>
      <c r="C26" s="98"/>
      <c r="D26" s="99"/>
      <c r="E26" s="99"/>
      <c r="F26" s="100"/>
      <c r="G26" s="96"/>
      <c r="H26" s="96"/>
      <c r="I26" s="256"/>
      <c r="J26" s="256"/>
      <c r="K26" s="257"/>
      <c r="L26" s="267"/>
    </row>
    <row r="27" spans="1:12" ht="11.25" customHeight="1">
      <c r="A27" s="97"/>
      <c r="B27" s="199"/>
      <c r="C27" s="98"/>
      <c r="D27" s="99"/>
      <c r="E27" s="99"/>
      <c r="F27" s="100"/>
      <c r="G27" s="96"/>
      <c r="H27" s="96"/>
      <c r="I27" s="256"/>
      <c r="J27" s="256"/>
      <c r="K27" s="258"/>
      <c r="L27" s="267"/>
    </row>
    <row r="28" spans="1:12" ht="11.25" customHeight="1">
      <c r="A28" s="97"/>
      <c r="B28" s="199"/>
      <c r="C28" s="98"/>
      <c r="D28" s="99"/>
      <c r="E28" s="99"/>
      <c r="F28" s="100"/>
      <c r="G28" s="96"/>
      <c r="H28" s="96"/>
      <c r="I28" s="256"/>
      <c r="J28" s="256"/>
      <c r="K28" s="258"/>
      <c r="L28" s="267"/>
    </row>
    <row r="29" spans="1:12" ht="11.25" customHeight="1">
      <c r="A29" s="97"/>
      <c r="B29" s="199"/>
      <c r="C29" s="98"/>
      <c r="D29" s="99"/>
      <c r="E29" s="99"/>
      <c r="F29" s="100"/>
      <c r="G29" s="96"/>
      <c r="H29" s="96"/>
      <c r="I29" s="256"/>
      <c r="J29" s="256"/>
      <c r="K29" s="258"/>
      <c r="L29" s="267"/>
    </row>
    <row r="30" spans="1:12" ht="11.25" customHeight="1">
      <c r="A30" s="97"/>
      <c r="B30" s="199"/>
      <c r="C30" s="98"/>
      <c r="D30" s="99"/>
      <c r="E30" s="99"/>
      <c r="F30" s="100"/>
      <c r="G30" s="96"/>
      <c r="H30" s="96"/>
      <c r="I30" s="256"/>
      <c r="J30" s="256"/>
      <c r="K30" s="258"/>
      <c r="L30" s="267"/>
    </row>
    <row r="31" spans="1:12" ht="11.25" customHeight="1">
      <c r="A31" s="97"/>
      <c r="B31" s="199"/>
      <c r="C31" s="98"/>
      <c r="D31" s="99"/>
      <c r="E31" s="99"/>
      <c r="F31" s="100"/>
      <c r="G31" s="96"/>
      <c r="H31" s="96"/>
      <c r="I31" s="256"/>
      <c r="J31" s="256"/>
      <c r="K31" s="258"/>
      <c r="L31" s="267"/>
    </row>
    <row r="32" spans="1:12" ht="11.25" customHeight="1">
      <c r="A32" s="97"/>
      <c r="B32" s="199"/>
      <c r="C32" s="98"/>
      <c r="D32" s="99"/>
      <c r="E32" s="99"/>
      <c r="F32" s="100"/>
      <c r="G32" s="96"/>
      <c r="H32" s="96"/>
      <c r="I32" s="256"/>
      <c r="J32" s="256"/>
      <c r="K32" s="258"/>
      <c r="L32" s="267"/>
    </row>
    <row r="33" spans="1:12" ht="11.25" customHeight="1">
      <c r="A33" s="97"/>
      <c r="B33" s="199"/>
      <c r="C33" s="98"/>
      <c r="D33" s="99"/>
      <c r="E33" s="99"/>
      <c r="F33" s="100"/>
      <c r="G33" s="96"/>
      <c r="H33" s="96"/>
      <c r="I33" s="256"/>
      <c r="J33" s="256"/>
      <c r="K33" s="258"/>
      <c r="L33" s="267"/>
    </row>
    <row r="34" spans="1:12" ht="11.25" customHeight="1">
      <c r="A34" s="97"/>
      <c r="B34" s="199"/>
      <c r="C34" s="98"/>
      <c r="D34" s="99"/>
      <c r="E34" s="99"/>
      <c r="F34" s="100"/>
      <c r="G34" s="96"/>
      <c r="H34" s="96"/>
      <c r="I34" s="256"/>
      <c r="J34" s="256"/>
      <c r="K34" s="258"/>
      <c r="L34" s="269"/>
    </row>
    <row r="35" spans="1:12" ht="11.25" customHeight="1">
      <c r="A35" s="97"/>
      <c r="B35" s="199"/>
      <c r="C35" s="98"/>
      <c r="D35" s="99"/>
      <c r="E35" s="99"/>
      <c r="F35" s="100"/>
      <c r="G35" s="96"/>
      <c r="H35" s="96"/>
      <c r="I35" s="256"/>
      <c r="J35" s="256"/>
      <c r="K35" s="258"/>
      <c r="L35" s="267"/>
    </row>
    <row r="36" spans="1:12" ht="11.25" customHeight="1">
      <c r="A36" s="97"/>
      <c r="B36" s="199"/>
      <c r="C36" s="98"/>
      <c r="D36" s="99"/>
      <c r="E36" s="99"/>
      <c r="F36" s="100"/>
      <c r="G36" s="96"/>
      <c r="H36" s="96"/>
      <c r="I36" s="256"/>
      <c r="J36" s="256"/>
      <c r="K36" s="258"/>
      <c r="L36" s="267"/>
    </row>
    <row r="37" spans="1:12" ht="11.25" customHeight="1">
      <c r="A37" s="97"/>
      <c r="B37" s="97"/>
      <c r="C37" s="97"/>
      <c r="D37" s="97"/>
      <c r="E37" s="97"/>
      <c r="F37" s="97"/>
      <c r="G37" s="97"/>
      <c r="H37" s="97"/>
      <c r="I37" s="256"/>
      <c r="J37" s="256"/>
      <c r="K37" s="258"/>
      <c r="L37" s="267"/>
    </row>
    <row r="38" spans="1:12" ht="11.25" customHeight="1">
      <c r="A38" s="97"/>
      <c r="B38" s="97"/>
      <c r="C38" s="97"/>
      <c r="D38" s="97"/>
      <c r="E38" s="97"/>
      <c r="F38" s="97"/>
      <c r="G38" s="97"/>
      <c r="H38" s="97"/>
      <c r="I38" s="256"/>
      <c r="J38" s="256"/>
      <c r="K38" s="258"/>
      <c r="L38" s="267"/>
    </row>
    <row r="39" spans="1:12" ht="11.25" customHeight="1">
      <c r="A39" s="97"/>
      <c r="B39" s="97"/>
      <c r="C39" s="97"/>
      <c r="D39" s="97"/>
      <c r="E39" s="97"/>
      <c r="F39" s="97"/>
      <c r="G39" s="97"/>
      <c r="H39" s="97"/>
      <c r="I39" s="256"/>
      <c r="J39" s="256"/>
      <c r="K39" s="258"/>
      <c r="L39" s="267"/>
    </row>
    <row r="40" spans="1:12" ht="11.25" customHeight="1">
      <c r="A40" s="97"/>
      <c r="B40" s="97"/>
      <c r="C40" s="97"/>
      <c r="D40" s="97"/>
      <c r="E40" s="97"/>
      <c r="F40" s="97"/>
      <c r="G40" s="97"/>
      <c r="H40" s="97"/>
      <c r="I40" s="256"/>
      <c r="J40" s="256"/>
      <c r="K40" s="258"/>
      <c r="L40" s="267"/>
    </row>
    <row r="41" spans="1:12" ht="11.25" customHeight="1">
      <c r="A41" s="97"/>
      <c r="B41" s="97"/>
      <c r="C41" s="97"/>
      <c r="D41" s="97"/>
      <c r="E41" s="97"/>
      <c r="F41" s="97"/>
      <c r="G41" s="97"/>
      <c r="H41" s="97"/>
      <c r="I41" s="256"/>
      <c r="J41" s="256"/>
      <c r="K41" s="260"/>
      <c r="L41" s="75"/>
    </row>
    <row r="42" spans="1:12" ht="11.25" customHeight="1">
      <c r="A42" s="97"/>
      <c r="B42" s="97"/>
      <c r="C42" s="97"/>
      <c r="D42" s="97"/>
      <c r="E42" s="97"/>
      <c r="F42" s="97"/>
      <c r="G42" s="97"/>
      <c r="H42" s="97"/>
      <c r="I42" s="256"/>
      <c r="J42" s="256"/>
      <c r="K42" s="260"/>
      <c r="L42" s="76"/>
    </row>
    <row r="43" spans="1:12" ht="11.25" customHeight="1">
      <c r="A43" s="97"/>
      <c r="B43" s="97"/>
      <c r="C43" s="97"/>
      <c r="D43" s="97"/>
      <c r="E43" s="97"/>
      <c r="F43" s="97"/>
      <c r="G43" s="97"/>
      <c r="H43" s="97"/>
      <c r="I43" s="256"/>
      <c r="J43" s="256"/>
      <c r="K43" s="260"/>
      <c r="L43" s="76"/>
    </row>
    <row r="44" spans="1:12" ht="11.25" customHeight="1">
      <c r="A44" s="97"/>
      <c r="B44" s="97"/>
      <c r="C44" s="97"/>
      <c r="D44" s="97"/>
      <c r="E44" s="97"/>
      <c r="F44" s="97"/>
      <c r="G44" s="97"/>
      <c r="H44" s="97"/>
      <c r="I44" s="256"/>
      <c r="J44" s="256"/>
      <c r="K44" s="258"/>
    </row>
    <row r="45" spans="1:12" ht="11.25" customHeight="1">
      <c r="A45" s="97"/>
      <c r="B45" s="97"/>
      <c r="C45" s="97"/>
      <c r="D45" s="97"/>
      <c r="E45" s="97"/>
      <c r="F45" s="97"/>
      <c r="G45" s="97"/>
      <c r="H45" s="97"/>
      <c r="I45" s="256"/>
      <c r="J45" s="256"/>
      <c r="K45" s="258"/>
    </row>
    <row r="46" spans="1:12" ht="12.75">
      <c r="A46" s="93"/>
      <c r="B46" s="97"/>
      <c r="C46" s="97"/>
      <c r="D46" s="97"/>
      <c r="E46" s="97"/>
      <c r="F46" s="97"/>
      <c r="G46" s="97"/>
      <c r="H46" s="97"/>
      <c r="I46" s="256"/>
      <c r="J46" s="256"/>
      <c r="K46" s="258"/>
    </row>
    <row r="47" spans="1:12" ht="12.75">
      <c r="A47" s="97"/>
      <c r="B47" s="97"/>
      <c r="C47" s="97"/>
      <c r="D47" s="97"/>
      <c r="E47" s="97"/>
      <c r="F47" s="97"/>
      <c r="G47" s="97"/>
      <c r="H47" s="97"/>
      <c r="I47" s="256"/>
      <c r="J47" s="256"/>
      <c r="K47" s="258"/>
    </row>
    <row r="48" spans="1:12" ht="12.75">
      <c r="A48" s="97"/>
      <c r="B48" s="97"/>
      <c r="C48" s="97"/>
      <c r="D48" s="97"/>
      <c r="E48" s="97"/>
      <c r="F48" s="97"/>
      <c r="G48" s="97"/>
      <c r="H48" s="97"/>
      <c r="I48" s="256"/>
      <c r="J48" s="256"/>
      <c r="K48" s="258"/>
    </row>
    <row r="49" spans="1:11" ht="12.75">
      <c r="A49" s="97"/>
      <c r="B49" s="97"/>
      <c r="C49" s="97"/>
      <c r="D49" s="97"/>
      <c r="E49" s="97"/>
      <c r="F49" s="97"/>
      <c r="G49" s="97"/>
      <c r="H49" s="97"/>
      <c r="I49" s="256"/>
      <c r="J49" s="256"/>
      <c r="K49" s="258"/>
    </row>
    <row r="50" spans="1:11" ht="12.75">
      <c r="A50" s="97"/>
      <c r="B50" s="97"/>
      <c r="C50" s="97"/>
      <c r="D50" s="97"/>
      <c r="E50" s="97"/>
      <c r="F50" s="97"/>
      <c r="G50" s="97"/>
      <c r="H50" s="97"/>
      <c r="I50" s="256"/>
      <c r="J50" s="256"/>
      <c r="K50" s="258"/>
    </row>
    <row r="51" spans="1:11" ht="12.75">
      <c r="A51" s="97"/>
      <c r="B51" s="97"/>
      <c r="C51" s="97"/>
      <c r="D51" s="97"/>
      <c r="E51" s="97"/>
      <c r="F51" s="97"/>
      <c r="G51" s="97"/>
      <c r="H51" s="97"/>
      <c r="I51" s="132"/>
      <c r="J51" s="132"/>
      <c r="K51" s="258"/>
    </row>
    <row r="52" spans="1:11" ht="12.75">
      <c r="A52" s="97"/>
      <c r="B52" s="97"/>
      <c r="C52" s="97"/>
      <c r="D52" s="97"/>
      <c r="E52" s="97"/>
      <c r="F52" s="97"/>
      <c r="G52" s="97"/>
      <c r="H52" s="97"/>
      <c r="I52" s="132"/>
      <c r="J52" s="132"/>
      <c r="K52" s="258"/>
    </row>
    <row r="53" spans="1:11" ht="12.75">
      <c r="A53" s="97"/>
      <c r="B53" s="97"/>
      <c r="C53" s="97"/>
      <c r="D53" s="97"/>
      <c r="E53" s="97"/>
      <c r="F53" s="97"/>
      <c r="G53" s="97"/>
      <c r="H53" s="97"/>
      <c r="I53" s="132"/>
      <c r="J53" s="132"/>
      <c r="K53" s="258"/>
    </row>
    <row r="54" spans="1:11" ht="12.75">
      <c r="B54" s="97"/>
      <c r="C54" s="97"/>
      <c r="D54" s="97"/>
      <c r="E54" s="97"/>
      <c r="F54" s="97"/>
      <c r="G54" s="97"/>
      <c r="H54" s="97"/>
      <c r="I54" s="132"/>
      <c r="J54" s="132"/>
      <c r="K54" s="258"/>
    </row>
    <row r="55" spans="1:11" ht="12.75">
      <c r="A55" s="383" t="str">
        <f>"Gráfico N° 23: Comparación de las horas de operación de los principales equipos de congestión en "&amp;'1. Resumen'!Q4</f>
        <v>Gráfico N° 23: Comparación de las horas de operación de los principales equipos de congestión en setiembre</v>
      </c>
      <c r="B55" s="97"/>
      <c r="C55" s="97"/>
      <c r="D55" s="97"/>
      <c r="E55" s="97"/>
      <c r="F55" s="97"/>
      <c r="G55" s="97"/>
      <c r="H55" s="97"/>
      <c r="I55" s="132"/>
      <c r="J55" s="132"/>
      <c r="K55" s="258"/>
    </row>
    <row r="56" spans="1:11" ht="12.75">
      <c r="A56" s="97"/>
      <c r="B56" s="97"/>
      <c r="C56" s="97"/>
      <c r="D56" s="97"/>
      <c r="E56" s="97"/>
      <c r="F56" s="97"/>
      <c r="G56" s="97"/>
      <c r="H56" s="97"/>
      <c r="I56" s="257"/>
      <c r="J56" s="257"/>
      <c r="K56" s="258"/>
    </row>
    <row r="57" spans="1:11" ht="12.75">
      <c r="A57" s="256"/>
      <c r="B57" s="257"/>
      <c r="C57" s="257"/>
      <c r="D57" s="257"/>
      <c r="E57" s="257"/>
      <c r="F57" s="257"/>
      <c r="G57" s="257"/>
      <c r="H57" s="257"/>
      <c r="I57" s="257"/>
      <c r="J57" s="257"/>
      <c r="K57" s="258"/>
    </row>
    <row r="58" spans="1:11" ht="12.75">
      <c r="A58" s="256"/>
      <c r="B58" s="270"/>
      <c r="C58" s="258"/>
      <c r="D58" s="258"/>
      <c r="E58" s="258"/>
      <c r="F58" s="258"/>
      <c r="G58" s="257"/>
      <c r="H58" s="257"/>
      <c r="I58" s="257"/>
      <c r="J58" s="257"/>
      <c r="K58" s="258"/>
    </row>
    <row r="59" spans="1:11" ht="12.75">
      <c r="A59" s="2"/>
      <c r="B59" s="131"/>
      <c r="C59" s="131"/>
      <c r="D59" s="131"/>
      <c r="E59" s="131"/>
      <c r="F59" s="131"/>
      <c r="G59" s="131"/>
      <c r="H59" s="257"/>
      <c r="I59" s="257"/>
      <c r="J59" s="257"/>
      <c r="K59" s="258"/>
    </row>
    <row r="60" spans="1:11" ht="12.75">
      <c r="A60" s="2"/>
      <c r="B60" s="131"/>
      <c r="C60" s="131"/>
      <c r="D60" s="131"/>
      <c r="E60" s="131"/>
      <c r="F60" s="131"/>
      <c r="G60" s="131"/>
      <c r="H60" s="257"/>
      <c r="I60" s="257"/>
      <c r="J60" s="257"/>
      <c r="K60" s="257"/>
    </row>
    <row r="61" spans="1:11" ht="12.75">
      <c r="A61" s="2"/>
      <c r="B61" s="131"/>
      <c r="C61" s="131"/>
      <c r="D61" s="131"/>
      <c r="E61" s="131"/>
      <c r="F61" s="131"/>
      <c r="G61" s="131"/>
      <c r="H61" s="257"/>
      <c r="I61" s="257"/>
      <c r="J61" s="257"/>
      <c r="K61" s="257"/>
    </row>
  </sheetData>
  <mergeCells count="3">
    <mergeCell ref="A4:H4"/>
    <mergeCell ref="A2:H2"/>
    <mergeCell ref="A8:A15"/>
  </mergeCells>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0"/>
  <sheetViews>
    <sheetView showGridLines="0" view="pageBreakPreview" zoomScale="145" zoomScaleNormal="160" zoomScaleSheetLayoutView="145" zoomScalePageLayoutView="160" workbookViewId="0">
      <selection activeCell="J7" sqref="J7:J11"/>
    </sheetView>
  </sheetViews>
  <sheetFormatPr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3" ht="11.25" customHeight="1"/>
    <row r="2" spans="1:13" ht="32.25" customHeight="1">
      <c r="A2" s="973" t="s">
        <v>203</v>
      </c>
      <c r="B2" s="973"/>
      <c r="C2" s="973"/>
      <c r="D2" s="973"/>
      <c r="E2" s="973"/>
      <c r="F2" s="973"/>
      <c r="G2" s="973"/>
      <c r="H2" s="973"/>
      <c r="I2" s="973"/>
      <c r="J2" s="973"/>
      <c r="K2" s="197"/>
    </row>
    <row r="3" spans="1:13" ht="6.75" customHeight="1">
      <c r="A3" s="25"/>
      <c r="B3" s="276"/>
      <c r="C3" s="277"/>
      <c r="D3" s="24"/>
      <c r="E3" s="24"/>
      <c r="F3" s="278"/>
      <c r="G3" s="83"/>
      <c r="H3" s="83"/>
      <c r="I3" s="89"/>
      <c r="J3" s="197"/>
      <c r="K3" s="197"/>
      <c r="L3" s="254"/>
    </row>
    <row r="4" spans="1:13" ht="11.25" customHeight="1">
      <c r="A4" s="974" t="s">
        <v>204</v>
      </c>
      <c r="B4" s="974"/>
      <c r="C4" s="974"/>
      <c r="D4" s="974"/>
      <c r="E4" s="974"/>
      <c r="F4" s="974"/>
      <c r="G4" s="974"/>
      <c r="H4" s="974"/>
      <c r="I4" s="974"/>
      <c r="J4" s="974"/>
      <c r="K4" s="197"/>
      <c r="L4" s="254"/>
    </row>
    <row r="5" spans="1:13" ht="38.25" customHeight="1">
      <c r="A5" s="971" t="s">
        <v>205</v>
      </c>
      <c r="B5" s="813" t="s">
        <v>206</v>
      </c>
      <c r="C5" s="813" t="s">
        <v>207</v>
      </c>
      <c r="D5" s="813" t="s">
        <v>208</v>
      </c>
      <c r="E5" s="813" t="s">
        <v>209</v>
      </c>
      <c r="F5" s="813" t="s">
        <v>210</v>
      </c>
      <c r="G5" s="813" t="s">
        <v>211</v>
      </c>
      <c r="H5" s="813" t="s">
        <v>212</v>
      </c>
      <c r="I5" s="814" t="s">
        <v>213</v>
      </c>
      <c r="J5" s="813" t="s">
        <v>214</v>
      </c>
      <c r="K5" s="279"/>
    </row>
    <row r="6" spans="1:13" ht="11.25" customHeight="1">
      <c r="A6" s="972"/>
      <c r="B6" s="813" t="s">
        <v>215</v>
      </c>
      <c r="C6" s="813" t="s">
        <v>216</v>
      </c>
      <c r="D6" s="813" t="s">
        <v>217</v>
      </c>
      <c r="E6" s="813" t="s">
        <v>218</v>
      </c>
      <c r="F6" s="813" t="s">
        <v>219</v>
      </c>
      <c r="G6" s="813" t="s">
        <v>220</v>
      </c>
      <c r="H6" s="813" t="s">
        <v>221</v>
      </c>
      <c r="I6" s="815"/>
      <c r="J6" s="813" t="s">
        <v>222</v>
      </c>
      <c r="K6" s="26"/>
    </row>
    <row r="7" spans="1:13" ht="16.5">
      <c r="A7" s="622" t="s">
        <v>507</v>
      </c>
      <c r="B7" s="599">
        <v>15</v>
      </c>
      <c r="C7" s="600">
        <v>5</v>
      </c>
      <c r="D7" s="600">
        <v>4</v>
      </c>
      <c r="E7" s="601">
        <v>6</v>
      </c>
      <c r="F7" s="600">
        <v>10</v>
      </c>
      <c r="G7" s="600"/>
      <c r="H7" s="600"/>
      <c r="I7" s="602">
        <f>+SUM(B7:H7)</f>
        <v>40</v>
      </c>
      <c r="J7" s="603">
        <v>161.59000000000003</v>
      </c>
      <c r="K7" s="31"/>
    </row>
    <row r="8" spans="1:13">
      <c r="A8" s="604" t="s">
        <v>602</v>
      </c>
      <c r="B8" s="605">
        <v>1</v>
      </c>
      <c r="C8" s="605"/>
      <c r="D8" s="605"/>
      <c r="E8" s="606"/>
      <c r="F8" s="605"/>
      <c r="G8" s="605"/>
      <c r="H8" s="605"/>
      <c r="I8" s="607">
        <f>+SUM(B8:H8)</f>
        <v>1</v>
      </c>
      <c r="J8" s="608">
        <v>0.08</v>
      </c>
      <c r="K8" s="29"/>
    </row>
    <row r="9" spans="1:13">
      <c r="A9" s="622" t="s">
        <v>784</v>
      </c>
      <c r="B9" s="599"/>
      <c r="C9" s="600"/>
      <c r="D9" s="600"/>
      <c r="E9" s="601">
        <v>1</v>
      </c>
      <c r="F9" s="600">
        <v>2</v>
      </c>
      <c r="G9" s="600">
        <v>2</v>
      </c>
      <c r="H9" s="600"/>
      <c r="I9" s="602">
        <f>+SUM(B9:H9)</f>
        <v>5</v>
      </c>
      <c r="J9" s="603">
        <v>206.39999999999998</v>
      </c>
      <c r="K9" s="29"/>
    </row>
    <row r="10" spans="1:13">
      <c r="A10" s="604" t="s">
        <v>601</v>
      </c>
      <c r="B10" s="605">
        <v>1</v>
      </c>
      <c r="C10" s="605"/>
      <c r="D10" s="605"/>
      <c r="E10" s="606"/>
      <c r="F10" s="605"/>
      <c r="G10" s="605"/>
      <c r="H10" s="605"/>
      <c r="I10" s="607">
        <f>+SUM(B10:H10)</f>
        <v>1</v>
      </c>
      <c r="J10" s="608">
        <v>51</v>
      </c>
      <c r="K10" s="29"/>
    </row>
    <row r="11" spans="1:13">
      <c r="A11" s="622" t="s">
        <v>785</v>
      </c>
      <c r="B11" s="687"/>
      <c r="C11" s="688"/>
      <c r="D11" s="688"/>
      <c r="E11" s="689"/>
      <c r="F11" s="688">
        <v>1</v>
      </c>
      <c r="G11" s="688"/>
      <c r="H11" s="688"/>
      <c r="I11" s="602">
        <f>+SUM(B11:H11)</f>
        <v>1</v>
      </c>
      <c r="J11" s="603">
        <v>0.7</v>
      </c>
      <c r="K11" s="29"/>
    </row>
    <row r="12" spans="1:13">
      <c r="A12" s="604" t="s">
        <v>213</v>
      </c>
      <c r="B12" s="605">
        <f t="shared" ref="B12:J12" si="0">+SUM(B7:B11)</f>
        <v>17</v>
      </c>
      <c r="C12" s="605">
        <f t="shared" si="0"/>
        <v>5</v>
      </c>
      <c r="D12" s="605">
        <f t="shared" si="0"/>
        <v>4</v>
      </c>
      <c r="E12" s="606">
        <f t="shared" si="0"/>
        <v>7</v>
      </c>
      <c r="F12" s="605">
        <f t="shared" si="0"/>
        <v>13</v>
      </c>
      <c r="G12" s="605">
        <f t="shared" si="0"/>
        <v>2</v>
      </c>
      <c r="H12" s="605">
        <f t="shared" si="0"/>
        <v>0</v>
      </c>
      <c r="I12" s="607">
        <f t="shared" si="0"/>
        <v>48</v>
      </c>
      <c r="J12" s="608">
        <f t="shared" si="0"/>
        <v>419.77000000000004</v>
      </c>
      <c r="K12" s="29"/>
    </row>
    <row r="13" spans="1:13" ht="11.25" customHeight="1">
      <c r="A13" s="97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setiembre 2018</v>
      </c>
      <c r="B13" s="976"/>
      <c r="C13" s="976"/>
      <c r="D13" s="976"/>
      <c r="E13" s="976"/>
      <c r="F13" s="976"/>
      <c r="G13" s="976"/>
      <c r="H13" s="976"/>
      <c r="I13" s="976"/>
      <c r="J13" s="976"/>
      <c r="K13" s="29"/>
    </row>
    <row r="14" spans="1:13" ht="11.25" customHeight="1">
      <c r="A14" s="3"/>
      <c r="B14" s="3"/>
      <c r="C14" s="3"/>
      <c r="D14" s="3"/>
      <c r="E14" s="3"/>
      <c r="F14" s="3"/>
      <c r="G14" s="3"/>
      <c r="H14" s="3"/>
      <c r="I14" s="3"/>
      <c r="J14" s="3"/>
      <c r="K14" s="29"/>
    </row>
    <row r="15" spans="1:13" s="629" customFormat="1" ht="11.25" customHeight="1">
      <c r="A15" s="975" t="s">
        <v>546</v>
      </c>
      <c r="B15" s="975"/>
      <c r="C15" s="975"/>
      <c r="D15" s="975"/>
      <c r="E15" s="975"/>
      <c r="F15" s="975"/>
      <c r="G15" s="975"/>
      <c r="H15" s="975"/>
      <c r="I15" s="975"/>
      <c r="J15" s="975"/>
      <c r="K15" s="627"/>
      <c r="L15" s="628"/>
      <c r="M15" s="628"/>
    </row>
    <row r="16" spans="1:13" ht="11.25" customHeight="1">
      <c r="A16" s="25"/>
      <c r="B16" s="282"/>
      <c r="C16" s="281"/>
      <c r="D16" s="281"/>
      <c r="E16" s="281"/>
      <c r="F16" s="281"/>
      <c r="G16" s="232"/>
      <c r="H16" s="232"/>
      <c r="I16" s="159"/>
      <c r="J16" s="237"/>
      <c r="K16" s="237"/>
      <c r="L16" s="29"/>
    </row>
    <row r="17" spans="1:12" ht="11.25" customHeight="1">
      <c r="A17" s="968" t="str">
        <f>"FALLAS  POR TIPO DE CAUSA  -  "&amp;UPPER('1. Resumen'!Q4)&amp;" "&amp;'1. Resumen'!Q5</f>
        <v>FALLAS  POR TIPO DE CAUSA  -  SETIEMBRE 2018</v>
      </c>
      <c r="B17" s="968"/>
      <c r="C17" s="968"/>
      <c r="D17" s="968"/>
      <c r="E17" s="968" t="str">
        <f>"FALLAS  POR TIPO DE EQUIPO  -  "&amp;UPPER('1. Resumen'!Q4)&amp;" "&amp;'1. Resumen'!Q5</f>
        <v>FALLAS  POR TIPO DE EQUIPO  -  SETIEMBRE 2018</v>
      </c>
      <c r="F17" s="968"/>
      <c r="G17" s="968"/>
      <c r="H17" s="968"/>
      <c r="I17" s="968"/>
      <c r="J17" s="968"/>
      <c r="K17" s="237"/>
      <c r="L17" s="29"/>
    </row>
    <row r="18" spans="1:12" ht="11.25" customHeight="1">
      <c r="A18" s="25"/>
      <c r="E18" s="281"/>
      <c r="F18" s="281"/>
      <c r="G18" s="232"/>
      <c r="H18" s="232"/>
      <c r="I18" s="159"/>
      <c r="J18" s="132"/>
      <c r="K18" s="132"/>
      <c r="L18" s="29"/>
    </row>
    <row r="19" spans="1:12" ht="11.25" customHeight="1">
      <c r="A19" s="25"/>
      <c r="B19" s="282"/>
      <c r="C19" s="281"/>
      <c r="D19" s="281"/>
      <c r="E19" s="281"/>
      <c r="F19" s="281"/>
      <c r="G19" s="232"/>
      <c r="H19" s="232"/>
      <c r="I19" s="159"/>
      <c r="J19" s="132"/>
      <c r="K19" s="132"/>
      <c r="L19" s="39"/>
    </row>
    <row r="20" spans="1:12" ht="11.25" customHeight="1">
      <c r="A20" s="25"/>
      <c r="B20" s="282"/>
      <c r="C20" s="281"/>
      <c r="D20" s="281"/>
      <c r="E20" s="281"/>
      <c r="F20" s="281"/>
      <c r="G20" s="232"/>
      <c r="H20" s="232"/>
      <c r="I20" s="159"/>
      <c r="J20" s="132"/>
      <c r="K20" s="132"/>
      <c r="L20" s="29"/>
    </row>
    <row r="21" spans="1:12" ht="11.25" customHeight="1">
      <c r="A21" s="25"/>
      <c r="B21" s="282"/>
      <c r="C21" s="281"/>
      <c r="D21" s="281"/>
      <c r="E21" s="281"/>
      <c r="F21" s="281"/>
      <c r="G21" s="232"/>
      <c r="H21" s="232"/>
      <c r="I21" s="159"/>
      <c r="J21" s="132"/>
      <c r="K21" s="132"/>
      <c r="L21" s="29"/>
    </row>
    <row r="22" spans="1:12" ht="11.25" customHeight="1">
      <c r="A22" s="25"/>
      <c r="B22" s="282"/>
      <c r="C22" s="281"/>
      <c r="D22" s="281"/>
      <c r="E22" s="281"/>
      <c r="F22" s="281"/>
      <c r="G22" s="232"/>
      <c r="H22" s="232"/>
      <c r="I22" s="159"/>
      <c r="J22" s="132"/>
      <c r="K22" s="132"/>
      <c r="L22" s="29"/>
    </row>
    <row r="23" spans="1:12" ht="11.25" customHeight="1">
      <c r="A23" s="25"/>
      <c r="B23" s="282"/>
      <c r="C23" s="281"/>
      <c r="D23" s="281"/>
      <c r="E23" s="281"/>
      <c r="F23" s="281"/>
      <c r="G23" s="232"/>
      <c r="H23" s="232"/>
      <c r="I23" s="159"/>
      <c r="J23" s="132"/>
      <c r="K23" s="132"/>
      <c r="L23" s="39"/>
    </row>
    <row r="24" spans="1:12" ht="11.25" customHeight="1">
      <c r="A24" s="25"/>
      <c r="B24" s="282"/>
      <c r="C24" s="281"/>
      <c r="D24" s="281"/>
      <c r="E24" s="281"/>
      <c r="F24" s="281"/>
      <c r="G24" s="232"/>
      <c r="H24" s="232"/>
      <c r="I24" s="159"/>
      <c r="J24" s="132"/>
      <c r="K24" s="132"/>
      <c r="L24" s="29"/>
    </row>
    <row r="25" spans="1:12" ht="11.25" customHeight="1">
      <c r="A25" s="25"/>
      <c r="B25" s="282"/>
      <c r="C25" s="281"/>
      <c r="D25" s="281"/>
      <c r="E25" s="281"/>
      <c r="F25" s="281"/>
      <c r="G25" s="232"/>
      <c r="H25" s="232"/>
      <c r="I25" s="159"/>
      <c r="J25" s="132"/>
      <c r="K25" s="132"/>
      <c r="L25" s="29"/>
    </row>
    <row r="26" spans="1:12" ht="11.25" customHeight="1">
      <c r="A26" s="25"/>
      <c r="B26" s="282"/>
      <c r="C26" s="281"/>
      <c r="D26" s="281"/>
      <c r="E26" s="281"/>
      <c r="F26" s="281"/>
      <c r="G26" s="232"/>
      <c r="H26" s="232"/>
      <c r="I26" s="159"/>
      <c r="J26" s="132"/>
      <c r="K26" s="132"/>
      <c r="L26" s="29"/>
    </row>
    <row r="27" spans="1:12" ht="11.25" customHeight="1">
      <c r="A27" s="25"/>
      <c r="B27" s="282"/>
      <c r="C27" s="281"/>
      <c r="D27" s="281"/>
      <c r="E27" s="281"/>
      <c r="F27" s="281"/>
      <c r="G27" s="232"/>
      <c r="H27" s="232"/>
      <c r="I27" s="159"/>
      <c r="J27" s="132"/>
      <c r="K27" s="132"/>
      <c r="L27" s="29"/>
    </row>
    <row r="28" spans="1:12" ht="11.25" customHeight="1">
      <c r="A28" s="25"/>
      <c r="B28" s="282"/>
      <c r="C28" s="281"/>
      <c r="D28" s="281"/>
      <c r="E28" s="281"/>
      <c r="F28" s="281"/>
      <c r="G28" s="232"/>
      <c r="H28" s="232"/>
      <c r="I28" s="159"/>
      <c r="J28" s="132"/>
      <c r="K28" s="132"/>
      <c r="L28" s="29"/>
    </row>
    <row r="29" spans="1:12" ht="11.25" customHeight="1">
      <c r="A29" s="25"/>
      <c r="B29" s="282"/>
      <c r="C29" s="281"/>
      <c r="D29" s="281"/>
      <c r="E29" s="281"/>
      <c r="F29" s="281"/>
      <c r="G29" s="232"/>
      <c r="H29" s="232"/>
      <c r="I29" s="159"/>
      <c r="J29" s="132"/>
      <c r="K29" s="132"/>
      <c r="L29" s="29"/>
    </row>
    <row r="30" spans="1:12" ht="11.25" customHeight="1">
      <c r="A30" s="25"/>
      <c r="B30" s="282"/>
      <c r="C30" s="281"/>
      <c r="D30" s="281"/>
      <c r="E30" s="281"/>
      <c r="F30" s="281"/>
      <c r="G30" s="232"/>
      <c r="H30" s="232"/>
      <c r="I30" s="159"/>
      <c r="J30" s="132"/>
      <c r="K30" s="132"/>
      <c r="L30" s="29"/>
    </row>
    <row r="31" spans="1:12" ht="11.25" customHeight="1">
      <c r="A31" s="25"/>
      <c r="B31" s="282"/>
      <c r="C31" s="281"/>
      <c r="D31" s="281"/>
      <c r="E31" s="281"/>
      <c r="F31" s="281"/>
      <c r="G31" s="232"/>
      <c r="H31" s="232"/>
      <c r="I31" s="159"/>
      <c r="J31" s="132"/>
      <c r="K31" s="132"/>
      <c r="L31" s="29"/>
    </row>
    <row r="32" spans="1:12" ht="11.25" customHeight="1">
      <c r="A32" s="25"/>
      <c r="B32" s="282"/>
      <c r="C32" s="281"/>
      <c r="D32" s="281"/>
      <c r="E32" s="281"/>
      <c r="F32" s="281"/>
      <c r="G32" s="232"/>
      <c r="H32" s="232"/>
      <c r="I32" s="159"/>
      <c r="J32" s="132"/>
      <c r="K32" s="132"/>
      <c r="L32" s="29"/>
    </row>
    <row r="33" spans="1:12" ht="11.25" customHeight="1">
      <c r="A33" s="25"/>
      <c r="B33" s="282"/>
      <c r="C33" s="281"/>
      <c r="D33" s="281"/>
      <c r="E33" s="281"/>
      <c r="F33" s="281"/>
      <c r="G33" s="232"/>
      <c r="H33" s="232"/>
      <c r="I33" s="159"/>
      <c r="J33" s="132"/>
      <c r="K33" s="132"/>
      <c r="L33" s="29"/>
    </row>
    <row r="34" spans="1:12" ht="11.25" customHeight="1">
      <c r="A34" s="25"/>
      <c r="B34" s="282"/>
      <c r="C34" s="281"/>
      <c r="D34" s="281"/>
      <c r="E34" s="281"/>
      <c r="F34" s="281"/>
      <c r="G34" s="232"/>
      <c r="H34" s="232"/>
      <c r="I34" s="159"/>
      <c r="J34" s="132"/>
      <c r="K34" s="132"/>
      <c r="L34" s="29"/>
    </row>
    <row r="35" spans="1:12" ht="23.25" customHeight="1">
      <c r="A35" s="967" t="s">
        <v>542</v>
      </c>
      <c r="B35" s="967"/>
      <c r="C35" s="967"/>
      <c r="D35" s="388"/>
      <c r="E35" s="970" t="s">
        <v>543</v>
      </c>
      <c r="F35" s="970"/>
      <c r="G35" s="970"/>
      <c r="H35" s="970"/>
      <c r="I35" s="970"/>
      <c r="J35" s="970"/>
      <c r="K35" s="283"/>
      <c r="L35" s="29"/>
    </row>
    <row r="36" spans="1:12" ht="11.25" customHeight="1">
      <c r="A36" s="25"/>
      <c r="B36" s="191"/>
      <c r="C36" s="191"/>
      <c r="D36" s="191"/>
      <c r="E36" s="191"/>
      <c r="F36" s="191"/>
      <c r="G36" s="237"/>
      <c r="H36" s="237"/>
      <c r="I36" s="237"/>
      <c r="J36" s="283"/>
      <c r="K36" s="283"/>
      <c r="L36" s="29"/>
    </row>
    <row r="37" spans="1:12" ht="6.75" customHeight="1">
      <c r="A37" s="25"/>
      <c r="B37" s="191"/>
      <c r="C37" s="191"/>
      <c r="D37" s="191"/>
      <c r="E37" s="191"/>
      <c r="F37" s="191"/>
      <c r="G37" s="237"/>
      <c r="H37" s="237"/>
      <c r="I37" s="237"/>
      <c r="J37" s="283"/>
      <c r="K37" s="283"/>
      <c r="L37" s="284"/>
    </row>
    <row r="38" spans="1:12" ht="11.25" customHeight="1">
      <c r="A38" s="969" t="str">
        <f>"ENERGIA INTERRUMPIDA APROXIMADA POR TIPO DE EQUIPO (MWh)  -  "&amp;UPPER('1. Resumen'!Q4)&amp;" "&amp;'1. Resumen'!Q5</f>
        <v>ENERGIA INTERRUMPIDA APROXIMADA POR TIPO DE EQUIPO (MWh)  -  SETIEMBRE 2018</v>
      </c>
      <c r="B38" s="969"/>
      <c r="C38" s="969"/>
      <c r="D38" s="969"/>
      <c r="E38" s="969"/>
      <c r="F38" s="969"/>
      <c r="G38" s="969"/>
      <c r="H38" s="969"/>
      <c r="I38" s="969"/>
      <c r="J38" s="969"/>
      <c r="K38" s="283"/>
      <c r="L38" s="285"/>
    </row>
    <row r="39" spans="1:12" ht="11.25" customHeight="1">
      <c r="A39" s="25"/>
      <c r="B39" s="191"/>
      <c r="C39" s="191"/>
      <c r="D39" s="191"/>
      <c r="E39" s="191"/>
      <c r="F39" s="191"/>
      <c r="G39" s="237"/>
      <c r="H39" s="237"/>
      <c r="I39" s="237"/>
      <c r="J39" s="283"/>
      <c r="K39" s="283"/>
      <c r="L39" s="285"/>
    </row>
    <row r="40" spans="1:12" ht="11.25" customHeight="1">
      <c r="A40" s="25"/>
      <c r="B40" s="191"/>
      <c r="C40" s="237"/>
      <c r="D40" s="237"/>
      <c r="E40" s="237"/>
      <c r="F40" s="237"/>
      <c r="G40" s="237"/>
      <c r="H40" s="237"/>
      <c r="I40" s="237"/>
      <c r="J40" s="283"/>
      <c r="K40" s="283"/>
      <c r="L40" s="285"/>
    </row>
    <row r="41" spans="1:12" ht="11.25" customHeight="1">
      <c r="A41" s="25"/>
      <c r="B41" s="191"/>
      <c r="C41" s="237"/>
      <c r="D41" s="237"/>
      <c r="E41" s="237"/>
      <c r="F41" s="237"/>
      <c r="G41" s="237"/>
      <c r="H41" s="237"/>
    </row>
    <row r="42" spans="1:12" ht="12.75">
      <c r="A42" s="25"/>
      <c r="B42" s="191"/>
      <c r="J42" s="283"/>
      <c r="K42" s="283"/>
      <c r="L42" s="285"/>
    </row>
    <row r="43" spans="1:12" ht="12.75">
      <c r="A43" s="25"/>
      <c r="B43" s="191"/>
      <c r="C43" s="191"/>
      <c r="D43" s="191"/>
      <c r="E43" s="191"/>
      <c r="F43" s="191"/>
      <c r="G43" s="237"/>
      <c r="H43" s="237"/>
      <c r="I43" s="237"/>
      <c r="J43" s="283"/>
      <c r="K43" s="283"/>
      <c r="L43" s="285"/>
    </row>
    <row r="44" spans="1:12" ht="12.75">
      <c r="A44" s="25"/>
      <c r="B44" s="191"/>
      <c r="C44" s="191"/>
      <c r="D44" s="191"/>
      <c r="E44" s="191"/>
      <c r="F44" s="191"/>
      <c r="G44" s="237"/>
      <c r="H44" s="237"/>
      <c r="I44" s="237"/>
      <c r="J44" s="283"/>
      <c r="K44" s="283"/>
      <c r="L44" s="285"/>
    </row>
    <row r="45" spans="1:12" ht="12.75">
      <c r="A45" s="25"/>
      <c r="B45" s="191"/>
      <c r="C45" s="191"/>
      <c r="D45" s="191"/>
      <c r="E45" s="191"/>
      <c r="F45" s="191"/>
      <c r="G45" s="237"/>
      <c r="H45" s="237"/>
      <c r="I45" s="237"/>
      <c r="J45" s="283"/>
      <c r="K45" s="283"/>
      <c r="L45" s="285"/>
    </row>
    <row r="46" spans="1:12" ht="12.75">
      <c r="A46" s="25"/>
      <c r="B46" s="191"/>
      <c r="C46" s="191"/>
      <c r="D46" s="191"/>
      <c r="E46" s="191"/>
      <c r="F46" s="191"/>
      <c r="G46" s="237"/>
      <c r="H46" s="237"/>
      <c r="I46" s="237"/>
      <c r="J46" s="283"/>
      <c r="K46" s="283"/>
      <c r="L46" s="285"/>
    </row>
    <row r="47" spans="1:12" ht="12.75">
      <c r="A47" s="197"/>
      <c r="B47" s="237"/>
      <c r="C47" s="237"/>
      <c r="D47" s="237"/>
      <c r="E47" s="237"/>
      <c r="F47" s="237"/>
      <c r="G47" s="237"/>
      <c r="H47" s="237"/>
      <c r="I47" s="237"/>
      <c r="J47" s="283"/>
      <c r="K47" s="283"/>
      <c r="L47" s="285"/>
    </row>
    <row r="48" spans="1:12" ht="12.75">
      <c r="A48" s="197"/>
      <c r="B48" s="237"/>
      <c r="C48" s="237"/>
      <c r="D48" s="237"/>
      <c r="E48" s="237"/>
      <c r="F48" s="237"/>
      <c r="G48" s="237"/>
      <c r="H48" s="237"/>
      <c r="I48" s="237"/>
      <c r="J48" s="283"/>
      <c r="K48" s="283"/>
      <c r="L48" s="285"/>
    </row>
    <row r="49" spans="1:12" ht="12.75">
      <c r="A49" s="197"/>
      <c r="B49" s="237"/>
      <c r="C49" s="237"/>
      <c r="D49" s="237"/>
      <c r="E49" s="237"/>
      <c r="F49" s="237"/>
      <c r="G49" s="237"/>
      <c r="H49" s="237"/>
      <c r="I49" s="237"/>
      <c r="J49" s="283"/>
      <c r="K49" s="283"/>
      <c r="L49" s="285"/>
    </row>
    <row r="50" spans="1:12" ht="12.75">
      <c r="A50" s="197"/>
      <c r="B50" s="237"/>
      <c r="C50" s="237"/>
      <c r="D50" s="237"/>
      <c r="E50" s="237"/>
      <c r="F50" s="237"/>
      <c r="G50" s="237"/>
      <c r="H50" s="237"/>
      <c r="I50" s="237"/>
      <c r="J50" s="283"/>
      <c r="K50" s="283"/>
      <c r="L50" s="285"/>
    </row>
    <row r="51" spans="1:12" ht="12.75">
      <c r="A51" s="197"/>
      <c r="B51" s="237"/>
      <c r="C51" s="237"/>
      <c r="D51" s="237"/>
      <c r="E51" s="237"/>
      <c r="F51" s="237"/>
      <c r="G51" s="237"/>
      <c r="H51" s="237"/>
      <c r="I51" s="237"/>
      <c r="J51" s="283"/>
      <c r="K51" s="283"/>
      <c r="L51" s="285"/>
    </row>
    <row r="52" spans="1:12" ht="12.75">
      <c r="A52" s="197"/>
      <c r="B52" s="237"/>
      <c r="C52" s="237"/>
      <c r="D52" s="237"/>
      <c r="E52" s="237"/>
      <c r="F52" s="237"/>
      <c r="G52" s="237"/>
      <c r="H52" s="237"/>
      <c r="I52" s="237"/>
      <c r="J52" s="283"/>
      <c r="K52" s="283"/>
      <c r="L52" s="285"/>
    </row>
    <row r="53" spans="1:12">
      <c r="A53" s="389" t="str">
        <f>"Gráfico N°26: Comparación de la energía interrumpida aproximada por tipo de equipo en "&amp;'1. Resumen'!Q4&amp;" "&amp;'1. Resumen'!Q5</f>
        <v>Gráfico N°26: Comparación de la energía interrumpida aproximada por tipo de equipo en setiembre 2018</v>
      </c>
      <c r="B53" s="237"/>
      <c r="C53" s="237"/>
      <c r="D53" s="237"/>
      <c r="E53" s="237"/>
      <c r="F53" s="237"/>
      <c r="G53" s="237"/>
      <c r="H53" s="237"/>
      <c r="I53" s="237"/>
      <c r="J53" s="283"/>
      <c r="K53" s="283"/>
      <c r="L53" s="285"/>
    </row>
    <row r="54" spans="1:12">
      <c r="A54" s="3"/>
      <c r="B54" s="237"/>
      <c r="C54" s="237"/>
      <c r="D54" s="237"/>
      <c r="E54" s="237"/>
      <c r="F54" s="237"/>
      <c r="G54" s="237"/>
      <c r="H54" s="237"/>
      <c r="I54" s="237"/>
      <c r="J54" s="283"/>
      <c r="K54" s="283"/>
      <c r="L54" s="285"/>
    </row>
    <row r="55" spans="1:12" ht="24.75" customHeight="1">
      <c r="A55" s="965" t="s">
        <v>223</v>
      </c>
      <c r="B55" s="965"/>
      <c r="C55" s="965"/>
      <c r="D55" s="965"/>
      <c r="E55" s="965"/>
      <c r="F55" s="965"/>
      <c r="G55" s="965"/>
      <c r="H55" s="965"/>
      <c r="I55" s="965"/>
      <c r="J55" s="965"/>
      <c r="K55" s="283"/>
      <c r="L55" s="285"/>
    </row>
    <row r="56" spans="1:12" ht="11.25" customHeight="1">
      <c r="A56" s="966" t="s">
        <v>224</v>
      </c>
      <c r="B56" s="966"/>
      <c r="C56" s="966"/>
      <c r="D56" s="966"/>
      <c r="E56" s="966"/>
      <c r="F56" s="966"/>
      <c r="G56" s="966"/>
      <c r="H56" s="966"/>
      <c r="I56" s="966"/>
      <c r="J56" s="966"/>
      <c r="K56" s="283"/>
      <c r="L56" s="285"/>
    </row>
    <row r="57" spans="1:12" ht="12.75">
      <c r="A57" s="197"/>
      <c r="B57" s="237"/>
      <c r="C57" s="237"/>
      <c r="D57" s="237"/>
      <c r="E57" s="237"/>
      <c r="F57" s="237"/>
      <c r="G57" s="237"/>
      <c r="H57" s="237"/>
      <c r="I57" s="237"/>
      <c r="J57" s="283"/>
      <c r="K57" s="283"/>
      <c r="L57" s="285"/>
    </row>
    <row r="58" spans="1:12" ht="12.75">
      <c r="A58" s="197"/>
      <c r="B58" s="237"/>
      <c r="C58" s="237"/>
      <c r="D58" s="237"/>
      <c r="E58" s="237"/>
      <c r="F58" s="237"/>
      <c r="G58" s="237"/>
      <c r="H58" s="237"/>
      <c r="I58" s="237"/>
      <c r="J58" s="283"/>
      <c r="K58" s="283"/>
      <c r="L58" s="285"/>
    </row>
    <row r="59" spans="1:12" ht="12.75">
      <c r="A59" s="197"/>
      <c r="B59" s="237"/>
      <c r="C59" s="237"/>
      <c r="D59" s="237"/>
      <c r="E59" s="237"/>
      <c r="F59" s="237"/>
      <c r="G59" s="237"/>
      <c r="H59" s="237"/>
      <c r="I59" s="237"/>
      <c r="J59" s="283"/>
      <c r="K59" s="283"/>
      <c r="L59" s="285"/>
    </row>
    <row r="60" spans="1:12" ht="12.75">
      <c r="A60" s="197"/>
      <c r="B60" s="237"/>
      <c r="C60" s="237"/>
      <c r="D60" s="237"/>
      <c r="E60" s="237"/>
      <c r="F60" s="237"/>
      <c r="G60" s="237"/>
      <c r="H60" s="237"/>
      <c r="I60" s="237"/>
      <c r="J60" s="283"/>
      <c r="K60" s="283"/>
      <c r="L60" s="285"/>
    </row>
    <row r="61" spans="1:12" ht="12.75">
      <c r="A61" s="197"/>
      <c r="B61" s="237"/>
      <c r="C61" s="237"/>
      <c r="D61" s="237"/>
      <c r="E61" s="237"/>
      <c r="F61" s="237"/>
      <c r="G61" s="237"/>
      <c r="H61" s="237"/>
      <c r="I61" s="237"/>
      <c r="J61" s="283"/>
      <c r="K61" s="283"/>
      <c r="L61" s="285"/>
    </row>
    <row r="62" spans="1:12" ht="12.75">
      <c r="A62" s="197"/>
      <c r="B62" s="237"/>
      <c r="C62" s="237"/>
      <c r="D62" s="237"/>
      <c r="E62" s="237"/>
      <c r="F62" s="237"/>
      <c r="G62" s="237"/>
      <c r="H62" s="237"/>
      <c r="I62" s="237"/>
      <c r="J62" s="283"/>
      <c r="K62" s="283"/>
      <c r="L62" s="285"/>
    </row>
    <row r="63" spans="1:12" ht="12.75">
      <c r="A63" s="197"/>
      <c r="B63" s="237"/>
      <c r="C63" s="237"/>
      <c r="D63" s="237"/>
      <c r="E63" s="237"/>
      <c r="F63" s="237"/>
      <c r="G63" s="237"/>
      <c r="H63" s="237"/>
      <c r="I63" s="237"/>
      <c r="J63" s="283"/>
      <c r="K63" s="283"/>
      <c r="L63" s="285"/>
    </row>
    <row r="64" spans="1:12" ht="12.75">
      <c r="A64" s="197"/>
      <c r="B64" s="237"/>
      <c r="C64" s="237"/>
      <c r="D64" s="237"/>
      <c r="E64" s="237"/>
      <c r="F64" s="237"/>
      <c r="G64" s="237"/>
      <c r="H64" s="237"/>
      <c r="I64" s="237"/>
      <c r="J64" s="283"/>
      <c r="K64" s="283"/>
      <c r="L64" s="285"/>
    </row>
    <row r="65" spans="1:12" ht="12.75">
      <c r="A65" s="197"/>
      <c r="B65" s="237"/>
      <c r="C65" s="237"/>
      <c r="D65" s="237"/>
      <c r="E65" s="237"/>
      <c r="F65" s="237"/>
      <c r="G65" s="237"/>
      <c r="H65" s="237"/>
      <c r="I65" s="237"/>
      <c r="J65" s="283"/>
      <c r="K65" s="283"/>
      <c r="L65" s="285"/>
    </row>
    <row r="66" spans="1:12" ht="12.75">
      <c r="A66" s="197"/>
      <c r="B66" s="237"/>
      <c r="C66" s="237"/>
      <c r="D66" s="237"/>
      <c r="E66" s="237"/>
      <c r="F66" s="237"/>
      <c r="G66" s="237"/>
      <c r="H66" s="237"/>
      <c r="I66" s="237"/>
      <c r="J66" s="283"/>
      <c r="K66" s="283"/>
      <c r="L66" s="285"/>
    </row>
    <row r="67" spans="1:12" ht="12.75">
      <c r="A67" s="197"/>
      <c r="B67" s="237"/>
      <c r="C67" s="3"/>
      <c r="D67" s="3"/>
      <c r="E67" s="3"/>
      <c r="F67" s="3"/>
      <c r="G67" s="3"/>
      <c r="H67" s="3"/>
      <c r="I67" s="3"/>
      <c r="J67" s="283"/>
      <c r="K67" s="283"/>
      <c r="L67" s="285"/>
    </row>
    <row r="68" spans="1:12" ht="12.75">
      <c r="A68" s="197"/>
      <c r="B68" s="237"/>
      <c r="C68" s="3"/>
      <c r="D68" s="3"/>
      <c r="E68" s="3"/>
      <c r="F68" s="3"/>
      <c r="G68" s="3"/>
      <c r="H68" s="3"/>
      <c r="I68" s="3"/>
      <c r="J68" s="283"/>
      <c r="K68" s="283"/>
      <c r="L68" s="285"/>
    </row>
    <row r="69" spans="1:12" ht="12.75">
      <c r="A69" s="197"/>
      <c r="B69" s="237"/>
      <c r="C69" s="3"/>
      <c r="D69" s="3"/>
      <c r="E69" s="3"/>
      <c r="F69" s="3"/>
      <c r="G69" s="3"/>
      <c r="H69" s="3"/>
      <c r="I69" s="3"/>
      <c r="J69" s="283"/>
      <c r="K69" s="283"/>
      <c r="L69" s="285"/>
    </row>
    <row r="70" spans="1:12" ht="12.75">
      <c r="A70" s="197"/>
      <c r="B70" s="237"/>
      <c r="C70" s="3"/>
      <c r="D70" s="3"/>
      <c r="E70" s="3"/>
      <c r="F70" s="3"/>
      <c r="G70" s="3"/>
      <c r="H70" s="3"/>
      <c r="I70" s="3"/>
      <c r="J70" s="283"/>
      <c r="K70" s="283"/>
      <c r="L70" s="285"/>
    </row>
    <row r="71" spans="1:12">
      <c r="B71" s="285"/>
      <c r="C71" s="285"/>
      <c r="D71" s="285"/>
      <c r="E71" s="285"/>
      <c r="F71" s="285"/>
      <c r="G71" s="285"/>
      <c r="H71" s="285"/>
      <c r="I71" s="285"/>
      <c r="J71" s="285"/>
      <c r="K71" s="285"/>
      <c r="L71" s="285"/>
    </row>
    <row r="72" spans="1:12">
      <c r="B72" s="285"/>
      <c r="C72" s="285"/>
      <c r="D72" s="285"/>
      <c r="E72" s="285"/>
      <c r="F72" s="285"/>
      <c r="G72" s="285"/>
      <c r="H72" s="285"/>
      <c r="I72" s="285"/>
      <c r="J72" s="285"/>
      <c r="K72" s="285"/>
      <c r="L72" s="285"/>
    </row>
    <row r="73" spans="1:12">
      <c r="B73" s="285"/>
      <c r="C73" s="285"/>
      <c r="D73" s="285"/>
      <c r="E73" s="285"/>
      <c r="F73" s="285"/>
      <c r="G73" s="285"/>
      <c r="H73" s="285"/>
      <c r="I73" s="285"/>
      <c r="J73" s="285"/>
      <c r="K73" s="285"/>
      <c r="L73" s="285"/>
    </row>
    <row r="74" spans="1:12">
      <c r="B74" s="285"/>
      <c r="C74" s="285"/>
      <c r="D74" s="285"/>
      <c r="E74" s="285"/>
      <c r="F74" s="285"/>
      <c r="G74" s="285"/>
      <c r="H74" s="285"/>
      <c r="I74" s="285"/>
      <c r="J74" s="285"/>
      <c r="K74" s="285"/>
      <c r="L74" s="285"/>
    </row>
    <row r="75" spans="1:12">
      <c r="B75" s="285"/>
      <c r="C75" s="285"/>
      <c r="D75" s="285"/>
      <c r="E75" s="285"/>
      <c r="F75" s="285"/>
      <c r="G75" s="285"/>
      <c r="H75" s="285"/>
      <c r="I75" s="285"/>
      <c r="J75" s="285"/>
      <c r="K75" s="285"/>
      <c r="L75" s="285"/>
    </row>
    <row r="76" spans="1:12">
      <c r="B76" s="285"/>
      <c r="C76" s="285"/>
      <c r="D76" s="285"/>
      <c r="E76" s="285"/>
      <c r="F76" s="285"/>
      <c r="G76" s="285"/>
      <c r="H76" s="285"/>
      <c r="I76" s="285"/>
      <c r="J76" s="285"/>
      <c r="K76" s="285"/>
      <c r="L76" s="285"/>
    </row>
    <row r="77" spans="1:12">
      <c r="B77" s="285"/>
      <c r="C77" s="285"/>
      <c r="D77" s="285"/>
      <c r="E77" s="285"/>
      <c r="F77" s="285"/>
      <c r="G77" s="285"/>
      <c r="H77" s="285"/>
      <c r="I77" s="285"/>
      <c r="J77" s="285"/>
      <c r="K77" s="285"/>
      <c r="L77" s="285"/>
    </row>
    <row r="78" spans="1:12">
      <c r="B78" s="285"/>
      <c r="C78" s="285"/>
      <c r="D78" s="285"/>
      <c r="E78" s="285"/>
      <c r="F78" s="285"/>
      <c r="G78" s="285"/>
      <c r="H78" s="285"/>
      <c r="I78" s="285"/>
      <c r="J78" s="285"/>
      <c r="K78" s="285"/>
      <c r="L78" s="285"/>
    </row>
    <row r="79" spans="1:12">
      <c r="B79" s="285"/>
      <c r="C79" s="285"/>
      <c r="D79" s="285"/>
      <c r="E79" s="285"/>
      <c r="F79" s="285"/>
      <c r="G79" s="285"/>
      <c r="H79" s="285"/>
      <c r="I79" s="285"/>
      <c r="J79" s="285"/>
      <c r="K79" s="285"/>
      <c r="L79" s="285"/>
    </row>
    <row r="80" spans="1:12">
      <c r="B80" s="285"/>
      <c r="C80" s="285"/>
      <c r="D80" s="285"/>
      <c r="E80" s="285"/>
      <c r="F80" s="285"/>
      <c r="G80" s="285"/>
      <c r="H80" s="285"/>
      <c r="I80" s="285"/>
      <c r="J80" s="285"/>
      <c r="K80" s="285"/>
      <c r="L80" s="285"/>
    </row>
    <row r="81" spans="2:12">
      <c r="B81" s="285"/>
      <c r="C81" s="285"/>
      <c r="D81" s="285"/>
      <c r="E81" s="285"/>
      <c r="F81" s="285"/>
      <c r="G81" s="285"/>
      <c r="H81" s="285"/>
      <c r="I81" s="285"/>
      <c r="J81" s="285"/>
      <c r="K81" s="285"/>
      <c r="L81" s="285"/>
    </row>
    <row r="82" spans="2:12">
      <c r="B82" s="285"/>
      <c r="C82" s="285"/>
      <c r="D82" s="285"/>
      <c r="E82" s="285"/>
      <c r="F82" s="285"/>
      <c r="G82" s="285"/>
      <c r="H82" s="285"/>
      <c r="I82" s="285"/>
      <c r="J82" s="285"/>
      <c r="K82" s="285"/>
      <c r="L82" s="285"/>
    </row>
    <row r="83" spans="2:12">
      <c r="B83" s="285"/>
      <c r="C83" s="285"/>
      <c r="D83" s="285"/>
      <c r="E83" s="285"/>
      <c r="F83" s="285"/>
      <c r="G83" s="285"/>
      <c r="H83" s="285"/>
      <c r="I83" s="285"/>
      <c r="J83" s="285"/>
      <c r="K83" s="285"/>
      <c r="L83" s="285"/>
    </row>
    <row r="84" spans="2:12">
      <c r="B84" s="285"/>
      <c r="C84" s="285"/>
      <c r="D84" s="285"/>
      <c r="E84" s="285"/>
      <c r="F84" s="285"/>
      <c r="G84" s="285"/>
      <c r="H84" s="285"/>
      <c r="I84" s="285"/>
      <c r="J84" s="285"/>
      <c r="K84" s="285"/>
      <c r="L84" s="285"/>
    </row>
    <row r="85" spans="2:12">
      <c r="B85" s="285"/>
      <c r="C85" s="285"/>
      <c r="D85" s="285"/>
      <c r="E85" s="285"/>
      <c r="F85" s="285"/>
      <c r="G85" s="285"/>
      <c r="H85" s="285"/>
      <c r="I85" s="285"/>
      <c r="J85" s="285"/>
      <c r="K85" s="285"/>
      <c r="L85" s="285"/>
    </row>
    <row r="86" spans="2:12">
      <c r="B86" s="285"/>
      <c r="C86" s="285"/>
      <c r="D86" s="285"/>
      <c r="E86" s="285"/>
      <c r="F86" s="285"/>
      <c r="G86" s="285"/>
      <c r="H86" s="285"/>
      <c r="I86" s="285"/>
      <c r="J86" s="285"/>
      <c r="K86" s="285"/>
      <c r="L86" s="285"/>
    </row>
    <row r="87" spans="2:12">
      <c r="B87" s="285"/>
      <c r="C87" s="285"/>
      <c r="D87" s="285"/>
      <c r="E87" s="285"/>
      <c r="F87" s="285"/>
      <c r="G87" s="285"/>
      <c r="H87" s="285"/>
      <c r="I87" s="285"/>
      <c r="J87" s="285"/>
      <c r="K87" s="285"/>
      <c r="L87" s="285"/>
    </row>
    <row r="88" spans="2:12">
      <c r="B88" s="285"/>
      <c r="C88" s="285"/>
      <c r="D88" s="285"/>
      <c r="E88" s="285"/>
      <c r="F88" s="285"/>
      <c r="G88" s="285"/>
      <c r="H88" s="285"/>
      <c r="I88" s="285"/>
      <c r="J88" s="285"/>
      <c r="K88" s="285"/>
      <c r="L88" s="285"/>
    </row>
    <row r="89" spans="2:12">
      <c r="B89" s="285"/>
      <c r="C89" s="285"/>
      <c r="D89" s="285"/>
      <c r="E89" s="285"/>
      <c r="F89" s="285"/>
      <c r="G89" s="285"/>
      <c r="H89" s="285"/>
      <c r="I89" s="285"/>
      <c r="J89" s="285"/>
      <c r="K89" s="285"/>
      <c r="L89" s="285"/>
    </row>
    <row r="90" spans="2:12">
      <c r="B90" s="285"/>
      <c r="C90" s="285"/>
      <c r="D90" s="285"/>
      <c r="E90" s="285"/>
      <c r="F90" s="285"/>
      <c r="G90" s="285"/>
      <c r="H90" s="285"/>
      <c r="I90" s="285"/>
      <c r="J90" s="285"/>
      <c r="K90" s="285"/>
      <c r="L90" s="285"/>
    </row>
    <row r="91" spans="2:12">
      <c r="B91" s="285"/>
      <c r="C91" s="285"/>
      <c r="D91" s="285"/>
      <c r="E91" s="285"/>
      <c r="F91" s="285"/>
      <c r="G91" s="285"/>
      <c r="H91" s="285"/>
      <c r="I91" s="285"/>
      <c r="J91" s="285"/>
      <c r="K91" s="285"/>
      <c r="L91" s="285"/>
    </row>
    <row r="92" spans="2:12">
      <c r="B92" s="285"/>
      <c r="C92" s="285"/>
      <c r="D92" s="285"/>
      <c r="E92" s="285"/>
      <c r="F92" s="285"/>
      <c r="G92" s="285"/>
      <c r="H92" s="285"/>
      <c r="I92" s="285"/>
      <c r="J92" s="285"/>
      <c r="K92" s="285"/>
      <c r="L92" s="285"/>
    </row>
    <row r="93" spans="2:12">
      <c r="B93" s="285"/>
      <c r="C93" s="285"/>
      <c r="D93" s="285"/>
      <c r="E93" s="285"/>
      <c r="F93" s="285"/>
      <c r="G93" s="285"/>
      <c r="H93" s="285"/>
      <c r="I93" s="285"/>
      <c r="J93" s="285"/>
      <c r="K93" s="285"/>
      <c r="L93" s="285"/>
    </row>
    <row r="94" spans="2:12">
      <c r="B94" s="285"/>
      <c r="C94" s="285"/>
      <c r="D94" s="285"/>
      <c r="E94" s="285"/>
      <c r="F94" s="285"/>
      <c r="G94" s="285"/>
      <c r="H94" s="285"/>
      <c r="I94" s="285"/>
      <c r="J94" s="285"/>
      <c r="K94" s="285"/>
      <c r="L94" s="285"/>
    </row>
    <row r="95" spans="2:12">
      <c r="B95" s="285"/>
      <c r="C95" s="285"/>
      <c r="D95" s="285"/>
      <c r="E95" s="285"/>
      <c r="F95" s="285"/>
      <c r="G95" s="285"/>
      <c r="H95" s="285"/>
      <c r="I95" s="285"/>
      <c r="J95" s="285"/>
      <c r="K95" s="285"/>
      <c r="L95" s="285"/>
    </row>
    <row r="96" spans="2:12">
      <c r="B96" s="285"/>
      <c r="C96" s="285"/>
      <c r="D96" s="285"/>
      <c r="E96" s="285"/>
      <c r="F96" s="285"/>
      <c r="G96" s="285"/>
      <c r="H96" s="285"/>
      <c r="I96" s="285"/>
      <c r="J96" s="285"/>
      <c r="K96" s="285"/>
      <c r="L96" s="285"/>
    </row>
    <row r="97" spans="2:12">
      <c r="B97" s="285"/>
      <c r="C97" s="285"/>
      <c r="D97" s="285"/>
      <c r="E97" s="285"/>
      <c r="F97" s="285"/>
      <c r="G97" s="285"/>
      <c r="H97" s="285"/>
      <c r="I97" s="285"/>
      <c r="J97" s="285"/>
      <c r="K97" s="285"/>
      <c r="L97" s="285"/>
    </row>
    <row r="98" spans="2:12">
      <c r="B98" s="285"/>
      <c r="C98" s="285"/>
      <c r="D98" s="285"/>
      <c r="E98" s="285"/>
      <c r="F98" s="285"/>
      <c r="G98" s="285"/>
      <c r="H98" s="285"/>
      <c r="I98" s="285"/>
      <c r="J98" s="285"/>
      <c r="K98" s="285"/>
      <c r="L98" s="285"/>
    </row>
    <row r="99" spans="2:12">
      <c r="B99" s="285"/>
      <c r="C99" s="285"/>
      <c r="D99" s="285"/>
      <c r="E99" s="285"/>
      <c r="F99" s="285"/>
      <c r="G99" s="285"/>
      <c r="H99" s="285"/>
      <c r="I99" s="285"/>
      <c r="J99" s="285"/>
      <c r="K99" s="285"/>
      <c r="L99" s="285"/>
    </row>
    <row r="100" spans="2:12">
      <c r="B100" s="285"/>
      <c r="C100" s="285"/>
      <c r="D100" s="285"/>
      <c r="E100" s="285"/>
      <c r="F100" s="285"/>
      <c r="G100" s="285"/>
      <c r="H100" s="285"/>
      <c r="I100" s="285"/>
      <c r="J100" s="285"/>
      <c r="K100" s="285"/>
      <c r="L100" s="285"/>
    </row>
    <row r="101" spans="2:12">
      <c r="B101" s="285"/>
      <c r="C101" s="285"/>
      <c r="D101" s="285"/>
      <c r="E101" s="285"/>
      <c r="F101" s="285"/>
      <c r="G101" s="285"/>
      <c r="H101" s="285"/>
      <c r="I101" s="285"/>
      <c r="J101" s="285"/>
      <c r="K101" s="285"/>
      <c r="L101" s="285"/>
    </row>
    <row r="102" spans="2:12">
      <c r="B102" s="285"/>
      <c r="C102" s="285"/>
      <c r="D102" s="285"/>
      <c r="E102" s="285"/>
      <c r="F102" s="285"/>
      <c r="G102" s="285"/>
      <c r="H102" s="285"/>
      <c r="I102" s="285"/>
      <c r="J102" s="285"/>
      <c r="K102" s="285"/>
      <c r="L102" s="285"/>
    </row>
    <row r="103" spans="2:12">
      <c r="B103" s="285"/>
      <c r="C103" s="285"/>
      <c r="D103" s="285"/>
      <c r="E103" s="285"/>
      <c r="F103" s="285"/>
      <c r="G103" s="285"/>
      <c r="H103" s="285"/>
      <c r="I103" s="285"/>
      <c r="J103" s="285"/>
      <c r="K103" s="285"/>
      <c r="L103" s="285"/>
    </row>
    <row r="104" spans="2:12">
      <c r="B104" s="285"/>
      <c r="C104" s="285"/>
      <c r="D104" s="285"/>
      <c r="E104" s="285"/>
      <c r="F104" s="285"/>
      <c r="G104" s="285"/>
      <c r="H104" s="285"/>
      <c r="I104" s="285"/>
      <c r="J104" s="285"/>
      <c r="K104" s="285"/>
      <c r="L104" s="285"/>
    </row>
    <row r="105" spans="2:12">
      <c r="B105" s="285"/>
      <c r="C105" s="285"/>
      <c r="D105" s="285"/>
      <c r="E105" s="285"/>
      <c r="F105" s="285"/>
      <c r="G105" s="285"/>
      <c r="H105" s="285"/>
      <c r="I105" s="285"/>
      <c r="J105" s="285"/>
      <c r="K105" s="285"/>
      <c r="L105" s="285"/>
    </row>
    <row r="106" spans="2:12">
      <c r="B106" s="285"/>
      <c r="C106" s="285"/>
      <c r="D106" s="285"/>
      <c r="E106" s="285"/>
      <c r="F106" s="285"/>
      <c r="G106" s="285"/>
      <c r="H106" s="285"/>
      <c r="I106" s="285"/>
      <c r="J106" s="285"/>
      <c r="K106" s="285"/>
      <c r="L106" s="285"/>
    </row>
    <row r="107" spans="2:12">
      <c r="B107" s="285"/>
      <c r="C107" s="285"/>
      <c r="D107" s="285"/>
      <c r="E107" s="285"/>
      <c r="F107" s="285"/>
      <c r="G107" s="285"/>
      <c r="H107" s="285"/>
      <c r="I107" s="285"/>
      <c r="J107" s="285"/>
      <c r="K107" s="285"/>
      <c r="L107" s="285"/>
    </row>
    <row r="108" spans="2:12">
      <c r="B108" s="285"/>
      <c r="C108" s="285"/>
      <c r="D108" s="285"/>
      <c r="E108" s="285"/>
      <c r="F108" s="285"/>
      <c r="G108" s="285"/>
      <c r="H108" s="285"/>
      <c r="I108" s="285"/>
      <c r="J108" s="285"/>
      <c r="K108" s="285"/>
      <c r="L108" s="285"/>
    </row>
    <row r="109" spans="2:12">
      <c r="B109" s="285"/>
      <c r="C109" s="285"/>
      <c r="D109" s="285"/>
      <c r="E109" s="285"/>
      <c r="F109" s="285"/>
      <c r="G109" s="285"/>
      <c r="H109" s="285"/>
      <c r="I109" s="285"/>
      <c r="J109" s="285"/>
      <c r="K109" s="285"/>
      <c r="L109" s="285"/>
    </row>
    <row r="110" spans="2:12">
      <c r="B110" s="285"/>
      <c r="C110" s="285"/>
      <c r="D110" s="285"/>
      <c r="E110" s="285"/>
      <c r="F110" s="285"/>
      <c r="G110" s="285"/>
      <c r="H110" s="285"/>
      <c r="I110" s="285"/>
      <c r="J110" s="285"/>
      <c r="K110" s="285"/>
      <c r="L110" s="285"/>
    </row>
    <row r="111" spans="2:12">
      <c r="B111" s="285"/>
      <c r="C111" s="285"/>
      <c r="D111" s="285"/>
      <c r="E111" s="285"/>
      <c r="F111" s="285"/>
      <c r="G111" s="285"/>
      <c r="H111" s="285"/>
      <c r="I111" s="285"/>
      <c r="J111" s="285"/>
      <c r="K111" s="285"/>
      <c r="L111" s="285"/>
    </row>
    <row r="112" spans="2:12">
      <c r="B112" s="285"/>
      <c r="C112" s="285"/>
      <c r="D112" s="285"/>
      <c r="E112" s="285"/>
      <c r="F112" s="285"/>
      <c r="G112" s="285"/>
      <c r="H112" s="285"/>
      <c r="I112" s="285"/>
      <c r="J112" s="285"/>
      <c r="K112" s="285"/>
      <c r="L112" s="285"/>
    </row>
    <row r="113" spans="2:12">
      <c r="B113" s="285"/>
      <c r="C113" s="285"/>
      <c r="D113" s="285"/>
      <c r="E113" s="285"/>
      <c r="F113" s="285"/>
      <c r="G113" s="285"/>
      <c r="H113" s="285"/>
      <c r="I113" s="285"/>
      <c r="J113" s="285"/>
      <c r="K113" s="285"/>
      <c r="L113" s="285"/>
    </row>
    <row r="114" spans="2:12">
      <c r="B114" s="285"/>
      <c r="C114" s="285"/>
      <c r="D114" s="285"/>
      <c r="E114" s="285"/>
      <c r="F114" s="285"/>
      <c r="G114" s="285"/>
      <c r="H114" s="285"/>
      <c r="I114" s="285"/>
      <c r="J114" s="285"/>
      <c r="K114" s="285"/>
      <c r="L114" s="285"/>
    </row>
    <row r="115" spans="2:12">
      <c r="B115" s="285"/>
      <c r="C115" s="285"/>
      <c r="D115" s="285"/>
      <c r="E115" s="285"/>
      <c r="F115" s="285"/>
      <c r="G115" s="285"/>
      <c r="H115" s="285"/>
      <c r="I115" s="285"/>
      <c r="J115" s="285"/>
      <c r="K115" s="285"/>
      <c r="L115" s="285"/>
    </row>
    <row r="116" spans="2:12">
      <c r="B116" s="285"/>
      <c r="C116" s="285"/>
      <c r="D116" s="285"/>
      <c r="E116" s="285"/>
      <c r="F116" s="285"/>
      <c r="G116" s="285"/>
      <c r="H116" s="285"/>
      <c r="I116" s="285"/>
      <c r="J116" s="285"/>
      <c r="K116" s="285"/>
      <c r="L116" s="285"/>
    </row>
    <row r="117" spans="2:12">
      <c r="B117" s="285"/>
      <c r="C117" s="285"/>
      <c r="D117" s="285"/>
      <c r="E117" s="285"/>
      <c r="F117" s="285"/>
      <c r="G117" s="285"/>
      <c r="H117" s="285"/>
      <c r="I117" s="285"/>
      <c r="J117" s="285"/>
      <c r="K117" s="285"/>
      <c r="L117" s="285"/>
    </row>
    <row r="118" spans="2:12">
      <c r="B118" s="285"/>
      <c r="C118" s="285"/>
      <c r="D118" s="285"/>
      <c r="E118" s="285"/>
      <c r="F118" s="285"/>
      <c r="G118" s="285"/>
      <c r="H118" s="285"/>
      <c r="I118" s="285"/>
      <c r="J118" s="285"/>
      <c r="K118" s="285"/>
      <c r="L118" s="285"/>
    </row>
    <row r="119" spans="2:12">
      <c r="B119" s="285"/>
      <c r="C119" s="285"/>
      <c r="D119" s="285"/>
      <c r="E119" s="285"/>
      <c r="F119" s="285"/>
      <c r="G119" s="285"/>
      <c r="H119" s="285"/>
      <c r="I119" s="285"/>
      <c r="J119" s="285"/>
      <c r="K119" s="285"/>
      <c r="L119" s="285"/>
    </row>
    <row r="120" spans="2:12">
      <c r="B120" s="285"/>
      <c r="C120" s="285"/>
      <c r="D120" s="285"/>
      <c r="E120" s="285"/>
      <c r="F120" s="285"/>
      <c r="G120" s="285"/>
      <c r="H120" s="285"/>
      <c r="I120" s="285"/>
      <c r="J120" s="285"/>
      <c r="K120" s="285"/>
      <c r="L120" s="285"/>
    </row>
    <row r="121" spans="2:12">
      <c r="B121" s="285"/>
      <c r="C121" s="285"/>
      <c r="D121" s="285"/>
      <c r="E121" s="285"/>
      <c r="F121" s="285"/>
      <c r="G121" s="285"/>
      <c r="H121" s="285"/>
      <c r="I121" s="285"/>
      <c r="J121" s="285"/>
      <c r="K121" s="285"/>
      <c r="L121" s="285"/>
    </row>
    <row r="122" spans="2:12">
      <c r="B122" s="285"/>
      <c r="C122" s="285"/>
      <c r="D122" s="285"/>
      <c r="E122" s="285"/>
      <c r="F122" s="285"/>
      <c r="G122" s="285"/>
      <c r="H122" s="285"/>
      <c r="I122" s="285"/>
      <c r="J122" s="285"/>
      <c r="K122" s="285"/>
      <c r="L122" s="285"/>
    </row>
    <row r="123" spans="2:12">
      <c r="B123" s="285"/>
      <c r="C123" s="285"/>
      <c r="D123" s="285"/>
      <c r="E123" s="285"/>
      <c r="F123" s="285"/>
      <c r="G123" s="285"/>
      <c r="H123" s="285"/>
      <c r="I123" s="285"/>
      <c r="J123" s="285"/>
      <c r="K123" s="285"/>
      <c r="L123" s="285"/>
    </row>
    <row r="124" spans="2:12">
      <c r="B124" s="285"/>
      <c r="C124" s="285"/>
      <c r="D124" s="285"/>
      <c r="E124" s="285"/>
      <c r="F124" s="285"/>
      <c r="G124" s="285"/>
      <c r="H124" s="285"/>
      <c r="I124" s="285"/>
      <c r="J124" s="285"/>
      <c r="K124" s="285"/>
      <c r="L124" s="285"/>
    </row>
    <row r="125" spans="2:12">
      <c r="B125" s="285"/>
      <c r="C125" s="285"/>
      <c r="D125" s="285"/>
      <c r="E125" s="285"/>
      <c r="F125" s="285"/>
      <c r="G125" s="285"/>
      <c r="H125" s="285"/>
      <c r="I125" s="285"/>
      <c r="J125" s="285"/>
      <c r="K125" s="285"/>
      <c r="L125" s="285"/>
    </row>
    <row r="126" spans="2:12">
      <c r="B126" s="285"/>
      <c r="C126" s="285"/>
      <c r="D126" s="285"/>
      <c r="E126" s="285"/>
      <c r="F126" s="285"/>
      <c r="G126" s="285"/>
      <c r="H126" s="285"/>
      <c r="I126" s="285"/>
      <c r="J126" s="285"/>
      <c r="K126" s="285"/>
      <c r="L126" s="285"/>
    </row>
    <row r="127" spans="2:12">
      <c r="B127" s="285"/>
      <c r="C127" s="285"/>
      <c r="D127" s="285"/>
      <c r="E127" s="285"/>
      <c r="F127" s="285"/>
      <c r="G127" s="285"/>
      <c r="H127" s="285"/>
      <c r="I127" s="285"/>
      <c r="J127" s="285"/>
      <c r="K127" s="285"/>
      <c r="L127" s="285"/>
    </row>
    <row r="128" spans="2:12">
      <c r="B128" s="285"/>
      <c r="C128" s="285"/>
      <c r="D128" s="285"/>
      <c r="E128" s="285"/>
      <c r="F128" s="285"/>
      <c r="G128" s="285"/>
      <c r="H128" s="285"/>
      <c r="I128" s="285"/>
      <c r="J128" s="285"/>
      <c r="K128" s="285"/>
      <c r="L128" s="285"/>
    </row>
    <row r="129" spans="2:12">
      <c r="B129" s="285"/>
      <c r="C129" s="285"/>
      <c r="D129" s="285"/>
      <c r="E129" s="285"/>
      <c r="F129" s="285"/>
      <c r="G129" s="285"/>
      <c r="H129" s="285"/>
      <c r="I129" s="285"/>
      <c r="J129" s="285"/>
      <c r="K129" s="285"/>
      <c r="L129" s="285"/>
    </row>
    <row r="130" spans="2:12">
      <c r="B130" s="285"/>
      <c r="C130" s="285"/>
      <c r="D130" s="285"/>
      <c r="E130" s="285"/>
      <c r="F130" s="285"/>
      <c r="G130" s="285"/>
      <c r="H130" s="285"/>
      <c r="I130" s="285"/>
      <c r="J130" s="285"/>
      <c r="K130" s="285"/>
      <c r="L130" s="285"/>
    </row>
    <row r="131" spans="2:12">
      <c r="B131" s="285"/>
      <c r="C131" s="285"/>
      <c r="D131" s="285"/>
      <c r="E131" s="285"/>
      <c r="F131" s="285"/>
      <c r="G131" s="285"/>
      <c r="H131" s="285"/>
      <c r="I131" s="285"/>
      <c r="J131" s="285"/>
      <c r="K131" s="285"/>
      <c r="L131" s="285"/>
    </row>
    <row r="132" spans="2:12">
      <c r="B132" s="285"/>
      <c r="C132" s="285"/>
      <c r="D132" s="285"/>
      <c r="E132" s="285"/>
      <c r="F132" s="285"/>
      <c r="G132" s="285"/>
      <c r="H132" s="285"/>
      <c r="I132" s="285"/>
      <c r="J132" s="285"/>
      <c r="K132" s="285"/>
      <c r="L132" s="285"/>
    </row>
    <row r="133" spans="2:12">
      <c r="B133" s="285"/>
      <c r="C133" s="285"/>
      <c r="D133" s="285"/>
      <c r="E133" s="285"/>
      <c r="F133" s="285"/>
      <c r="G133" s="285"/>
      <c r="H133" s="285"/>
      <c r="I133" s="285"/>
      <c r="J133" s="285"/>
      <c r="K133" s="285"/>
      <c r="L133" s="285"/>
    </row>
    <row r="134" spans="2:12">
      <c r="B134" s="285"/>
      <c r="C134" s="285"/>
      <c r="D134" s="285"/>
      <c r="E134" s="285"/>
      <c r="F134" s="285"/>
      <c r="G134" s="285"/>
      <c r="H134" s="285"/>
      <c r="I134" s="285"/>
      <c r="J134" s="285"/>
      <c r="K134" s="285"/>
      <c r="L134" s="285"/>
    </row>
    <row r="135" spans="2:12">
      <c r="B135" s="285"/>
      <c r="C135" s="285"/>
      <c r="D135" s="285"/>
      <c r="E135" s="285"/>
      <c r="F135" s="285"/>
      <c r="G135" s="285"/>
      <c r="H135" s="285"/>
      <c r="I135" s="285"/>
      <c r="J135" s="285"/>
      <c r="K135" s="285"/>
      <c r="L135" s="285"/>
    </row>
    <row r="136" spans="2:12">
      <c r="B136" s="285"/>
      <c r="C136" s="285"/>
      <c r="D136" s="285"/>
      <c r="E136" s="285"/>
      <c r="F136" s="285"/>
      <c r="G136" s="285"/>
      <c r="H136" s="285"/>
      <c r="I136" s="285"/>
      <c r="J136" s="285"/>
      <c r="K136" s="285"/>
      <c r="L136" s="285"/>
    </row>
    <row r="137" spans="2:12">
      <c r="B137" s="285"/>
      <c r="C137" s="285"/>
      <c r="D137" s="285"/>
      <c r="E137" s="285"/>
      <c r="F137" s="285"/>
      <c r="G137" s="285"/>
      <c r="H137" s="285"/>
      <c r="I137" s="285"/>
      <c r="J137" s="285"/>
      <c r="K137" s="285"/>
      <c r="L137" s="285"/>
    </row>
    <row r="138" spans="2:12">
      <c r="B138" s="285"/>
      <c r="C138" s="285"/>
      <c r="D138" s="285"/>
      <c r="E138" s="285"/>
      <c r="F138" s="285"/>
      <c r="G138" s="285"/>
      <c r="H138" s="285"/>
      <c r="I138" s="285"/>
      <c r="J138" s="285"/>
      <c r="K138" s="285"/>
      <c r="L138" s="285"/>
    </row>
    <row r="139" spans="2:12">
      <c r="B139" s="285"/>
      <c r="C139" s="285"/>
      <c r="D139" s="285"/>
      <c r="E139" s="285"/>
      <c r="F139" s="285"/>
      <c r="G139" s="285"/>
      <c r="H139" s="285"/>
      <c r="I139" s="285"/>
      <c r="J139" s="285"/>
      <c r="K139" s="285"/>
      <c r="L139" s="285"/>
    </row>
    <row r="140" spans="2:12">
      <c r="B140" s="285"/>
      <c r="C140" s="285"/>
      <c r="D140" s="285"/>
      <c r="E140" s="285"/>
      <c r="F140" s="285"/>
      <c r="G140" s="285"/>
      <c r="H140" s="285"/>
      <c r="I140" s="285"/>
      <c r="J140" s="285"/>
      <c r="K140" s="285"/>
      <c r="L140" s="285"/>
    </row>
    <row r="141" spans="2:12">
      <c r="B141" s="285"/>
      <c r="C141" s="285"/>
      <c r="D141" s="285"/>
      <c r="E141" s="285"/>
      <c r="F141" s="285"/>
      <c r="G141" s="285"/>
      <c r="H141" s="285"/>
      <c r="I141" s="285"/>
      <c r="J141" s="285"/>
      <c r="K141" s="285"/>
      <c r="L141" s="285"/>
    </row>
    <row r="142" spans="2:12">
      <c r="B142" s="285"/>
      <c r="C142" s="285"/>
      <c r="D142" s="285"/>
      <c r="E142" s="285"/>
      <c r="F142" s="285"/>
      <c r="G142" s="285"/>
      <c r="H142" s="285"/>
      <c r="I142" s="285"/>
      <c r="J142" s="285"/>
      <c r="K142" s="285"/>
      <c r="L142" s="285"/>
    </row>
    <row r="143" spans="2:12">
      <c r="B143" s="285"/>
      <c r="C143" s="285"/>
      <c r="D143" s="285"/>
      <c r="E143" s="285"/>
      <c r="F143" s="285"/>
      <c r="G143" s="285"/>
      <c r="H143" s="285"/>
      <c r="I143" s="285"/>
      <c r="J143" s="285"/>
      <c r="K143" s="285"/>
      <c r="L143" s="285"/>
    </row>
    <row r="144" spans="2:12">
      <c r="B144" s="285"/>
      <c r="C144" s="285"/>
      <c r="D144" s="285"/>
      <c r="E144" s="285"/>
      <c r="F144" s="285"/>
      <c r="G144" s="285"/>
      <c r="H144" s="285"/>
      <c r="I144" s="285"/>
      <c r="J144" s="285"/>
      <c r="K144" s="285"/>
      <c r="L144" s="285"/>
    </row>
    <row r="145" spans="2:12">
      <c r="B145" s="285"/>
      <c r="C145" s="285"/>
      <c r="D145" s="285"/>
      <c r="E145" s="285"/>
      <c r="F145" s="285"/>
      <c r="G145" s="285"/>
      <c r="H145" s="285"/>
      <c r="I145" s="285"/>
      <c r="J145" s="285"/>
      <c r="K145" s="285"/>
      <c r="L145" s="285"/>
    </row>
    <row r="146" spans="2:12">
      <c r="B146" s="285"/>
      <c r="C146" s="285"/>
      <c r="D146" s="285"/>
      <c r="E146" s="285"/>
      <c r="F146" s="285"/>
      <c r="G146" s="285"/>
      <c r="H146" s="285"/>
      <c r="I146" s="285"/>
      <c r="J146" s="285"/>
      <c r="K146" s="285"/>
      <c r="L146" s="285"/>
    </row>
    <row r="147" spans="2:12">
      <c r="B147" s="285"/>
      <c r="C147" s="285"/>
      <c r="D147" s="285"/>
      <c r="E147" s="285"/>
      <c r="F147" s="285"/>
      <c r="G147" s="285"/>
      <c r="H147" s="285"/>
      <c r="I147" s="285"/>
      <c r="J147" s="285"/>
      <c r="K147" s="285"/>
      <c r="L147" s="285"/>
    </row>
    <row r="148" spans="2:12">
      <c r="B148" s="285"/>
      <c r="C148" s="285"/>
      <c r="D148" s="285"/>
      <c r="E148" s="285"/>
      <c r="F148" s="285"/>
      <c r="G148" s="285"/>
      <c r="H148" s="285"/>
      <c r="I148" s="285"/>
      <c r="J148" s="285"/>
      <c r="K148" s="285"/>
      <c r="L148" s="285"/>
    </row>
    <row r="149" spans="2:12">
      <c r="B149" s="285"/>
      <c r="C149" s="285"/>
      <c r="D149" s="285"/>
      <c r="E149" s="285"/>
      <c r="F149" s="285"/>
      <c r="G149" s="285"/>
      <c r="H149" s="285"/>
      <c r="I149" s="285"/>
      <c r="J149" s="285"/>
      <c r="K149" s="285"/>
      <c r="L149" s="285"/>
    </row>
    <row r="150" spans="2:12">
      <c r="B150" s="285"/>
      <c r="C150" s="285"/>
      <c r="D150" s="285"/>
      <c r="E150" s="285"/>
      <c r="F150" s="285"/>
      <c r="G150" s="285"/>
      <c r="H150" s="285"/>
      <c r="I150" s="285"/>
      <c r="J150" s="285"/>
      <c r="K150" s="285"/>
      <c r="L150" s="285"/>
    </row>
    <row r="151" spans="2:12">
      <c r="B151" s="285"/>
      <c r="C151" s="285"/>
      <c r="D151" s="285"/>
      <c r="E151" s="285"/>
      <c r="F151" s="285"/>
      <c r="G151" s="285"/>
      <c r="H151" s="285"/>
      <c r="I151" s="285"/>
      <c r="J151" s="285"/>
      <c r="K151" s="285"/>
      <c r="L151" s="285"/>
    </row>
    <row r="152" spans="2:12">
      <c r="B152" s="285"/>
      <c r="C152" s="285"/>
      <c r="D152" s="285"/>
      <c r="E152" s="285"/>
      <c r="F152" s="285"/>
      <c r="G152" s="285"/>
      <c r="H152" s="285"/>
      <c r="I152" s="285"/>
      <c r="J152" s="285"/>
      <c r="K152" s="285"/>
      <c r="L152" s="285"/>
    </row>
    <row r="153" spans="2:12">
      <c r="B153" s="285"/>
      <c r="C153" s="285"/>
      <c r="D153" s="285"/>
      <c r="E153" s="285"/>
      <c r="F153" s="285"/>
      <c r="G153" s="285"/>
      <c r="H153" s="285"/>
      <c r="I153" s="285"/>
      <c r="J153" s="285"/>
      <c r="K153" s="285"/>
      <c r="L153" s="285"/>
    </row>
    <row r="154" spans="2:12">
      <c r="B154" s="285"/>
      <c r="C154" s="285"/>
      <c r="D154" s="285"/>
      <c r="E154" s="285"/>
      <c r="F154" s="285"/>
      <c r="G154" s="285"/>
      <c r="H154" s="285"/>
      <c r="I154" s="285"/>
      <c r="J154" s="285"/>
      <c r="K154" s="285"/>
      <c r="L154" s="285"/>
    </row>
    <row r="155" spans="2:12">
      <c r="B155" s="285"/>
      <c r="C155" s="285"/>
      <c r="D155" s="285"/>
      <c r="E155" s="285"/>
      <c r="F155" s="285"/>
      <c r="G155" s="285"/>
      <c r="H155" s="285"/>
      <c r="I155" s="285"/>
      <c r="J155" s="285"/>
      <c r="K155" s="285"/>
      <c r="L155" s="285"/>
    </row>
    <row r="156" spans="2:12">
      <c r="B156" s="285"/>
      <c r="C156" s="285"/>
      <c r="D156" s="285"/>
      <c r="E156" s="285"/>
      <c r="F156" s="285"/>
      <c r="G156" s="285"/>
      <c r="H156" s="285"/>
      <c r="I156" s="285"/>
      <c r="J156" s="285"/>
      <c r="K156" s="285"/>
      <c r="L156" s="285"/>
    </row>
    <row r="157" spans="2:12">
      <c r="B157" s="285"/>
      <c r="C157" s="285"/>
      <c r="D157" s="285"/>
      <c r="E157" s="285"/>
      <c r="F157" s="285"/>
      <c r="G157" s="285"/>
      <c r="H157" s="285"/>
      <c r="I157" s="285"/>
      <c r="J157" s="285"/>
      <c r="K157" s="285"/>
      <c r="L157" s="285"/>
    </row>
    <row r="158" spans="2:12">
      <c r="B158" s="285"/>
      <c r="C158" s="285"/>
      <c r="D158" s="285"/>
      <c r="E158" s="285"/>
      <c r="F158" s="285"/>
      <c r="G158" s="285"/>
      <c r="H158" s="285"/>
      <c r="I158" s="285"/>
      <c r="J158" s="285"/>
      <c r="K158" s="285"/>
      <c r="L158" s="285"/>
    </row>
    <row r="159" spans="2:12">
      <c r="B159" s="285"/>
      <c r="C159" s="285"/>
      <c r="D159" s="285"/>
      <c r="E159" s="285"/>
      <c r="F159" s="285"/>
      <c r="G159" s="285"/>
      <c r="H159" s="285"/>
      <c r="I159" s="285"/>
      <c r="J159" s="285"/>
      <c r="K159" s="285"/>
      <c r="L159" s="285"/>
    </row>
    <row r="160" spans="2:12">
      <c r="B160" s="285"/>
      <c r="C160" s="285"/>
      <c r="D160" s="285"/>
      <c r="E160" s="285"/>
      <c r="F160" s="285"/>
      <c r="G160" s="285"/>
      <c r="H160" s="285"/>
      <c r="I160" s="285"/>
      <c r="J160" s="285"/>
      <c r="K160" s="285"/>
      <c r="L160" s="285"/>
    </row>
    <row r="161" spans="2:12">
      <c r="B161" s="285"/>
      <c r="C161" s="285"/>
      <c r="D161" s="285"/>
      <c r="E161" s="285"/>
      <c r="F161" s="285"/>
      <c r="G161" s="285"/>
      <c r="H161" s="285"/>
      <c r="I161" s="285"/>
      <c r="J161" s="285"/>
      <c r="K161" s="285"/>
      <c r="L161" s="285"/>
    </row>
    <row r="162" spans="2:12">
      <c r="B162" s="285"/>
      <c r="C162" s="285"/>
      <c r="D162" s="285"/>
      <c r="E162" s="285"/>
      <c r="F162" s="285"/>
      <c r="G162" s="285"/>
      <c r="H162" s="285"/>
      <c r="I162" s="285"/>
      <c r="J162" s="285"/>
      <c r="K162" s="285"/>
      <c r="L162" s="285"/>
    </row>
    <row r="163" spans="2:12">
      <c r="B163" s="285"/>
      <c r="C163" s="285"/>
      <c r="D163" s="285"/>
      <c r="E163" s="285"/>
      <c r="F163" s="285"/>
      <c r="G163" s="285"/>
      <c r="H163" s="285"/>
      <c r="I163" s="285"/>
      <c r="J163" s="285"/>
      <c r="K163" s="285"/>
      <c r="L163" s="285"/>
    </row>
    <row r="164" spans="2:12">
      <c r="B164" s="285"/>
      <c r="C164" s="285"/>
      <c r="D164" s="285"/>
      <c r="E164" s="285"/>
      <c r="F164" s="285"/>
      <c r="G164" s="285"/>
      <c r="H164" s="285"/>
      <c r="I164" s="285"/>
      <c r="J164" s="285"/>
      <c r="K164" s="285"/>
      <c r="L164" s="285"/>
    </row>
    <row r="165" spans="2:12">
      <c r="B165" s="285"/>
      <c r="C165" s="285"/>
      <c r="D165" s="285"/>
      <c r="E165" s="285"/>
      <c r="F165" s="285"/>
      <c r="G165" s="285"/>
      <c r="H165" s="285"/>
      <c r="I165" s="285"/>
      <c r="J165" s="285"/>
      <c r="K165" s="285"/>
      <c r="L165" s="285"/>
    </row>
    <row r="166" spans="2:12">
      <c r="B166" s="285"/>
      <c r="C166" s="285"/>
      <c r="D166" s="285"/>
      <c r="E166" s="285"/>
      <c r="F166" s="285"/>
      <c r="G166" s="285"/>
      <c r="H166" s="285"/>
      <c r="I166" s="285"/>
      <c r="J166" s="285"/>
      <c r="K166" s="285"/>
      <c r="L166" s="285"/>
    </row>
    <row r="167" spans="2:12">
      <c r="B167" s="285"/>
      <c r="C167" s="285"/>
      <c r="D167" s="285"/>
      <c r="E167" s="285"/>
      <c r="F167" s="285"/>
      <c r="G167" s="285"/>
      <c r="H167" s="285"/>
      <c r="I167" s="285"/>
      <c r="J167" s="285"/>
      <c r="K167" s="285"/>
      <c r="L167" s="285"/>
    </row>
    <row r="168" spans="2:12">
      <c r="B168" s="285"/>
      <c r="C168" s="285"/>
      <c r="D168" s="285"/>
      <c r="E168" s="285"/>
      <c r="F168" s="285"/>
      <c r="G168" s="285"/>
      <c r="H168" s="285"/>
      <c r="I168" s="285"/>
      <c r="J168" s="285"/>
      <c r="K168" s="285"/>
      <c r="L168" s="285"/>
    </row>
    <row r="169" spans="2:12">
      <c r="B169" s="285"/>
      <c r="C169" s="285"/>
      <c r="D169" s="285"/>
      <c r="E169" s="285"/>
      <c r="F169" s="285"/>
      <c r="G169" s="285"/>
      <c r="H169" s="285"/>
      <c r="I169" s="285"/>
      <c r="J169" s="285"/>
      <c r="K169" s="285"/>
      <c r="L169" s="285"/>
    </row>
    <row r="170" spans="2:12">
      <c r="B170" s="285"/>
      <c r="C170" s="285"/>
      <c r="D170" s="285"/>
      <c r="E170" s="285"/>
      <c r="F170" s="285"/>
      <c r="G170" s="285"/>
      <c r="H170" s="285"/>
      <c r="I170" s="285"/>
      <c r="J170" s="285"/>
      <c r="K170" s="285"/>
      <c r="L170" s="285"/>
    </row>
    <row r="171" spans="2:12">
      <c r="B171" s="285"/>
      <c r="C171" s="285"/>
      <c r="D171" s="285"/>
      <c r="E171" s="285"/>
      <c r="F171" s="285"/>
      <c r="G171" s="285"/>
      <c r="H171" s="285"/>
      <c r="I171" s="285"/>
      <c r="J171" s="285"/>
      <c r="K171" s="285"/>
      <c r="L171" s="285"/>
    </row>
    <row r="172" spans="2:12">
      <c r="B172" s="285"/>
      <c r="C172" s="285"/>
      <c r="D172" s="285"/>
      <c r="E172" s="285"/>
      <c r="F172" s="285"/>
      <c r="G172" s="285"/>
      <c r="H172" s="285"/>
      <c r="I172" s="285"/>
      <c r="J172" s="285"/>
      <c r="K172" s="285"/>
      <c r="L172" s="285"/>
    </row>
    <row r="173" spans="2:12">
      <c r="B173" s="285"/>
      <c r="C173" s="285"/>
      <c r="D173" s="285"/>
      <c r="E173" s="285"/>
      <c r="F173" s="285"/>
      <c r="G173" s="285"/>
      <c r="H173" s="285"/>
      <c r="I173" s="285"/>
      <c r="J173" s="285"/>
      <c r="K173" s="285"/>
      <c r="L173" s="285"/>
    </row>
    <row r="174" spans="2:12">
      <c r="B174" s="285"/>
      <c r="C174" s="285"/>
      <c r="D174" s="285"/>
      <c r="E174" s="285"/>
      <c r="F174" s="285"/>
      <c r="G174" s="285"/>
      <c r="H174" s="285"/>
      <c r="I174" s="285"/>
      <c r="J174" s="285"/>
      <c r="K174" s="285"/>
      <c r="L174" s="285"/>
    </row>
    <row r="175" spans="2:12">
      <c r="B175" s="285"/>
      <c r="C175" s="285"/>
      <c r="D175" s="285"/>
      <c r="E175" s="285"/>
      <c r="F175" s="285"/>
      <c r="G175" s="285"/>
      <c r="H175" s="285"/>
      <c r="I175" s="285"/>
      <c r="J175" s="285"/>
      <c r="K175" s="285"/>
      <c r="L175" s="285"/>
    </row>
    <row r="176" spans="2:12">
      <c r="B176" s="285"/>
      <c r="C176" s="285"/>
      <c r="D176" s="285"/>
      <c r="E176" s="285"/>
      <c r="F176" s="285"/>
      <c r="G176" s="285"/>
      <c r="H176" s="285"/>
      <c r="I176" s="285"/>
      <c r="J176" s="285"/>
      <c r="K176" s="285"/>
      <c r="L176" s="285"/>
    </row>
    <row r="177" spans="2:12">
      <c r="B177" s="285"/>
      <c r="C177" s="285"/>
      <c r="D177" s="285"/>
      <c r="E177" s="285"/>
      <c r="F177" s="285"/>
      <c r="G177" s="285"/>
      <c r="H177" s="285"/>
      <c r="I177" s="285"/>
      <c r="J177" s="285"/>
      <c r="K177" s="285"/>
      <c r="L177" s="285"/>
    </row>
    <row r="178" spans="2:12">
      <c r="B178" s="285"/>
      <c r="C178" s="285"/>
      <c r="D178" s="285"/>
      <c r="E178" s="285"/>
      <c r="F178" s="285"/>
      <c r="G178" s="285"/>
      <c r="H178" s="285"/>
      <c r="I178" s="285"/>
      <c r="J178" s="285"/>
      <c r="K178" s="285"/>
      <c r="L178" s="285"/>
    </row>
    <row r="179" spans="2:12">
      <c r="B179" s="285"/>
      <c r="C179" s="285"/>
      <c r="D179" s="285"/>
      <c r="E179" s="285"/>
      <c r="F179" s="285"/>
      <c r="G179" s="285"/>
      <c r="H179" s="285"/>
      <c r="I179" s="285"/>
      <c r="J179" s="285"/>
      <c r="K179" s="285"/>
      <c r="L179" s="285"/>
    </row>
    <row r="180" spans="2:12">
      <c r="B180" s="285"/>
      <c r="C180" s="285"/>
      <c r="D180" s="285"/>
      <c r="E180" s="285"/>
      <c r="F180" s="285"/>
      <c r="G180" s="285"/>
      <c r="H180" s="285"/>
      <c r="I180" s="285"/>
      <c r="J180" s="285"/>
      <c r="K180" s="285"/>
      <c r="L180" s="285"/>
    </row>
    <row r="181" spans="2:12">
      <c r="B181" s="285"/>
      <c r="C181" s="285"/>
      <c r="D181" s="285"/>
      <c r="E181" s="285"/>
      <c r="F181" s="285"/>
      <c r="G181" s="285"/>
      <c r="H181" s="285"/>
      <c r="I181" s="285"/>
      <c r="J181" s="285"/>
      <c r="K181" s="285"/>
      <c r="L181" s="285"/>
    </row>
    <row r="182" spans="2:12">
      <c r="B182" s="285"/>
      <c r="C182" s="285"/>
      <c r="D182" s="285"/>
      <c r="E182" s="285"/>
      <c r="F182" s="285"/>
      <c r="G182" s="285"/>
      <c r="H182" s="285"/>
      <c r="I182" s="285"/>
      <c r="J182" s="285"/>
      <c r="K182" s="285"/>
      <c r="L182" s="285"/>
    </row>
    <row r="183" spans="2:12">
      <c r="B183" s="285"/>
      <c r="C183" s="285"/>
      <c r="D183" s="285"/>
      <c r="E183" s="285"/>
      <c r="F183" s="285"/>
      <c r="G183" s="285"/>
      <c r="H183" s="285"/>
      <c r="I183" s="285"/>
      <c r="J183" s="285"/>
      <c r="K183" s="285"/>
      <c r="L183" s="285"/>
    </row>
    <row r="184" spans="2:12">
      <c r="B184" s="285"/>
      <c r="C184" s="285"/>
      <c r="D184" s="285"/>
      <c r="E184" s="285"/>
      <c r="F184" s="285"/>
      <c r="G184" s="285"/>
      <c r="H184" s="285"/>
      <c r="I184" s="285"/>
      <c r="J184" s="285"/>
      <c r="K184" s="285"/>
      <c r="L184" s="285"/>
    </row>
    <row r="185" spans="2:12">
      <c r="B185" s="285"/>
      <c r="C185" s="285"/>
      <c r="D185" s="285"/>
      <c r="E185" s="285"/>
      <c r="F185" s="285"/>
      <c r="G185" s="285"/>
      <c r="H185" s="285"/>
      <c r="I185" s="285"/>
      <c r="J185" s="285"/>
      <c r="K185" s="285"/>
      <c r="L185" s="285"/>
    </row>
    <row r="186" spans="2:12">
      <c r="B186" s="285"/>
      <c r="C186" s="285"/>
      <c r="D186" s="285"/>
      <c r="E186" s="285"/>
      <c r="F186" s="285"/>
      <c r="G186" s="285"/>
      <c r="H186" s="285"/>
      <c r="I186" s="285"/>
      <c r="J186" s="285"/>
      <c r="K186" s="285"/>
      <c r="L186" s="285"/>
    </row>
    <row r="187" spans="2:12">
      <c r="B187" s="285"/>
      <c r="C187" s="285"/>
      <c r="D187" s="285"/>
      <c r="E187" s="285"/>
      <c r="F187" s="285"/>
      <c r="G187" s="285"/>
      <c r="H187" s="285"/>
      <c r="I187" s="285"/>
      <c r="J187" s="285"/>
      <c r="K187" s="285"/>
      <c r="L187" s="285"/>
    </row>
    <row r="188" spans="2:12">
      <c r="B188" s="285"/>
      <c r="C188" s="285"/>
      <c r="D188" s="285"/>
      <c r="E188" s="285"/>
      <c r="F188" s="285"/>
      <c r="G188" s="285"/>
      <c r="H188" s="285"/>
      <c r="I188" s="285"/>
      <c r="J188" s="285"/>
      <c r="K188" s="285"/>
      <c r="L188" s="285"/>
    </row>
    <row r="189" spans="2:12">
      <c r="B189" s="285"/>
      <c r="C189" s="285"/>
      <c r="D189" s="285"/>
      <c r="E189" s="285"/>
      <c r="F189" s="285"/>
      <c r="G189" s="285"/>
      <c r="H189" s="285"/>
      <c r="I189" s="285"/>
      <c r="J189" s="285"/>
      <c r="K189" s="285"/>
      <c r="L189" s="285"/>
    </row>
    <row r="190" spans="2:12">
      <c r="B190" s="285"/>
      <c r="C190" s="285"/>
      <c r="D190" s="285"/>
      <c r="E190" s="285"/>
      <c r="F190" s="285"/>
      <c r="G190" s="285"/>
      <c r="H190" s="285"/>
      <c r="I190" s="285"/>
      <c r="J190" s="285"/>
      <c r="K190" s="285"/>
      <c r="L190" s="285"/>
    </row>
    <row r="191" spans="2:12">
      <c r="B191" s="285"/>
      <c r="C191" s="285"/>
      <c r="D191" s="285"/>
      <c r="E191" s="285"/>
      <c r="F191" s="285"/>
      <c r="G191" s="285"/>
      <c r="H191" s="285"/>
      <c r="I191" s="285"/>
      <c r="J191" s="285"/>
      <c r="K191" s="285"/>
      <c r="L191" s="285"/>
    </row>
    <row r="192" spans="2:12">
      <c r="B192" s="285"/>
      <c r="C192" s="285"/>
      <c r="D192" s="285"/>
      <c r="E192" s="285"/>
      <c r="F192" s="285"/>
      <c r="G192" s="285"/>
      <c r="H192" s="285"/>
      <c r="I192" s="285"/>
      <c r="J192" s="285"/>
      <c r="K192" s="285"/>
      <c r="L192" s="285"/>
    </row>
    <row r="193" spans="2:12">
      <c r="B193" s="285"/>
      <c r="C193" s="285"/>
      <c r="D193" s="285"/>
      <c r="E193" s="285"/>
      <c r="F193" s="285"/>
      <c r="G193" s="285"/>
      <c r="H193" s="285"/>
      <c r="I193" s="285"/>
      <c r="J193" s="285"/>
      <c r="K193" s="285"/>
      <c r="L193" s="285"/>
    </row>
    <row r="194" spans="2:12">
      <c r="B194" s="285"/>
      <c r="C194" s="285"/>
      <c r="D194" s="285"/>
      <c r="E194" s="285"/>
      <c r="F194" s="285"/>
      <c r="G194" s="285"/>
      <c r="H194" s="285"/>
      <c r="I194" s="285"/>
      <c r="J194" s="285"/>
      <c r="K194" s="285"/>
      <c r="L194" s="285"/>
    </row>
    <row r="195" spans="2:12">
      <c r="B195" s="285"/>
      <c r="C195" s="285"/>
      <c r="D195" s="285"/>
      <c r="E195" s="285"/>
      <c r="F195" s="285"/>
      <c r="G195" s="285"/>
      <c r="H195" s="285"/>
      <c r="I195" s="285"/>
      <c r="J195" s="285"/>
      <c r="K195" s="285"/>
      <c r="L195" s="285"/>
    </row>
    <row r="196" spans="2:12">
      <c r="B196" s="285"/>
      <c r="C196" s="285"/>
      <c r="D196" s="285"/>
      <c r="E196" s="285"/>
      <c r="F196" s="285"/>
      <c r="G196" s="285"/>
      <c r="H196" s="285"/>
      <c r="I196" s="285"/>
      <c r="J196" s="285"/>
      <c r="K196" s="285"/>
      <c r="L196" s="285"/>
    </row>
    <row r="197" spans="2:12">
      <c r="B197" s="285"/>
      <c r="C197" s="285"/>
      <c r="D197" s="285"/>
      <c r="E197" s="285"/>
      <c r="F197" s="285"/>
      <c r="G197" s="285"/>
      <c r="H197" s="285"/>
      <c r="I197" s="285"/>
      <c r="J197" s="285"/>
      <c r="K197" s="285"/>
      <c r="L197" s="285"/>
    </row>
    <row r="198" spans="2:12">
      <c r="B198" s="285"/>
      <c r="C198" s="285"/>
      <c r="D198" s="285"/>
      <c r="E198" s="285"/>
      <c r="F198" s="285"/>
      <c r="G198" s="285"/>
      <c r="H198" s="285"/>
      <c r="I198" s="285"/>
      <c r="J198" s="285"/>
      <c r="K198" s="285"/>
      <c r="L198" s="285"/>
    </row>
    <row r="199" spans="2:12">
      <c r="B199" s="285"/>
      <c r="C199" s="285"/>
      <c r="D199" s="285"/>
      <c r="E199" s="285"/>
      <c r="F199" s="285"/>
      <c r="G199" s="285"/>
      <c r="H199" s="285"/>
      <c r="I199" s="285"/>
      <c r="J199" s="285"/>
      <c r="K199" s="285"/>
      <c r="L199" s="285"/>
    </row>
    <row r="200" spans="2:12">
      <c r="B200" s="285"/>
      <c r="C200" s="285"/>
      <c r="D200" s="285"/>
      <c r="E200" s="285"/>
      <c r="F200" s="285"/>
      <c r="G200" s="285"/>
      <c r="H200" s="285"/>
      <c r="I200" s="285"/>
      <c r="J200" s="285"/>
      <c r="K200" s="285"/>
      <c r="L200" s="285"/>
    </row>
    <row r="201" spans="2:12">
      <c r="B201" s="285"/>
      <c r="C201" s="285"/>
      <c r="D201" s="285"/>
      <c r="E201" s="285"/>
      <c r="F201" s="285"/>
      <c r="G201" s="285"/>
      <c r="H201" s="285"/>
      <c r="I201" s="285"/>
      <c r="J201" s="285"/>
      <c r="K201" s="285"/>
      <c r="L201" s="285"/>
    </row>
    <row r="202" spans="2:12">
      <c r="B202" s="285"/>
      <c r="C202" s="285"/>
      <c r="D202" s="285"/>
      <c r="E202" s="285"/>
      <c r="F202" s="285"/>
      <c r="G202" s="285"/>
      <c r="H202" s="285"/>
      <c r="I202" s="285"/>
      <c r="J202" s="285"/>
      <c r="K202" s="285"/>
      <c r="L202" s="285"/>
    </row>
    <row r="203" spans="2:12">
      <c r="B203" s="285"/>
      <c r="C203" s="285"/>
      <c r="D203" s="285"/>
      <c r="E203" s="285"/>
      <c r="F203" s="285"/>
      <c r="G203" s="285"/>
      <c r="H203" s="285"/>
      <c r="I203" s="285"/>
      <c r="J203" s="285"/>
      <c r="K203" s="285"/>
      <c r="L203" s="285"/>
    </row>
    <row r="204" spans="2:12">
      <c r="B204" s="285"/>
      <c r="C204" s="285"/>
      <c r="D204" s="285"/>
      <c r="E204" s="285"/>
      <c r="F204" s="285"/>
      <c r="G204" s="285"/>
      <c r="H204" s="285"/>
      <c r="I204" s="285"/>
      <c r="J204" s="285"/>
      <c r="K204" s="285"/>
      <c r="L204" s="285"/>
    </row>
    <row r="205" spans="2:12">
      <c r="B205" s="285"/>
      <c r="C205" s="285"/>
      <c r="D205" s="285"/>
      <c r="E205" s="285"/>
      <c r="F205" s="285"/>
      <c r="G205" s="285"/>
      <c r="H205" s="285"/>
      <c r="I205" s="285"/>
      <c r="J205" s="285"/>
      <c r="K205" s="285"/>
      <c r="L205" s="285"/>
    </row>
    <row r="206" spans="2:12">
      <c r="B206" s="285"/>
      <c r="C206" s="285"/>
      <c r="D206" s="285"/>
      <c r="E206" s="285"/>
      <c r="F206" s="285"/>
      <c r="G206" s="285"/>
      <c r="H206" s="285"/>
      <c r="I206" s="285"/>
      <c r="J206" s="285"/>
      <c r="K206" s="285"/>
      <c r="L206" s="285"/>
    </row>
    <row r="207" spans="2:12">
      <c r="B207" s="285"/>
      <c r="C207" s="285"/>
      <c r="D207" s="285"/>
      <c r="E207" s="285"/>
      <c r="F207" s="285"/>
      <c r="G207" s="285"/>
      <c r="H207" s="285"/>
      <c r="I207" s="285"/>
      <c r="J207" s="285"/>
      <c r="K207" s="285"/>
      <c r="L207" s="285"/>
    </row>
    <row r="208" spans="2:12">
      <c r="B208" s="285"/>
      <c r="C208" s="285"/>
      <c r="D208" s="285"/>
      <c r="E208" s="285"/>
      <c r="F208" s="285"/>
      <c r="G208" s="285"/>
      <c r="H208" s="285"/>
      <c r="I208" s="285"/>
      <c r="J208" s="285"/>
      <c r="K208" s="285"/>
      <c r="L208" s="285"/>
    </row>
    <row r="209" spans="2:12">
      <c r="B209" s="285"/>
      <c r="C209" s="285"/>
      <c r="D209" s="285"/>
      <c r="E209" s="285"/>
      <c r="F209" s="285"/>
      <c r="G209" s="285"/>
      <c r="H209" s="285"/>
      <c r="I209" s="285"/>
      <c r="J209" s="285"/>
      <c r="K209" s="285"/>
      <c r="L209" s="285"/>
    </row>
    <row r="210" spans="2:12">
      <c r="B210" s="285"/>
      <c r="C210" s="285"/>
      <c r="D210" s="285"/>
      <c r="E210" s="285"/>
      <c r="F210" s="285"/>
      <c r="G210" s="285"/>
      <c r="H210" s="285"/>
      <c r="I210" s="285"/>
      <c r="J210" s="285"/>
      <c r="K210" s="285"/>
      <c r="L210" s="285"/>
    </row>
    <row r="211" spans="2:12">
      <c r="B211" s="285"/>
      <c r="C211" s="285"/>
      <c r="D211" s="285"/>
      <c r="E211" s="285"/>
      <c r="F211" s="285"/>
      <c r="G211" s="285"/>
      <c r="H211" s="285"/>
      <c r="I211" s="285"/>
      <c r="J211" s="285"/>
      <c r="K211" s="285"/>
      <c r="L211" s="285"/>
    </row>
    <row r="212" spans="2:12">
      <c r="B212" s="285"/>
      <c r="C212" s="285"/>
      <c r="D212" s="285"/>
      <c r="E212" s="285"/>
      <c r="F212" s="285"/>
      <c r="G212" s="285"/>
      <c r="H212" s="285"/>
      <c r="I212" s="285"/>
      <c r="J212" s="285"/>
      <c r="K212" s="285"/>
      <c r="L212" s="285"/>
    </row>
    <row r="213" spans="2:12">
      <c r="B213" s="285"/>
      <c r="C213" s="285"/>
      <c r="D213" s="285"/>
      <c r="E213" s="285"/>
      <c r="F213" s="285"/>
      <c r="G213" s="285"/>
      <c r="H213" s="285"/>
      <c r="I213" s="285"/>
      <c r="J213" s="285"/>
      <c r="K213" s="285"/>
      <c r="L213" s="285"/>
    </row>
    <row r="214" spans="2:12">
      <c r="B214" s="285"/>
      <c r="C214" s="285"/>
      <c r="D214" s="285"/>
      <c r="E214" s="285"/>
      <c r="F214" s="285"/>
      <c r="G214" s="285"/>
      <c r="H214" s="285"/>
      <c r="I214" s="285"/>
      <c r="J214" s="285"/>
      <c r="K214" s="285"/>
      <c r="L214" s="285"/>
    </row>
    <row r="215" spans="2:12">
      <c r="B215" s="285"/>
      <c r="C215" s="285"/>
      <c r="D215" s="285"/>
      <c r="E215" s="285"/>
      <c r="F215" s="285"/>
      <c r="G215" s="285"/>
      <c r="H215" s="285"/>
      <c r="I215" s="285"/>
      <c r="J215" s="285"/>
      <c r="K215" s="285"/>
      <c r="L215" s="285"/>
    </row>
    <row r="216" spans="2:12">
      <c r="B216" s="285"/>
      <c r="C216" s="285"/>
      <c r="D216" s="285"/>
      <c r="E216" s="285"/>
      <c r="F216" s="285"/>
      <c r="G216" s="285"/>
      <c r="H216" s="285"/>
      <c r="I216" s="285"/>
      <c r="J216" s="285"/>
      <c r="K216" s="285"/>
      <c r="L216" s="285"/>
    </row>
    <row r="217" spans="2:12">
      <c r="B217" s="285"/>
      <c r="C217" s="285"/>
      <c r="D217" s="285"/>
      <c r="E217" s="285"/>
      <c r="F217" s="285"/>
      <c r="G217" s="285"/>
      <c r="H217" s="285"/>
      <c r="I217" s="285"/>
      <c r="J217" s="285"/>
      <c r="K217" s="285"/>
      <c r="L217" s="285"/>
    </row>
    <row r="218" spans="2:12">
      <c r="B218" s="285"/>
      <c r="C218" s="285"/>
      <c r="D218" s="285"/>
      <c r="E218" s="285"/>
      <c r="F218" s="285"/>
      <c r="G218" s="285"/>
      <c r="H218" s="285"/>
      <c r="I218" s="285"/>
      <c r="J218" s="285"/>
      <c r="K218" s="285"/>
      <c r="L218" s="285"/>
    </row>
    <row r="219" spans="2:12">
      <c r="B219" s="285"/>
      <c r="C219" s="285"/>
      <c r="D219" s="285"/>
      <c r="E219" s="285"/>
      <c r="F219" s="285"/>
      <c r="G219" s="285"/>
      <c r="H219" s="285"/>
      <c r="I219" s="285"/>
      <c r="J219" s="285"/>
      <c r="K219" s="285"/>
      <c r="L219" s="285"/>
    </row>
    <row r="220" spans="2:12">
      <c r="B220" s="285"/>
      <c r="C220" s="285"/>
      <c r="D220" s="285"/>
      <c r="E220" s="285"/>
      <c r="F220" s="285"/>
      <c r="G220" s="285"/>
      <c r="H220" s="285"/>
      <c r="I220" s="285"/>
      <c r="J220" s="285"/>
      <c r="K220" s="285"/>
      <c r="L220" s="285"/>
    </row>
    <row r="221" spans="2:12">
      <c r="B221" s="285"/>
      <c r="C221" s="285"/>
      <c r="D221" s="285"/>
      <c r="E221" s="285"/>
      <c r="F221" s="285"/>
      <c r="G221" s="285"/>
      <c r="H221" s="285"/>
      <c r="I221" s="285"/>
      <c r="J221" s="285"/>
      <c r="K221" s="285"/>
      <c r="L221" s="285"/>
    </row>
    <row r="222" spans="2:12">
      <c r="B222" s="285"/>
      <c r="C222" s="285"/>
      <c r="D222" s="285"/>
      <c r="E222" s="285"/>
      <c r="F222" s="285"/>
      <c r="G222" s="285"/>
      <c r="H222" s="285"/>
      <c r="I222" s="285"/>
      <c r="J222" s="285"/>
      <c r="K222" s="285"/>
      <c r="L222" s="285"/>
    </row>
    <row r="223" spans="2:12">
      <c r="B223" s="285"/>
      <c r="C223" s="285"/>
      <c r="D223" s="285"/>
      <c r="E223" s="285"/>
      <c r="F223" s="285"/>
      <c r="G223" s="285"/>
      <c r="H223" s="285"/>
      <c r="I223" s="285"/>
      <c r="J223" s="285"/>
      <c r="K223" s="285"/>
      <c r="L223" s="285"/>
    </row>
    <row r="224" spans="2:12">
      <c r="B224" s="285"/>
      <c r="C224" s="285"/>
      <c r="D224" s="285"/>
      <c r="E224" s="285"/>
      <c r="F224" s="285"/>
      <c r="G224" s="285"/>
      <c r="H224" s="285"/>
      <c r="I224" s="285"/>
      <c r="J224" s="285"/>
      <c r="K224" s="285"/>
      <c r="L224" s="285"/>
    </row>
    <row r="225" spans="2:12">
      <c r="B225" s="285"/>
      <c r="C225" s="285"/>
      <c r="D225" s="285"/>
      <c r="E225" s="285"/>
      <c r="F225" s="285"/>
      <c r="G225" s="285"/>
      <c r="H225" s="285"/>
      <c r="I225" s="285"/>
      <c r="J225" s="285"/>
      <c r="K225" s="285"/>
      <c r="L225" s="285"/>
    </row>
    <row r="226" spans="2:12">
      <c r="B226" s="285"/>
      <c r="C226" s="285"/>
      <c r="D226" s="285"/>
      <c r="E226" s="285"/>
      <c r="F226" s="285"/>
      <c r="G226" s="285"/>
      <c r="H226" s="285"/>
      <c r="I226" s="285"/>
      <c r="J226" s="285"/>
      <c r="K226" s="285"/>
      <c r="L226" s="285"/>
    </row>
    <row r="227" spans="2:12">
      <c r="B227" s="285"/>
      <c r="C227" s="285"/>
      <c r="D227" s="285"/>
      <c r="E227" s="285"/>
      <c r="F227" s="285"/>
      <c r="G227" s="285"/>
      <c r="H227" s="285"/>
      <c r="I227" s="285"/>
      <c r="J227" s="285"/>
      <c r="K227" s="285"/>
      <c r="L227" s="285"/>
    </row>
    <row r="228" spans="2:12">
      <c r="B228" s="285"/>
      <c r="C228" s="285"/>
      <c r="D228" s="285"/>
      <c r="E228" s="285"/>
      <c r="F228" s="285"/>
      <c r="G228" s="285"/>
      <c r="H228" s="285"/>
      <c r="I228" s="285"/>
      <c r="J228" s="285"/>
      <c r="K228" s="285"/>
      <c r="L228" s="285"/>
    </row>
    <row r="229" spans="2:12">
      <c r="B229" s="285"/>
      <c r="C229" s="285"/>
      <c r="D229" s="285"/>
      <c r="E229" s="285"/>
      <c r="F229" s="285"/>
      <c r="G229" s="285"/>
      <c r="H229" s="285"/>
      <c r="I229" s="285"/>
      <c r="J229" s="285"/>
      <c r="K229" s="285"/>
      <c r="L229" s="285"/>
    </row>
    <row r="230" spans="2:12">
      <c r="B230" s="285"/>
      <c r="C230" s="285"/>
      <c r="D230" s="285"/>
      <c r="E230" s="285"/>
      <c r="F230" s="285"/>
      <c r="G230" s="285"/>
      <c r="H230" s="285"/>
      <c r="I230" s="285"/>
      <c r="J230" s="285"/>
      <c r="K230" s="285"/>
      <c r="L230" s="285"/>
    </row>
    <row r="231" spans="2:12">
      <c r="B231" s="285"/>
      <c r="C231" s="285"/>
      <c r="D231" s="285"/>
      <c r="E231" s="285"/>
      <c r="F231" s="285"/>
      <c r="G231" s="285"/>
      <c r="H231" s="285"/>
      <c r="I231" s="285"/>
      <c r="J231" s="285"/>
      <c r="K231" s="285"/>
      <c r="L231" s="285"/>
    </row>
    <row r="232" spans="2:12">
      <c r="B232" s="285"/>
      <c r="C232" s="285"/>
      <c r="D232" s="285"/>
      <c r="E232" s="285"/>
      <c r="F232" s="285"/>
      <c r="G232" s="285"/>
      <c r="H232" s="285"/>
      <c r="I232" s="285"/>
      <c r="J232" s="285"/>
      <c r="K232" s="285"/>
      <c r="L232" s="285"/>
    </row>
    <row r="233" spans="2:12">
      <c r="B233" s="285"/>
      <c r="C233" s="285"/>
      <c r="D233" s="285"/>
      <c r="E233" s="285"/>
      <c r="F233" s="285"/>
      <c r="G233" s="285"/>
      <c r="H233" s="285"/>
      <c r="I233" s="285"/>
      <c r="J233" s="285"/>
      <c r="K233" s="285"/>
      <c r="L233" s="285"/>
    </row>
    <row r="234" spans="2:12">
      <c r="B234" s="285"/>
      <c r="C234" s="285"/>
      <c r="D234" s="285"/>
      <c r="E234" s="285"/>
      <c r="F234" s="285"/>
      <c r="G234" s="285"/>
      <c r="H234" s="285"/>
      <c r="I234" s="285"/>
      <c r="J234" s="285"/>
      <c r="K234" s="285"/>
      <c r="L234" s="285"/>
    </row>
    <row r="235" spans="2:12">
      <c r="B235" s="285"/>
      <c r="C235" s="285"/>
      <c r="D235" s="285"/>
      <c r="E235" s="285"/>
      <c r="F235" s="285"/>
      <c r="G235" s="285"/>
      <c r="H235" s="285"/>
      <c r="I235" s="285"/>
      <c r="J235" s="285"/>
      <c r="K235" s="285"/>
      <c r="L235" s="285"/>
    </row>
    <row r="236" spans="2:12">
      <c r="B236" s="285"/>
      <c r="C236" s="285"/>
      <c r="D236" s="285"/>
      <c r="E236" s="285"/>
      <c r="F236" s="285"/>
      <c r="G236" s="285"/>
      <c r="H236" s="285"/>
      <c r="I236" s="285"/>
      <c r="J236" s="285"/>
      <c r="K236" s="285"/>
      <c r="L236" s="285"/>
    </row>
    <row r="237" spans="2:12">
      <c r="B237" s="285"/>
      <c r="C237" s="285"/>
      <c r="D237" s="285"/>
      <c r="E237" s="285"/>
      <c r="F237" s="285"/>
      <c r="G237" s="285"/>
      <c r="H237" s="285"/>
      <c r="I237" s="285"/>
      <c r="J237" s="285"/>
      <c r="K237" s="285"/>
      <c r="L237" s="285"/>
    </row>
    <row r="238" spans="2:12">
      <c r="B238" s="285"/>
      <c r="C238" s="285"/>
      <c r="D238" s="285"/>
      <c r="E238" s="285"/>
      <c r="F238" s="285"/>
      <c r="G238" s="285"/>
      <c r="H238" s="285"/>
      <c r="I238" s="285"/>
      <c r="J238" s="285"/>
      <c r="K238" s="285"/>
      <c r="L238" s="285"/>
    </row>
    <row r="239" spans="2:12">
      <c r="B239" s="285"/>
      <c r="C239" s="285"/>
      <c r="D239" s="285"/>
      <c r="E239" s="285"/>
      <c r="F239" s="285"/>
      <c r="G239" s="285"/>
      <c r="H239" s="285"/>
      <c r="I239" s="285"/>
      <c r="J239" s="285"/>
      <c r="K239" s="285"/>
      <c r="L239" s="285"/>
    </row>
    <row r="240" spans="2:12">
      <c r="B240" s="285"/>
      <c r="C240" s="285"/>
      <c r="D240" s="285"/>
      <c r="E240" s="285"/>
      <c r="F240" s="285"/>
      <c r="G240" s="285"/>
      <c r="H240" s="285"/>
      <c r="I240" s="285"/>
      <c r="J240" s="285"/>
      <c r="K240" s="285"/>
      <c r="L240" s="285"/>
    </row>
    <row r="241" spans="2:12">
      <c r="B241" s="285"/>
      <c r="C241" s="285"/>
      <c r="D241" s="285"/>
      <c r="E241" s="285"/>
      <c r="F241" s="285"/>
      <c r="G241" s="285"/>
      <c r="H241" s="285"/>
      <c r="I241" s="285"/>
      <c r="J241" s="285"/>
      <c r="K241" s="285"/>
      <c r="L241" s="285"/>
    </row>
    <row r="242" spans="2:12">
      <c r="B242" s="285"/>
      <c r="C242" s="285"/>
      <c r="D242" s="285"/>
      <c r="E242" s="285"/>
      <c r="F242" s="285"/>
      <c r="G242" s="285"/>
      <c r="H242" s="285"/>
      <c r="I242" s="285"/>
      <c r="J242" s="285"/>
      <c r="K242" s="285"/>
      <c r="L242" s="285"/>
    </row>
    <row r="243" spans="2:12">
      <c r="B243" s="285"/>
      <c r="C243" s="285"/>
      <c r="D243" s="285"/>
      <c r="E243" s="285"/>
      <c r="F243" s="285"/>
      <c r="G243" s="285"/>
      <c r="H243" s="285"/>
      <c r="I243" s="285"/>
      <c r="J243" s="285"/>
      <c r="K243" s="285"/>
      <c r="L243" s="285"/>
    </row>
    <row r="244" spans="2:12">
      <c r="B244" s="285"/>
      <c r="C244" s="285"/>
      <c r="D244" s="285"/>
      <c r="E244" s="285"/>
      <c r="F244" s="285"/>
      <c r="G244" s="285"/>
      <c r="H244" s="285"/>
      <c r="I244" s="285"/>
      <c r="J244" s="285"/>
      <c r="K244" s="285"/>
      <c r="L244" s="285"/>
    </row>
    <row r="245" spans="2:12">
      <c r="B245" s="285"/>
      <c r="C245" s="285"/>
      <c r="D245" s="285"/>
      <c r="E245" s="285"/>
      <c r="F245" s="285"/>
      <c r="G245" s="285"/>
      <c r="H245" s="285"/>
      <c r="I245" s="285"/>
      <c r="J245" s="285"/>
      <c r="K245" s="285"/>
      <c r="L245" s="285"/>
    </row>
    <row r="246" spans="2:12">
      <c r="B246" s="285"/>
      <c r="C246" s="285"/>
      <c r="D246" s="285"/>
      <c r="E246" s="285"/>
      <c r="F246" s="285"/>
      <c r="G246" s="285"/>
      <c r="H246" s="285"/>
      <c r="I246" s="285"/>
      <c r="J246" s="285"/>
      <c r="K246" s="285"/>
      <c r="L246" s="285"/>
    </row>
    <row r="247" spans="2:12">
      <c r="B247" s="285"/>
      <c r="C247" s="285"/>
      <c r="D247" s="285"/>
      <c r="E247" s="285"/>
      <c r="F247" s="285"/>
      <c r="G247" s="285"/>
      <c r="H247" s="285"/>
      <c r="I247" s="285"/>
      <c r="J247" s="285"/>
      <c r="K247" s="285"/>
      <c r="L247" s="285"/>
    </row>
    <row r="248" spans="2:12">
      <c r="B248" s="285"/>
      <c r="C248" s="285"/>
      <c r="D248" s="285"/>
      <c r="E248" s="285"/>
      <c r="F248" s="285"/>
      <c r="G248" s="285"/>
      <c r="H248" s="285"/>
      <c r="I248" s="285"/>
      <c r="J248" s="285"/>
      <c r="K248" s="285"/>
      <c r="L248" s="285"/>
    </row>
    <row r="249" spans="2:12">
      <c r="B249" s="285"/>
      <c r="C249" s="285"/>
      <c r="D249" s="285"/>
      <c r="E249" s="285"/>
      <c r="F249" s="285"/>
      <c r="G249" s="285"/>
      <c r="H249" s="285"/>
      <c r="I249" s="285"/>
      <c r="J249" s="285"/>
      <c r="K249" s="285"/>
      <c r="L249" s="285"/>
    </row>
    <row r="250" spans="2:12">
      <c r="B250" s="285"/>
      <c r="C250" s="285"/>
      <c r="D250" s="285"/>
      <c r="E250" s="285"/>
      <c r="F250" s="285"/>
      <c r="G250" s="285"/>
      <c r="H250" s="285"/>
      <c r="I250" s="285"/>
      <c r="J250" s="285"/>
      <c r="K250" s="285"/>
      <c r="L250" s="285"/>
    </row>
  </sheetData>
  <mergeCells count="12">
    <mergeCell ref="A5:A6"/>
    <mergeCell ref="A2:J2"/>
    <mergeCell ref="A4:J4"/>
    <mergeCell ref="A15:J15"/>
    <mergeCell ref="A13:J13"/>
    <mergeCell ref="A55:J55"/>
    <mergeCell ref="A56:J56"/>
    <mergeCell ref="A35:C35"/>
    <mergeCell ref="A17:D17"/>
    <mergeCell ref="E17:J17"/>
    <mergeCell ref="A38:J38"/>
    <mergeCell ref="E35:J35"/>
  </mergeCells>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Normal="130" zoomScaleSheetLayoutView="100" zoomScalePageLayoutView="130" workbookViewId="0">
      <selection activeCell="M27" sqref="M27"/>
    </sheetView>
  </sheetViews>
  <sheetFormatPr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78" t="s">
        <v>0</v>
      </c>
      <c r="B3" s="878"/>
      <c r="C3" s="878"/>
      <c r="D3" s="878"/>
      <c r="E3" s="878"/>
      <c r="F3" s="878"/>
      <c r="G3" s="878"/>
      <c r="H3" s="878"/>
      <c r="I3" s="878"/>
      <c r="J3" s="878"/>
      <c r="K3" s="878"/>
      <c r="L3" s="878"/>
    </row>
    <row r="4" spans="1:16">
      <c r="A4" s="878"/>
      <c r="B4" s="878"/>
      <c r="C4" s="878"/>
      <c r="D4" s="878"/>
      <c r="E4" s="878"/>
      <c r="F4" s="878"/>
      <c r="G4" s="878"/>
      <c r="H4" s="878"/>
      <c r="I4" s="878"/>
      <c r="J4" s="878"/>
      <c r="K4" s="878"/>
      <c r="L4" s="878"/>
    </row>
    <row r="5" spans="1:16" ht="12">
      <c r="A5" s="46"/>
      <c r="B5" s="286"/>
      <c r="C5" s="4"/>
      <c r="D5" s="4"/>
      <c r="E5" s="47"/>
      <c r="F5" s="4"/>
      <c r="G5" s="4"/>
      <c r="H5" s="4"/>
      <c r="I5" s="4"/>
      <c r="J5" s="4"/>
      <c r="K5" s="4"/>
      <c r="L5" s="10" t="s">
        <v>1</v>
      </c>
    </row>
    <row r="6" spans="1:16" ht="12">
      <c r="A6" s="46"/>
      <c r="B6" s="286"/>
      <c r="C6" s="4"/>
      <c r="D6" s="4"/>
      <c r="E6" s="47"/>
      <c r="F6" s="4"/>
      <c r="G6" s="4"/>
      <c r="H6" s="4"/>
      <c r="I6" s="4"/>
      <c r="J6" s="4"/>
      <c r="K6" s="4"/>
      <c r="L6" s="7"/>
    </row>
    <row r="7" spans="1:16" ht="19.5" customHeight="1">
      <c r="A7" s="27" t="s">
        <v>509</v>
      </c>
      <c r="B7" s="287"/>
      <c r="C7" s="32"/>
      <c r="D7" s="32"/>
      <c r="E7" s="32"/>
      <c r="F7" s="32"/>
      <c r="G7" s="32"/>
      <c r="H7" s="32"/>
      <c r="I7" s="32"/>
      <c r="J7" s="32"/>
      <c r="K7" s="32"/>
      <c r="L7" s="32"/>
    </row>
    <row r="8" spans="1:16" ht="17.25" customHeight="1">
      <c r="A8" s="288"/>
      <c r="B8" s="32" t="s">
        <v>650</v>
      </c>
      <c r="C8" s="30"/>
      <c r="D8" s="30"/>
      <c r="E8" s="30"/>
      <c r="F8" s="30"/>
      <c r="G8" s="30"/>
      <c r="H8" s="30"/>
      <c r="I8" s="30"/>
      <c r="J8" s="28"/>
      <c r="K8" s="28"/>
      <c r="L8" s="31">
        <v>1</v>
      </c>
    </row>
    <row r="9" spans="1:16" ht="9.75" customHeight="1">
      <c r="A9" s="288"/>
      <c r="B9" s="32"/>
      <c r="C9" s="30"/>
      <c r="D9" s="30"/>
      <c r="E9" s="30"/>
      <c r="F9" s="30"/>
      <c r="G9" s="30"/>
      <c r="H9" s="30"/>
      <c r="I9" s="30"/>
      <c r="J9" s="30"/>
      <c r="K9" s="30"/>
      <c r="L9" s="31"/>
    </row>
    <row r="10" spans="1:16" ht="19.5" customHeight="1">
      <c r="A10" s="27" t="s">
        <v>472</v>
      </c>
      <c r="B10" s="289"/>
      <c r="C10" s="32"/>
      <c r="D10" s="32"/>
      <c r="E10" s="32"/>
      <c r="F10" s="32"/>
      <c r="G10" s="32"/>
      <c r="H10" s="32"/>
      <c r="I10" s="32"/>
      <c r="J10" s="32"/>
      <c r="K10" s="32"/>
      <c r="L10" s="34"/>
    </row>
    <row r="11" spans="1:16" ht="19.5" customHeight="1">
      <c r="A11" s="35"/>
      <c r="B11" s="32" t="s">
        <v>249</v>
      </c>
      <c r="C11" s="32"/>
      <c r="D11" s="32"/>
      <c r="E11" s="32"/>
      <c r="F11" s="28"/>
      <c r="G11" s="28"/>
      <c r="H11" s="28"/>
      <c r="I11" s="28"/>
      <c r="J11" s="28"/>
      <c r="K11" s="28"/>
      <c r="L11" s="29" t="s">
        <v>2</v>
      </c>
    </row>
    <row r="12" spans="1:16" ht="19.5" customHeight="1">
      <c r="A12" s="35"/>
      <c r="B12" s="37" t="s">
        <v>484</v>
      </c>
      <c r="C12" s="32"/>
      <c r="D12" s="32"/>
      <c r="E12" s="28"/>
      <c r="F12" s="28"/>
      <c r="G12" s="28"/>
      <c r="H12" s="28"/>
      <c r="I12" s="28"/>
      <c r="J12" s="28"/>
      <c r="K12" s="28"/>
      <c r="L12" s="29" t="s">
        <v>2</v>
      </c>
    </row>
    <row r="13" spans="1:16" ht="10.5" customHeight="1">
      <c r="A13" s="288"/>
      <c r="B13" s="30"/>
      <c r="C13" s="30"/>
      <c r="D13" s="30"/>
      <c r="E13" s="30"/>
      <c r="F13" s="30"/>
      <c r="G13" s="30"/>
      <c r="H13" s="30"/>
      <c r="I13" s="30"/>
      <c r="J13" s="30"/>
      <c r="K13" s="30"/>
      <c r="L13" s="31"/>
    </row>
    <row r="14" spans="1:16" ht="19.5" customHeight="1">
      <c r="A14" s="27" t="s">
        <v>499</v>
      </c>
      <c r="B14" s="37"/>
      <c r="C14" s="32"/>
      <c r="D14" s="32"/>
      <c r="E14" s="32"/>
      <c r="F14" s="32"/>
      <c r="G14" s="32"/>
      <c r="H14" s="32"/>
      <c r="I14" s="32"/>
      <c r="J14" s="32"/>
      <c r="K14" s="32"/>
      <c r="L14" s="34"/>
    </row>
    <row r="15" spans="1:16" ht="19.5" customHeight="1">
      <c r="A15" s="35"/>
      <c r="B15" s="32" t="s">
        <v>473</v>
      </c>
      <c r="C15" s="32"/>
      <c r="D15" s="32"/>
      <c r="E15" s="32"/>
      <c r="F15" s="28"/>
      <c r="G15" s="28"/>
      <c r="H15" s="28"/>
      <c r="I15" s="28"/>
      <c r="J15" s="28"/>
      <c r="K15" s="28"/>
      <c r="L15" s="29" t="s">
        <v>3</v>
      </c>
    </row>
    <row r="16" spans="1:16" ht="19.5" customHeight="1">
      <c r="A16" s="35"/>
      <c r="B16" s="37" t="s">
        <v>482</v>
      </c>
      <c r="C16" s="32"/>
      <c r="D16" s="32"/>
      <c r="E16" s="32"/>
      <c r="F16" s="32"/>
      <c r="G16" s="28"/>
      <c r="H16" s="28"/>
      <c r="I16" s="28"/>
      <c r="J16" s="28"/>
      <c r="K16" s="28"/>
      <c r="L16" s="29" t="s">
        <v>4</v>
      </c>
    </row>
    <row r="17" spans="1:12" ht="19.5" customHeight="1">
      <c r="A17" s="35"/>
      <c r="B17" s="37" t="s">
        <v>474</v>
      </c>
      <c r="C17" s="32"/>
      <c r="D17" s="32"/>
      <c r="E17" s="32"/>
      <c r="F17" s="32"/>
      <c r="G17" s="28"/>
      <c r="H17" s="28"/>
      <c r="I17" s="28"/>
      <c r="J17" s="28"/>
      <c r="K17" s="28"/>
      <c r="L17" s="29" t="s">
        <v>5</v>
      </c>
    </row>
    <row r="18" spans="1:12" ht="19.5" customHeight="1">
      <c r="A18" s="35"/>
      <c r="B18" s="37" t="s">
        <v>475</v>
      </c>
      <c r="C18" s="32"/>
      <c r="D18" s="32"/>
      <c r="E18" s="32"/>
      <c r="F18" s="28"/>
      <c r="G18" s="28"/>
      <c r="H18" s="28"/>
      <c r="I18" s="28"/>
      <c r="J18" s="28"/>
      <c r="K18" s="28"/>
      <c r="L18" s="29" t="s">
        <v>6</v>
      </c>
    </row>
    <row r="19" spans="1:12" ht="19.5" customHeight="1">
      <c r="A19" s="35"/>
      <c r="B19" s="290" t="s">
        <v>476</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498</v>
      </c>
      <c r="B21" s="288"/>
      <c r="C21" s="37"/>
      <c r="D21" s="32"/>
      <c r="E21" s="32"/>
      <c r="F21" s="32"/>
      <c r="G21" s="32"/>
      <c r="H21" s="32"/>
      <c r="I21" s="32"/>
      <c r="J21" s="32"/>
      <c r="K21" s="32"/>
      <c r="L21" s="39"/>
    </row>
    <row r="22" spans="1:12" ht="19.5" customHeight="1">
      <c r="A22" s="288"/>
      <c r="B22" s="32" t="s">
        <v>500</v>
      </c>
      <c r="C22" s="32"/>
      <c r="D22" s="32"/>
      <c r="E22" s="32"/>
      <c r="F22" s="32"/>
      <c r="G22" s="28"/>
      <c r="H22" s="28"/>
      <c r="I22" s="28"/>
      <c r="J22" s="28"/>
      <c r="K22" s="28"/>
      <c r="L22" s="29" t="s">
        <v>9</v>
      </c>
    </row>
    <row r="23" spans="1:12" ht="19.5" customHeight="1">
      <c r="A23" s="40"/>
      <c r="B23" s="32" t="s">
        <v>501</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287</v>
      </c>
      <c r="B25" s="288"/>
      <c r="C25" s="37"/>
      <c r="D25" s="32"/>
      <c r="E25" s="32"/>
      <c r="F25" s="32"/>
      <c r="G25" s="32"/>
      <c r="H25" s="32"/>
      <c r="I25" s="32"/>
      <c r="J25" s="32"/>
      <c r="K25" s="32"/>
      <c r="L25" s="39"/>
    </row>
    <row r="26" spans="1:12" ht="19.5" customHeight="1">
      <c r="A26" s="288"/>
      <c r="B26" s="32" t="s">
        <v>503</v>
      </c>
      <c r="C26" s="32"/>
      <c r="D26" s="32"/>
      <c r="E26" s="32"/>
      <c r="F26" s="28"/>
      <c r="G26" s="28"/>
      <c r="H26" s="28"/>
      <c r="I26" s="28"/>
      <c r="J26" s="28"/>
      <c r="K26" s="42"/>
      <c r="L26" s="29" t="s">
        <v>11</v>
      </c>
    </row>
    <row r="27" spans="1:12" ht="19.5" customHeight="1">
      <c r="A27" s="288"/>
      <c r="B27" s="32" t="s">
        <v>477</v>
      </c>
      <c r="C27" s="32"/>
      <c r="D27" s="32"/>
      <c r="E27" s="32"/>
      <c r="F27" s="32"/>
      <c r="G27" s="28"/>
      <c r="H27" s="28"/>
      <c r="I27" s="28"/>
      <c r="J27" s="28"/>
      <c r="K27" s="42"/>
      <c r="L27" s="29" t="s">
        <v>11</v>
      </c>
    </row>
    <row r="28" spans="1:12" ht="19.5" customHeight="1">
      <c r="A28" s="40"/>
      <c r="B28" s="32" t="s">
        <v>502</v>
      </c>
      <c r="C28" s="32"/>
      <c r="D28" s="32"/>
      <c r="E28" s="32"/>
      <c r="F28" s="28"/>
      <c r="G28" s="28"/>
      <c r="H28" s="42"/>
      <c r="I28" s="42"/>
      <c r="J28" s="42"/>
      <c r="K28" s="42"/>
      <c r="L28" s="29" t="s">
        <v>12</v>
      </c>
    </row>
    <row r="29" spans="1:12" ht="19.5" customHeight="1">
      <c r="A29" s="40"/>
      <c r="B29" s="32" t="s">
        <v>483</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490</v>
      </c>
      <c r="B31" s="32"/>
      <c r="C31" s="32"/>
      <c r="D31" s="32"/>
      <c r="E31" s="32"/>
      <c r="F31" s="32"/>
      <c r="G31" s="32"/>
      <c r="H31" s="32"/>
      <c r="I31" s="32"/>
      <c r="J31" s="32"/>
      <c r="K31" s="32"/>
      <c r="L31" s="29"/>
    </row>
    <row r="32" spans="1:12" ht="19.5" customHeight="1">
      <c r="A32" s="40"/>
      <c r="B32" s="32" t="s">
        <v>504</v>
      </c>
      <c r="C32" s="32"/>
      <c r="D32" s="32"/>
      <c r="E32" s="32"/>
      <c r="F32" s="32"/>
      <c r="G32" s="28"/>
      <c r="H32" s="28"/>
      <c r="I32" s="28"/>
      <c r="J32" s="28"/>
      <c r="K32" s="28"/>
      <c r="L32" s="29" t="s">
        <v>13</v>
      </c>
    </row>
    <row r="33" spans="1:12" ht="19.5" customHeight="1">
      <c r="A33" s="40"/>
      <c r="B33" s="32" t="s">
        <v>478</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479</v>
      </c>
      <c r="B35" s="33"/>
      <c r="C35" s="41"/>
      <c r="D35" s="33"/>
      <c r="E35" s="33"/>
      <c r="F35" s="33"/>
      <c r="G35" s="33"/>
      <c r="H35" s="33"/>
      <c r="I35" s="33"/>
      <c r="J35" s="33"/>
      <c r="K35" s="33"/>
      <c r="L35" s="29"/>
    </row>
    <row r="36" spans="1:12" ht="19.5" customHeight="1">
      <c r="A36" s="35"/>
      <c r="B36" s="32" t="s">
        <v>505</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480</v>
      </c>
      <c r="B38" s="44"/>
      <c r="C38" s="32"/>
      <c r="D38" s="32"/>
      <c r="E38" s="32"/>
      <c r="F38" s="32"/>
      <c r="G38" s="32"/>
      <c r="H38" s="32"/>
      <c r="I38" s="32"/>
      <c r="J38" s="32"/>
      <c r="K38" s="32"/>
      <c r="L38" s="48"/>
    </row>
    <row r="39" spans="1:12" ht="19.5" customHeight="1">
      <c r="A39" s="35"/>
      <c r="B39" s="32" t="s">
        <v>481</v>
      </c>
      <c r="C39" s="32"/>
      <c r="D39" s="32"/>
      <c r="E39" s="32"/>
      <c r="F39" s="32"/>
      <c r="G39" s="32"/>
      <c r="H39" s="28"/>
      <c r="I39" s="28"/>
      <c r="J39" s="28"/>
      <c r="K39" s="28"/>
      <c r="L39" s="29" t="s">
        <v>16</v>
      </c>
    </row>
    <row r="40" spans="1:12" ht="10.5" customHeight="1">
      <c r="A40" s="288"/>
      <c r="B40" s="32"/>
      <c r="C40" s="32"/>
      <c r="D40" s="32"/>
      <c r="E40" s="32"/>
      <c r="F40" s="32"/>
      <c r="G40" s="32"/>
      <c r="H40" s="32"/>
      <c r="I40" s="32"/>
      <c r="J40" s="32"/>
      <c r="K40" s="32"/>
      <c r="L40" s="29"/>
    </row>
    <row r="41" spans="1:12" ht="19.5" customHeight="1">
      <c r="A41" s="27" t="s">
        <v>225</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506</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70"/>
  <sheetViews>
    <sheetView showGridLines="0" view="pageBreakPreview" zoomScale="115" zoomScaleNormal="100" zoomScaleSheetLayoutView="115" zoomScalePageLayoutView="145" workbookViewId="0">
      <selection activeCell="M27" sqref="M27"/>
    </sheetView>
  </sheetViews>
  <sheetFormatPr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9" width="9.33203125" style="50"/>
    <col min="10" max="11" width="9.33203125" style="50" customWidth="1"/>
    <col min="12" max="13" width="9.33203125" style="50"/>
    <col min="14" max="16384" width="9.33203125" style="3"/>
  </cols>
  <sheetData>
    <row r="1" spans="1:12" ht="11.25" customHeight="1">
      <c r="A1" s="391" t="s">
        <v>313</v>
      </c>
      <c r="B1" s="390"/>
      <c r="C1" s="390"/>
      <c r="D1" s="390"/>
      <c r="E1" s="390"/>
      <c r="F1" s="390"/>
      <c r="G1" s="390"/>
    </row>
    <row r="2" spans="1:12" ht="14.25" customHeight="1">
      <c r="A2" s="977" t="s">
        <v>284</v>
      </c>
      <c r="B2" s="980" t="s">
        <v>57</v>
      </c>
      <c r="C2" s="983" t="str">
        <f>"ENERGÍA PRODUCIDA "&amp;UPPER('1. Resumen'!Q4)&amp;" "&amp;'1. Resumen'!Q5</f>
        <v>ENERGÍA PRODUCIDA SETIEMBRE 2018</v>
      </c>
      <c r="D2" s="983"/>
      <c r="E2" s="983"/>
      <c r="F2" s="983"/>
      <c r="G2" s="816" t="s">
        <v>314</v>
      </c>
      <c r="H2" s="264"/>
      <c r="I2" s="264"/>
      <c r="J2" s="264"/>
      <c r="K2" s="264"/>
    </row>
    <row r="3" spans="1:12" ht="11.25" customHeight="1">
      <c r="A3" s="978"/>
      <c r="B3" s="981"/>
      <c r="C3" s="984" t="s">
        <v>315</v>
      </c>
      <c r="D3" s="984"/>
      <c r="E3" s="984"/>
      <c r="F3" s="985" t="str">
        <f>"TOTAL 
"&amp;UPPER('1. Resumen'!Q4)</f>
        <v>TOTAL 
SETIEMBRE</v>
      </c>
      <c r="G3" s="817" t="s">
        <v>316</v>
      </c>
      <c r="H3" s="253"/>
      <c r="I3" s="253"/>
      <c r="J3" s="253"/>
      <c r="K3" s="253"/>
      <c r="L3" s="254"/>
    </row>
    <row r="4" spans="1:12" ht="12.75" customHeight="1">
      <c r="A4" s="978"/>
      <c r="B4" s="981"/>
      <c r="C4" s="818" t="s">
        <v>238</v>
      </c>
      <c r="D4" s="818" t="s">
        <v>239</v>
      </c>
      <c r="E4" s="818" t="s">
        <v>317</v>
      </c>
      <c r="F4" s="986"/>
      <c r="G4" s="817">
        <v>2018</v>
      </c>
      <c r="H4" s="256"/>
      <c r="I4" s="255"/>
      <c r="J4" s="255"/>
      <c r="K4" s="255"/>
      <c r="L4" s="254"/>
    </row>
    <row r="5" spans="1:12" ht="11.25" customHeight="1">
      <c r="A5" s="979"/>
      <c r="B5" s="982"/>
      <c r="C5" s="819" t="s">
        <v>318</v>
      </c>
      <c r="D5" s="819" t="s">
        <v>318</v>
      </c>
      <c r="E5" s="819" t="s">
        <v>318</v>
      </c>
      <c r="F5" s="819" t="s">
        <v>318</v>
      </c>
      <c r="G5" s="820" t="s">
        <v>222</v>
      </c>
      <c r="H5" s="256"/>
      <c r="I5" s="256"/>
      <c r="J5" s="256"/>
      <c r="K5" s="256"/>
      <c r="L5" s="12"/>
    </row>
    <row r="6" spans="1:12" ht="9.75" customHeight="1">
      <c r="A6" s="691" t="s">
        <v>127</v>
      </c>
      <c r="B6" s="692" t="s">
        <v>91</v>
      </c>
      <c r="C6" s="693"/>
      <c r="D6" s="693"/>
      <c r="E6" s="693">
        <v>0</v>
      </c>
      <c r="F6" s="694">
        <v>0</v>
      </c>
      <c r="G6" s="695">
        <v>0</v>
      </c>
      <c r="H6" s="256"/>
      <c r="I6" s="256"/>
      <c r="J6" s="256"/>
      <c r="K6" s="256"/>
      <c r="L6" s="7"/>
    </row>
    <row r="7" spans="1:12" ht="9.75" customHeight="1">
      <c r="A7" s="855" t="s">
        <v>319</v>
      </c>
      <c r="B7" s="856"/>
      <c r="C7" s="857"/>
      <c r="D7" s="857"/>
      <c r="E7" s="857">
        <v>0</v>
      </c>
      <c r="F7" s="858">
        <v>0</v>
      </c>
      <c r="G7" s="859">
        <v>0</v>
      </c>
      <c r="H7" s="256"/>
      <c r="I7" s="256"/>
      <c r="J7" s="256"/>
      <c r="K7" s="256"/>
      <c r="L7" s="20"/>
    </row>
    <row r="8" spans="1:12" ht="9.75" customHeight="1">
      <c r="A8" s="696" t="s">
        <v>126</v>
      </c>
      <c r="B8" s="697" t="s">
        <v>66</v>
      </c>
      <c r="C8" s="698"/>
      <c r="D8" s="698"/>
      <c r="E8" s="698">
        <v>1372.0825024999999</v>
      </c>
      <c r="F8" s="699">
        <v>1372.0825024999999</v>
      </c>
      <c r="G8" s="700">
        <v>69938.860887499992</v>
      </c>
      <c r="H8" s="256"/>
      <c r="I8" s="256"/>
      <c r="J8" s="256"/>
      <c r="K8" s="256"/>
      <c r="L8" s="16"/>
    </row>
    <row r="9" spans="1:12" ht="9.75" customHeight="1">
      <c r="A9" s="855" t="s">
        <v>320</v>
      </c>
      <c r="B9" s="856"/>
      <c r="C9" s="857"/>
      <c r="D9" s="857"/>
      <c r="E9" s="857">
        <v>1372.0825024999999</v>
      </c>
      <c r="F9" s="858">
        <v>1372.0825024999999</v>
      </c>
      <c r="G9" s="859">
        <v>69938.860887499992</v>
      </c>
      <c r="H9" s="256"/>
      <c r="I9" s="256"/>
      <c r="J9" s="256"/>
      <c r="K9" s="256"/>
      <c r="L9" s="29"/>
    </row>
    <row r="10" spans="1:12" ht="9.75" customHeight="1">
      <c r="A10" s="696" t="s">
        <v>111</v>
      </c>
      <c r="B10" s="697" t="s">
        <v>88</v>
      </c>
      <c r="C10" s="698"/>
      <c r="D10" s="698"/>
      <c r="E10" s="698">
        <v>8446.5523725000003</v>
      </c>
      <c r="F10" s="699">
        <v>8446.5523725000003</v>
      </c>
      <c r="G10" s="700">
        <v>66387.170037500007</v>
      </c>
      <c r="H10" s="256"/>
      <c r="I10" s="256"/>
      <c r="J10" s="256"/>
      <c r="K10" s="256"/>
      <c r="L10" s="29"/>
    </row>
    <row r="11" spans="1:12" ht="9.75" customHeight="1">
      <c r="A11" s="855" t="s">
        <v>321</v>
      </c>
      <c r="B11" s="856"/>
      <c r="C11" s="857"/>
      <c r="D11" s="857"/>
      <c r="E11" s="857">
        <v>8446.5523725000003</v>
      </c>
      <c r="F11" s="858">
        <v>8446.5523725000003</v>
      </c>
      <c r="G11" s="859">
        <v>66387.170037500007</v>
      </c>
      <c r="H11" s="256"/>
      <c r="I11" s="256"/>
      <c r="J11" s="256"/>
      <c r="K11" s="256"/>
      <c r="L11" s="29"/>
    </row>
    <row r="12" spans="1:12" ht="9.75" customHeight="1">
      <c r="A12" s="696" t="s">
        <v>99</v>
      </c>
      <c r="B12" s="697" t="s">
        <v>322</v>
      </c>
      <c r="C12" s="698">
        <v>50394.623122499994</v>
      </c>
      <c r="D12" s="698"/>
      <c r="E12" s="698"/>
      <c r="F12" s="699">
        <v>50394.623122499994</v>
      </c>
      <c r="G12" s="700">
        <v>958874.15528249997</v>
      </c>
      <c r="H12" s="256"/>
      <c r="I12" s="256"/>
      <c r="J12" s="256"/>
      <c r="K12" s="256"/>
      <c r="L12" s="29"/>
    </row>
    <row r="13" spans="1:12" ht="9.75" customHeight="1">
      <c r="A13" s="855" t="s">
        <v>323</v>
      </c>
      <c r="B13" s="856"/>
      <c r="C13" s="857">
        <v>50394.623122499994</v>
      </c>
      <c r="D13" s="857"/>
      <c r="E13" s="857"/>
      <c r="F13" s="858">
        <v>50394.623122499994</v>
      </c>
      <c r="G13" s="859">
        <v>958874.15528249997</v>
      </c>
      <c r="H13" s="256"/>
      <c r="I13" s="256"/>
      <c r="J13" s="256"/>
      <c r="K13" s="256"/>
      <c r="L13" s="31"/>
    </row>
    <row r="14" spans="1:12" ht="9.75" customHeight="1">
      <c r="A14" s="701" t="s">
        <v>267</v>
      </c>
      <c r="B14" s="697" t="s">
        <v>324</v>
      </c>
      <c r="C14" s="698"/>
      <c r="D14" s="698">
        <v>2.0000000000000002E-5</v>
      </c>
      <c r="E14" s="698"/>
      <c r="F14" s="699">
        <v>2.0000000000000002E-5</v>
      </c>
      <c r="G14" s="700">
        <v>4209.4030675000004</v>
      </c>
      <c r="H14" s="256"/>
      <c r="I14" s="256"/>
      <c r="J14" s="256"/>
      <c r="K14" s="256"/>
      <c r="L14" s="29"/>
    </row>
    <row r="15" spans="1:12" ht="9.75" customHeight="1">
      <c r="A15" s="855" t="s">
        <v>325</v>
      </c>
      <c r="B15" s="856"/>
      <c r="C15" s="857"/>
      <c r="D15" s="857">
        <v>2.0000000000000002E-5</v>
      </c>
      <c r="E15" s="857"/>
      <c r="F15" s="858">
        <v>2.0000000000000002E-5</v>
      </c>
      <c r="G15" s="859">
        <v>4209.4030675000004</v>
      </c>
      <c r="H15" s="256"/>
      <c r="I15" s="256"/>
      <c r="J15" s="256"/>
      <c r="K15" s="256"/>
      <c r="L15" s="29"/>
    </row>
    <row r="16" spans="1:12" ht="9.75" customHeight="1">
      <c r="A16" s="701" t="s">
        <v>98</v>
      </c>
      <c r="B16" s="697" t="s">
        <v>326</v>
      </c>
      <c r="C16" s="698">
        <v>42437.726139999999</v>
      </c>
      <c r="D16" s="698"/>
      <c r="E16" s="698"/>
      <c r="F16" s="699">
        <v>42437.726139999999</v>
      </c>
      <c r="G16" s="700">
        <v>715882.8155575</v>
      </c>
      <c r="H16" s="256"/>
      <c r="I16" s="256"/>
      <c r="J16" s="256"/>
      <c r="K16" s="256"/>
      <c r="L16" s="29"/>
    </row>
    <row r="17" spans="1:12" ht="9.75" customHeight="1">
      <c r="A17" s="701"/>
      <c r="B17" s="697" t="s">
        <v>327</v>
      </c>
      <c r="C17" s="698">
        <v>9992.1380625000002</v>
      </c>
      <c r="D17" s="698"/>
      <c r="E17" s="698"/>
      <c r="F17" s="699">
        <v>9992.1380625000002</v>
      </c>
      <c r="G17" s="700">
        <v>201707.19253749997</v>
      </c>
      <c r="H17" s="256"/>
      <c r="I17" s="256"/>
      <c r="J17" s="256"/>
      <c r="K17" s="256"/>
      <c r="L17" s="39"/>
    </row>
    <row r="18" spans="1:12" ht="9.75" customHeight="1">
      <c r="A18" s="855" t="s">
        <v>328</v>
      </c>
      <c r="B18" s="856"/>
      <c r="C18" s="857">
        <v>52429.864202500001</v>
      </c>
      <c r="D18" s="857"/>
      <c r="E18" s="857"/>
      <c r="F18" s="858">
        <v>52429.864202500001</v>
      </c>
      <c r="G18" s="859">
        <v>917590.00809499994</v>
      </c>
      <c r="H18" s="256"/>
      <c r="I18" s="256"/>
      <c r="J18" s="256"/>
      <c r="K18" s="256"/>
      <c r="L18" s="29"/>
    </row>
    <row r="19" spans="1:12" ht="9.75" customHeight="1">
      <c r="A19" s="701" t="s">
        <v>96</v>
      </c>
      <c r="B19" s="697" t="s">
        <v>329</v>
      </c>
      <c r="C19" s="698">
        <v>1175.2786999999998</v>
      </c>
      <c r="D19" s="698"/>
      <c r="E19" s="698"/>
      <c r="F19" s="699">
        <v>1175.2786999999998</v>
      </c>
      <c r="G19" s="700">
        <v>10331.954157499998</v>
      </c>
      <c r="H19" s="256"/>
      <c r="I19" s="256"/>
      <c r="J19" s="256"/>
      <c r="K19" s="256"/>
      <c r="L19" s="22"/>
    </row>
    <row r="20" spans="1:12" ht="9.75" customHeight="1">
      <c r="A20" s="701"/>
      <c r="B20" s="697" t="s">
        <v>330</v>
      </c>
      <c r="C20" s="698">
        <v>409.30392749999999</v>
      </c>
      <c r="D20" s="698"/>
      <c r="E20" s="698"/>
      <c r="F20" s="699">
        <v>409.30392749999999</v>
      </c>
      <c r="G20" s="700">
        <v>3702.8871825000001</v>
      </c>
      <c r="H20" s="256"/>
      <c r="I20" s="256"/>
      <c r="J20" s="256"/>
      <c r="K20" s="256"/>
      <c r="L20" s="20"/>
    </row>
    <row r="21" spans="1:12" ht="9.75" customHeight="1">
      <c r="A21" s="701"/>
      <c r="B21" s="697" t="s">
        <v>331</v>
      </c>
      <c r="C21" s="698">
        <v>3230.7570025</v>
      </c>
      <c r="D21" s="698"/>
      <c r="E21" s="698"/>
      <c r="F21" s="699">
        <v>3230.7570025</v>
      </c>
      <c r="G21" s="700">
        <v>29391.125747500002</v>
      </c>
      <c r="H21" s="256"/>
      <c r="I21" s="256"/>
      <c r="J21" s="256"/>
      <c r="K21" s="256"/>
      <c r="L21" s="20"/>
    </row>
    <row r="22" spans="1:12" ht="9.75" customHeight="1">
      <c r="A22" s="701"/>
      <c r="B22" s="697" t="s">
        <v>332</v>
      </c>
      <c r="C22" s="698">
        <v>8333.4380299999993</v>
      </c>
      <c r="D22" s="698"/>
      <c r="E22" s="698"/>
      <c r="F22" s="699">
        <v>8333.4380299999993</v>
      </c>
      <c r="G22" s="700">
        <v>81054.040189999985</v>
      </c>
      <c r="H22" s="256"/>
      <c r="I22" s="256"/>
      <c r="J22" s="256"/>
      <c r="K22" s="256"/>
      <c r="L22" s="29"/>
    </row>
    <row r="23" spans="1:12" ht="9.75" customHeight="1">
      <c r="A23" s="701"/>
      <c r="B23" s="697" t="s">
        <v>333</v>
      </c>
      <c r="C23" s="698">
        <v>51698.255915000002</v>
      </c>
      <c r="D23" s="698"/>
      <c r="E23" s="698"/>
      <c r="F23" s="699">
        <v>51698.255915000002</v>
      </c>
      <c r="G23" s="700">
        <v>550005.98568749998</v>
      </c>
      <c r="H23" s="256"/>
      <c r="I23" s="256"/>
      <c r="J23" s="256"/>
      <c r="K23" s="256"/>
      <c r="L23" s="29"/>
    </row>
    <row r="24" spans="1:12" ht="9.75" customHeight="1">
      <c r="A24" s="701"/>
      <c r="B24" s="697" t="s">
        <v>334</v>
      </c>
      <c r="C24" s="698">
        <v>5171.5087599999997</v>
      </c>
      <c r="D24" s="698"/>
      <c r="E24" s="698"/>
      <c r="F24" s="699">
        <v>5171.5087599999997</v>
      </c>
      <c r="G24" s="700">
        <v>49410.940222500001</v>
      </c>
      <c r="H24" s="256"/>
      <c r="I24" s="256"/>
      <c r="J24" s="256"/>
      <c r="K24" s="256"/>
      <c r="L24" s="29"/>
    </row>
    <row r="25" spans="1:12" ht="9.75" customHeight="1">
      <c r="A25" s="701"/>
      <c r="B25" s="697" t="s">
        <v>335</v>
      </c>
      <c r="C25" s="698"/>
      <c r="D25" s="698">
        <v>14.6586725</v>
      </c>
      <c r="E25" s="698"/>
      <c r="F25" s="699">
        <v>14.6586725</v>
      </c>
      <c r="G25" s="700">
        <v>795.19614999999999</v>
      </c>
      <c r="H25" s="256"/>
      <c r="I25" s="256"/>
      <c r="J25" s="256"/>
      <c r="K25" s="256"/>
      <c r="L25" s="29"/>
    </row>
    <row r="26" spans="1:12" ht="9.75" customHeight="1">
      <c r="A26" s="701"/>
      <c r="B26" s="697" t="s">
        <v>336</v>
      </c>
      <c r="C26" s="698"/>
      <c r="D26" s="698">
        <v>0</v>
      </c>
      <c r="E26" s="698"/>
      <c r="F26" s="699">
        <v>0</v>
      </c>
      <c r="G26" s="700">
        <v>529.52973250000002</v>
      </c>
      <c r="H26" s="256"/>
      <c r="I26" s="256"/>
      <c r="J26" s="256"/>
      <c r="K26" s="256"/>
      <c r="L26" s="29"/>
    </row>
    <row r="27" spans="1:12" ht="9.75" customHeight="1">
      <c r="A27" s="701"/>
      <c r="B27" s="697" t="s">
        <v>337</v>
      </c>
      <c r="C27" s="698"/>
      <c r="D27" s="698">
        <v>778.56740000000002</v>
      </c>
      <c r="E27" s="698"/>
      <c r="F27" s="699">
        <v>778.56740000000002</v>
      </c>
      <c r="G27" s="700">
        <v>62198.653887499997</v>
      </c>
      <c r="H27" s="256"/>
      <c r="I27" s="256"/>
      <c r="J27" s="256"/>
      <c r="K27" s="256"/>
      <c r="L27" s="29"/>
    </row>
    <row r="28" spans="1:12" ht="9.75" customHeight="1">
      <c r="A28" s="855" t="s">
        <v>338</v>
      </c>
      <c r="B28" s="856"/>
      <c r="C28" s="857">
        <v>70018.542335000006</v>
      </c>
      <c r="D28" s="857">
        <v>793.22607249999999</v>
      </c>
      <c r="E28" s="857"/>
      <c r="F28" s="858">
        <v>70811.7684075</v>
      </c>
      <c r="G28" s="859">
        <v>787420.31295749987</v>
      </c>
      <c r="H28" s="256"/>
      <c r="I28" s="256"/>
      <c r="J28" s="256"/>
      <c r="K28" s="256"/>
      <c r="L28" s="29"/>
    </row>
    <row r="29" spans="1:12" ht="9.75" customHeight="1">
      <c r="A29" s="701" t="s">
        <v>119</v>
      </c>
      <c r="B29" s="697" t="s">
        <v>73</v>
      </c>
      <c r="C29" s="698"/>
      <c r="D29" s="698"/>
      <c r="E29" s="698">
        <v>2799.804345</v>
      </c>
      <c r="F29" s="699">
        <v>2799.804345</v>
      </c>
      <c r="G29" s="700">
        <v>26121.585577499998</v>
      </c>
      <c r="H29" s="256"/>
      <c r="I29" s="256"/>
      <c r="J29" s="256"/>
      <c r="K29" s="256"/>
      <c r="L29" s="29"/>
    </row>
    <row r="30" spans="1:12" ht="9.75" customHeight="1">
      <c r="A30" s="855" t="s">
        <v>339</v>
      </c>
      <c r="B30" s="856"/>
      <c r="C30" s="857"/>
      <c r="D30" s="857"/>
      <c r="E30" s="857">
        <v>2799.804345</v>
      </c>
      <c r="F30" s="858">
        <v>2799.804345</v>
      </c>
      <c r="G30" s="859">
        <v>26121.585577499998</v>
      </c>
      <c r="H30" s="256"/>
      <c r="I30" s="256"/>
      <c r="J30" s="256"/>
      <c r="K30" s="256"/>
      <c r="L30" s="29"/>
    </row>
    <row r="31" spans="1:12" ht="9.75" customHeight="1">
      <c r="A31" s="701" t="s">
        <v>97</v>
      </c>
      <c r="B31" s="697" t="s">
        <v>340</v>
      </c>
      <c r="C31" s="698">
        <v>69465.119695000001</v>
      </c>
      <c r="D31" s="698"/>
      <c r="E31" s="698"/>
      <c r="F31" s="699">
        <v>69465.119695000001</v>
      </c>
      <c r="G31" s="700">
        <v>944537.66000500007</v>
      </c>
      <c r="H31" s="256"/>
      <c r="I31" s="256"/>
      <c r="J31" s="256"/>
      <c r="K31" s="256"/>
      <c r="L31" s="29"/>
    </row>
    <row r="32" spans="1:12" ht="9.75" customHeight="1">
      <c r="A32" s="855" t="s">
        <v>341</v>
      </c>
      <c r="B32" s="856"/>
      <c r="C32" s="857">
        <v>69465.119695000001</v>
      </c>
      <c r="D32" s="857"/>
      <c r="E32" s="857"/>
      <c r="F32" s="858">
        <v>69465.119695000001</v>
      </c>
      <c r="G32" s="859">
        <v>944537.66000500007</v>
      </c>
      <c r="H32" s="256"/>
      <c r="I32" s="256"/>
      <c r="J32" s="256"/>
      <c r="K32" s="256"/>
      <c r="L32" s="259"/>
    </row>
    <row r="33" spans="1:12" ht="9.75" customHeight="1">
      <c r="A33" s="701" t="s">
        <v>106</v>
      </c>
      <c r="B33" s="697" t="s">
        <v>342</v>
      </c>
      <c r="C33" s="698">
        <v>5415.7579824999993</v>
      </c>
      <c r="D33" s="698"/>
      <c r="E33" s="698"/>
      <c r="F33" s="699">
        <v>5415.7579824999993</v>
      </c>
      <c r="G33" s="700">
        <v>49721.938982499996</v>
      </c>
      <c r="H33" s="256"/>
      <c r="I33" s="256"/>
      <c r="J33" s="256"/>
      <c r="K33" s="256"/>
      <c r="L33" s="29"/>
    </row>
    <row r="34" spans="1:12" ht="9.75" customHeight="1">
      <c r="A34" s="701"/>
      <c r="B34" s="697" t="s">
        <v>343</v>
      </c>
      <c r="C34" s="698">
        <v>3723.6302575</v>
      </c>
      <c r="D34" s="698"/>
      <c r="E34" s="698"/>
      <c r="F34" s="699">
        <v>3723.6302575</v>
      </c>
      <c r="G34" s="700">
        <v>33894.232069999998</v>
      </c>
      <c r="H34" s="256"/>
      <c r="I34" s="256"/>
      <c r="J34" s="256"/>
      <c r="K34" s="256"/>
      <c r="L34" s="29"/>
    </row>
    <row r="35" spans="1:12" ht="9.75" customHeight="1">
      <c r="A35" s="701"/>
      <c r="B35" s="697" t="s">
        <v>344</v>
      </c>
      <c r="C35" s="698"/>
      <c r="D35" s="698">
        <v>14534.302725000001</v>
      </c>
      <c r="E35" s="698"/>
      <c r="F35" s="699">
        <v>14534.302725000001</v>
      </c>
      <c r="G35" s="700">
        <v>108182.45568750001</v>
      </c>
      <c r="H35" s="256"/>
      <c r="I35" s="256"/>
      <c r="J35" s="256"/>
      <c r="K35" s="256"/>
      <c r="L35" s="29"/>
    </row>
    <row r="36" spans="1:12" ht="9.75" customHeight="1">
      <c r="A36" s="855" t="s">
        <v>345</v>
      </c>
      <c r="B36" s="856"/>
      <c r="C36" s="857">
        <v>9139.3882400000002</v>
      </c>
      <c r="D36" s="857">
        <v>14534.302725000001</v>
      </c>
      <c r="E36" s="857"/>
      <c r="F36" s="858">
        <v>23673.690965000002</v>
      </c>
      <c r="G36" s="859">
        <v>191798.62674000001</v>
      </c>
      <c r="H36" s="256"/>
      <c r="I36" s="256"/>
      <c r="J36" s="256"/>
      <c r="K36" s="256"/>
      <c r="L36" s="29"/>
    </row>
    <row r="37" spans="1:12" ht="9.75" customHeight="1">
      <c r="A37" s="701" t="s">
        <v>124</v>
      </c>
      <c r="B37" s="697" t="s">
        <v>78</v>
      </c>
      <c r="C37" s="698"/>
      <c r="D37" s="698"/>
      <c r="E37" s="698">
        <v>105.6634475</v>
      </c>
      <c r="F37" s="699">
        <v>105.6634475</v>
      </c>
      <c r="G37" s="700">
        <v>1854.334425</v>
      </c>
      <c r="H37" s="256"/>
      <c r="I37" s="256"/>
      <c r="J37" s="256"/>
      <c r="K37" s="256"/>
      <c r="L37" s="29"/>
    </row>
    <row r="38" spans="1:12" ht="9.75" customHeight="1">
      <c r="A38" s="855" t="s">
        <v>346</v>
      </c>
      <c r="B38" s="856"/>
      <c r="C38" s="857"/>
      <c r="D38" s="857"/>
      <c r="E38" s="857">
        <v>105.6634475</v>
      </c>
      <c r="F38" s="858">
        <v>105.6634475</v>
      </c>
      <c r="G38" s="859">
        <v>1854.334425</v>
      </c>
      <c r="H38" s="256"/>
      <c r="I38" s="256"/>
      <c r="J38" s="256"/>
      <c r="K38" s="256"/>
      <c r="L38" s="29"/>
    </row>
    <row r="39" spans="1:12" ht="9.75" customHeight="1">
      <c r="A39" s="701" t="s">
        <v>120</v>
      </c>
      <c r="B39" s="697" t="s">
        <v>76</v>
      </c>
      <c r="C39" s="698"/>
      <c r="D39" s="698"/>
      <c r="E39" s="698">
        <v>1288.9542750000001</v>
      </c>
      <c r="F39" s="699">
        <v>1288.9542750000001</v>
      </c>
      <c r="G39" s="700">
        <v>18861.073489999999</v>
      </c>
      <c r="H39" s="256"/>
      <c r="I39" s="256"/>
      <c r="J39" s="256"/>
      <c r="K39" s="256"/>
      <c r="L39" s="58"/>
    </row>
    <row r="40" spans="1:12" ht="9.75" customHeight="1">
      <c r="A40" s="855" t="s">
        <v>347</v>
      </c>
      <c r="B40" s="856"/>
      <c r="C40" s="857"/>
      <c r="D40" s="857"/>
      <c r="E40" s="857">
        <v>1288.9542750000001</v>
      </c>
      <c r="F40" s="858">
        <v>1288.9542750000001</v>
      </c>
      <c r="G40" s="859">
        <v>18861.073489999999</v>
      </c>
      <c r="H40" s="256"/>
      <c r="I40" s="256"/>
      <c r="J40" s="256"/>
      <c r="K40" s="256"/>
      <c r="L40" s="59"/>
    </row>
    <row r="41" spans="1:12" ht="9.75" customHeight="1">
      <c r="A41" s="701" t="s">
        <v>94</v>
      </c>
      <c r="B41" s="697" t="s">
        <v>348</v>
      </c>
      <c r="C41" s="698">
        <v>403825.17719999998</v>
      </c>
      <c r="D41" s="698"/>
      <c r="E41" s="698"/>
      <c r="F41" s="699">
        <v>403825.17719999998</v>
      </c>
      <c r="G41" s="700">
        <v>3893486.8463999997</v>
      </c>
      <c r="H41" s="256"/>
      <c r="I41" s="256"/>
      <c r="J41" s="256"/>
      <c r="K41" s="256"/>
      <c r="L41" s="59"/>
    </row>
    <row r="42" spans="1:12" ht="9.75" customHeight="1">
      <c r="A42" s="701"/>
      <c r="B42" s="697" t="s">
        <v>349</v>
      </c>
      <c r="C42" s="698">
        <v>129373.70832000001</v>
      </c>
      <c r="D42" s="698"/>
      <c r="E42" s="698"/>
      <c r="F42" s="699">
        <v>129373.70832000001</v>
      </c>
      <c r="G42" s="700">
        <v>1225143.7636799999</v>
      </c>
      <c r="H42" s="256"/>
      <c r="I42" s="256"/>
      <c r="J42" s="256"/>
      <c r="K42" s="256"/>
    </row>
    <row r="43" spans="1:12" ht="9.75" customHeight="1">
      <c r="A43" s="701"/>
      <c r="B43" s="697" t="s">
        <v>350</v>
      </c>
      <c r="C43" s="698"/>
      <c r="D43" s="698">
        <v>0</v>
      </c>
      <c r="E43" s="698"/>
      <c r="F43" s="699">
        <v>0</v>
      </c>
      <c r="G43" s="700">
        <v>2432.9590024999998</v>
      </c>
      <c r="H43" s="256"/>
      <c r="I43" s="256"/>
      <c r="J43" s="256"/>
      <c r="K43" s="256"/>
    </row>
    <row r="44" spans="1:12" ht="9.75" customHeight="1">
      <c r="A44" s="855" t="s">
        <v>351</v>
      </c>
      <c r="B44" s="856"/>
      <c r="C44" s="857">
        <v>533198.88552000001</v>
      </c>
      <c r="D44" s="857">
        <v>0</v>
      </c>
      <c r="E44" s="857"/>
      <c r="F44" s="858">
        <v>533198.88552000001</v>
      </c>
      <c r="G44" s="859">
        <v>5121063.5690825004</v>
      </c>
      <c r="H44" s="256"/>
      <c r="I44" s="256"/>
      <c r="J44" s="256"/>
      <c r="K44" s="256"/>
    </row>
    <row r="45" spans="1:12" ht="9.75" customHeight="1">
      <c r="A45" s="701" t="s">
        <v>268</v>
      </c>
      <c r="B45" s="697" t="s">
        <v>352</v>
      </c>
      <c r="C45" s="698">
        <v>50138.634235000005</v>
      </c>
      <c r="D45" s="698"/>
      <c r="E45" s="698"/>
      <c r="F45" s="699">
        <v>50138.634235000005</v>
      </c>
      <c r="G45" s="700">
        <v>1718434.4773775002</v>
      </c>
      <c r="H45" s="256"/>
      <c r="I45" s="256"/>
      <c r="J45" s="256"/>
      <c r="K45" s="256"/>
    </row>
    <row r="46" spans="1:12" ht="9.75" customHeight="1">
      <c r="A46" s="701"/>
      <c r="B46" s="697" t="s">
        <v>353</v>
      </c>
      <c r="C46" s="698">
        <v>0</v>
      </c>
      <c r="D46" s="698"/>
      <c r="E46" s="698"/>
      <c r="F46" s="699">
        <v>0</v>
      </c>
      <c r="G46" s="700">
        <v>29176.774360000003</v>
      </c>
      <c r="H46" s="256"/>
      <c r="I46" s="256"/>
      <c r="J46" s="256"/>
      <c r="K46" s="256"/>
    </row>
    <row r="47" spans="1:12" ht="9.75" customHeight="1">
      <c r="A47" s="855" t="s">
        <v>354</v>
      </c>
      <c r="B47" s="856"/>
      <c r="C47" s="857">
        <v>50138.634235000005</v>
      </c>
      <c r="D47" s="857"/>
      <c r="E47" s="857"/>
      <c r="F47" s="858">
        <v>50138.634235000005</v>
      </c>
      <c r="G47" s="859">
        <v>1747611.2517375001</v>
      </c>
      <c r="H47" s="256"/>
      <c r="I47" s="256"/>
      <c r="J47" s="256"/>
      <c r="K47" s="256"/>
    </row>
    <row r="48" spans="1:12" ht="9.75" customHeight="1">
      <c r="A48" s="701" t="s">
        <v>269</v>
      </c>
      <c r="B48" s="697" t="s">
        <v>355</v>
      </c>
      <c r="C48" s="698">
        <v>40684.881500000003</v>
      </c>
      <c r="D48" s="698"/>
      <c r="E48" s="698"/>
      <c r="F48" s="699">
        <v>40684.881500000003</v>
      </c>
      <c r="G48" s="700">
        <v>295445.29895000003</v>
      </c>
      <c r="H48" s="256"/>
      <c r="I48" s="256"/>
      <c r="J48" s="256"/>
      <c r="K48" s="256"/>
    </row>
    <row r="49" spans="1:11" ht="9.75" customHeight="1">
      <c r="A49" s="855" t="s">
        <v>356</v>
      </c>
      <c r="B49" s="856"/>
      <c r="C49" s="857">
        <v>40684.881500000003</v>
      </c>
      <c r="D49" s="857"/>
      <c r="E49" s="857"/>
      <c r="F49" s="858">
        <v>40684.881500000003</v>
      </c>
      <c r="G49" s="859">
        <v>295445.29895000003</v>
      </c>
      <c r="H49" s="132"/>
      <c r="I49" s="132"/>
      <c r="J49" s="256"/>
      <c r="K49" s="256"/>
    </row>
    <row r="50" spans="1:11" ht="9.75" customHeight="1">
      <c r="A50" s="701" t="s">
        <v>270</v>
      </c>
      <c r="B50" s="697" t="s">
        <v>63</v>
      </c>
      <c r="C50" s="698"/>
      <c r="D50" s="698"/>
      <c r="E50" s="698">
        <v>3605.0917924999999</v>
      </c>
      <c r="F50" s="699">
        <v>3605.0917924999999</v>
      </c>
      <c r="G50" s="700">
        <v>73979.484295000002</v>
      </c>
      <c r="H50" s="132"/>
      <c r="I50" s="132"/>
      <c r="J50" s="256"/>
      <c r="K50" s="256"/>
    </row>
    <row r="51" spans="1:11" ht="9.75" customHeight="1">
      <c r="A51" s="701"/>
      <c r="B51" s="697" t="s">
        <v>60</v>
      </c>
      <c r="C51" s="698"/>
      <c r="D51" s="698"/>
      <c r="E51" s="698">
        <v>5147.9017325000004</v>
      </c>
      <c r="F51" s="699">
        <v>5147.9017325000004</v>
      </c>
      <c r="G51" s="700">
        <v>94482.466902499989</v>
      </c>
      <c r="H51" s="132"/>
      <c r="I51" s="132"/>
      <c r="J51" s="256"/>
      <c r="K51" s="256"/>
    </row>
    <row r="52" spans="1:11" ht="9.75" customHeight="1">
      <c r="A52" s="855" t="s">
        <v>357</v>
      </c>
      <c r="B52" s="856"/>
      <c r="C52" s="857"/>
      <c r="D52" s="857"/>
      <c r="E52" s="857">
        <v>8752.9935249999999</v>
      </c>
      <c r="F52" s="858">
        <v>8752.9935249999999</v>
      </c>
      <c r="G52" s="859">
        <v>168461.95119749999</v>
      </c>
      <c r="H52" s="132"/>
      <c r="I52" s="132"/>
      <c r="J52" s="256"/>
      <c r="K52" s="256"/>
    </row>
    <row r="53" spans="1:11" ht="9.75" customHeight="1">
      <c r="A53" s="701" t="s">
        <v>93</v>
      </c>
      <c r="B53" s="697" t="s">
        <v>358</v>
      </c>
      <c r="C53" s="698">
        <v>19055.6109875</v>
      </c>
      <c r="D53" s="698"/>
      <c r="E53" s="698"/>
      <c r="F53" s="699">
        <v>19055.6109875</v>
      </c>
      <c r="G53" s="700">
        <v>166714.85341500002</v>
      </c>
      <c r="H53" s="132"/>
      <c r="I53" s="132"/>
      <c r="J53" s="256"/>
      <c r="K53" s="256"/>
    </row>
    <row r="54" spans="1:11" ht="9.75" customHeight="1">
      <c r="A54" s="701"/>
      <c r="B54" s="697" t="s">
        <v>359</v>
      </c>
      <c r="C54" s="698">
        <v>80173.559785000005</v>
      </c>
      <c r="D54" s="698"/>
      <c r="E54" s="698"/>
      <c r="F54" s="699">
        <v>80173.559785000005</v>
      </c>
      <c r="G54" s="700">
        <v>876937.27680999995</v>
      </c>
      <c r="H54" s="257"/>
      <c r="I54" s="257"/>
      <c r="J54" s="256"/>
      <c r="K54" s="256"/>
    </row>
    <row r="55" spans="1:11" ht="9.75" customHeight="1">
      <c r="A55" s="701"/>
      <c r="B55" s="697" t="s">
        <v>360</v>
      </c>
      <c r="C55" s="698">
        <v>60956.626745000001</v>
      </c>
      <c r="D55" s="698"/>
      <c r="E55" s="698"/>
      <c r="F55" s="699">
        <v>60956.626745000001</v>
      </c>
      <c r="G55" s="700">
        <v>683171.07083750004</v>
      </c>
      <c r="H55" s="257"/>
      <c r="I55" s="257"/>
      <c r="J55" s="256"/>
      <c r="K55" s="256"/>
    </row>
    <row r="56" spans="1:11" ht="9.75" customHeight="1">
      <c r="A56" s="701"/>
      <c r="B56" s="697" t="s">
        <v>361</v>
      </c>
      <c r="C56" s="698">
        <v>27782.369579999999</v>
      </c>
      <c r="D56" s="698"/>
      <c r="E56" s="698"/>
      <c r="F56" s="699">
        <v>27782.369579999999</v>
      </c>
      <c r="G56" s="700">
        <v>307629.2856075</v>
      </c>
      <c r="H56" s="257"/>
      <c r="I56" s="257"/>
      <c r="J56" s="256"/>
      <c r="K56" s="256"/>
    </row>
    <row r="57" spans="1:11" ht="9.75" customHeight="1">
      <c r="A57" s="701"/>
      <c r="B57" s="697" t="s">
        <v>362</v>
      </c>
      <c r="C57" s="698"/>
      <c r="D57" s="698">
        <v>5106.0037124999999</v>
      </c>
      <c r="E57" s="698"/>
      <c r="F57" s="699">
        <v>5106.0037124999999</v>
      </c>
      <c r="G57" s="700">
        <v>57213.302510000001</v>
      </c>
      <c r="H57" s="257"/>
      <c r="I57" s="257"/>
      <c r="J57" s="256"/>
      <c r="K57" s="256"/>
    </row>
    <row r="58" spans="1:11" ht="9.75" customHeight="1">
      <c r="A58" s="701"/>
      <c r="B58" s="697" t="s">
        <v>363</v>
      </c>
      <c r="C58" s="698"/>
      <c r="D58" s="698">
        <v>52277.154349999997</v>
      </c>
      <c r="E58" s="698"/>
      <c r="F58" s="699">
        <v>52277.154349999997</v>
      </c>
      <c r="G58" s="700">
        <v>513777.67635249993</v>
      </c>
      <c r="H58" s="257"/>
      <c r="I58" s="257"/>
      <c r="J58" s="256"/>
      <c r="K58" s="256"/>
    </row>
    <row r="59" spans="1:11" ht="9.75" customHeight="1">
      <c r="A59" s="701"/>
      <c r="B59" s="697" t="s">
        <v>364</v>
      </c>
      <c r="C59" s="698"/>
      <c r="D59" s="698">
        <v>310445.63986999996</v>
      </c>
      <c r="E59" s="698"/>
      <c r="F59" s="699">
        <v>310445.63986999996</v>
      </c>
      <c r="G59" s="700">
        <v>2226198.944875</v>
      </c>
      <c r="H59" s="257"/>
      <c r="I59" s="257"/>
      <c r="J59" s="256"/>
      <c r="K59" s="256"/>
    </row>
    <row r="60" spans="1:11" ht="9.75" customHeight="1">
      <c r="A60" s="701"/>
      <c r="B60" s="697" t="s">
        <v>791</v>
      </c>
      <c r="C60" s="698"/>
      <c r="D60" s="698"/>
      <c r="E60" s="698">
        <v>303.7856625</v>
      </c>
      <c r="F60" s="699">
        <v>303.7856625</v>
      </c>
      <c r="G60" s="700">
        <v>884.25301000000002</v>
      </c>
      <c r="J60" s="256"/>
      <c r="K60" s="256"/>
    </row>
    <row r="61" spans="1:11" ht="9.75" customHeight="1">
      <c r="A61" s="855" t="s">
        <v>365</v>
      </c>
      <c r="B61" s="856"/>
      <c r="C61" s="857">
        <v>187968.1670975</v>
      </c>
      <c r="D61" s="857">
        <v>367828.79793249996</v>
      </c>
      <c r="E61" s="857">
        <v>303.7856625</v>
      </c>
      <c r="F61" s="858">
        <v>556100.75069249992</v>
      </c>
      <c r="G61" s="859">
        <v>4832526.6634175004</v>
      </c>
      <c r="J61" s="256"/>
      <c r="K61" s="256"/>
    </row>
    <row r="62" spans="1:11" ht="9.75" customHeight="1">
      <c r="A62" s="691" t="s">
        <v>101</v>
      </c>
      <c r="B62" s="692" t="s">
        <v>366</v>
      </c>
      <c r="C62" s="693"/>
      <c r="D62" s="693">
        <v>604.93604000000005</v>
      </c>
      <c r="E62" s="693"/>
      <c r="F62" s="694">
        <v>604.93604000000005</v>
      </c>
      <c r="G62" s="695">
        <v>133006.81779499998</v>
      </c>
      <c r="J62" s="256"/>
      <c r="K62" s="256"/>
    </row>
    <row r="63" spans="1:11" ht="9.75" customHeight="1">
      <c r="A63" s="701"/>
      <c r="B63" s="697" t="s">
        <v>367</v>
      </c>
      <c r="C63" s="698"/>
      <c r="D63" s="698">
        <v>64234.913602499997</v>
      </c>
      <c r="E63" s="698"/>
      <c r="F63" s="699">
        <v>64234.913602499997</v>
      </c>
      <c r="G63" s="700">
        <v>172524.00575000001</v>
      </c>
      <c r="J63" s="256"/>
      <c r="K63" s="256"/>
    </row>
    <row r="64" spans="1:11" ht="9.75" customHeight="1">
      <c r="A64" s="707"/>
      <c r="B64" s="697" t="s">
        <v>368</v>
      </c>
      <c r="C64" s="698"/>
      <c r="D64" s="698">
        <v>0</v>
      </c>
      <c r="E64" s="698"/>
      <c r="F64" s="699">
        <v>0</v>
      </c>
      <c r="G64" s="700">
        <v>120673.74459500001</v>
      </c>
      <c r="J64" s="256"/>
      <c r="K64" s="256"/>
    </row>
    <row r="65" spans="1:11" ht="9.75" customHeight="1">
      <c r="A65" s="855" t="s">
        <v>369</v>
      </c>
      <c r="B65" s="856"/>
      <c r="C65" s="857"/>
      <c r="D65" s="857">
        <v>64839.849642499998</v>
      </c>
      <c r="E65" s="857"/>
      <c r="F65" s="858">
        <v>64839.849642499998</v>
      </c>
      <c r="G65" s="859">
        <v>426204.56813999999</v>
      </c>
      <c r="J65" s="256"/>
      <c r="K65" s="256"/>
    </row>
    <row r="66" spans="1:11" ht="9.75" customHeight="1">
      <c r="A66" s="707" t="s">
        <v>103</v>
      </c>
      <c r="B66" s="704" t="s">
        <v>789</v>
      </c>
      <c r="C66" s="705"/>
      <c r="D66" s="705"/>
      <c r="E66" s="705">
        <v>39740.338997500003</v>
      </c>
      <c r="F66" s="704">
        <v>39740.338997500003</v>
      </c>
      <c r="G66" s="706">
        <v>295708.66670999996</v>
      </c>
      <c r="J66" s="256"/>
      <c r="K66" s="256"/>
    </row>
    <row r="67" spans="1:11" ht="9.75" customHeight="1">
      <c r="A67" s="707"/>
      <c r="B67" s="704" t="s">
        <v>790</v>
      </c>
      <c r="C67" s="705"/>
      <c r="D67" s="705"/>
      <c r="E67" s="705">
        <v>50189.089787500001</v>
      </c>
      <c r="F67" s="704">
        <v>50189.089787500001</v>
      </c>
      <c r="G67" s="706">
        <v>316884.79751749994</v>
      </c>
      <c r="J67" s="256"/>
      <c r="K67" s="256"/>
    </row>
    <row r="68" spans="1:11" ht="9.75" customHeight="1">
      <c r="A68" s="855" t="s">
        <v>370</v>
      </c>
      <c r="B68" s="856"/>
      <c r="C68" s="857"/>
      <c r="D68" s="857"/>
      <c r="E68" s="857">
        <v>89929.428784999996</v>
      </c>
      <c r="F68" s="858">
        <v>89929.428784999996</v>
      </c>
      <c r="G68" s="859">
        <v>612593.46422749991</v>
      </c>
      <c r="J68" s="256"/>
      <c r="K68" s="256"/>
    </row>
    <row r="69" spans="1:11" ht="9.75" customHeight="1">
      <c r="A69" s="707" t="s">
        <v>102</v>
      </c>
      <c r="B69" s="704" t="s">
        <v>81</v>
      </c>
      <c r="C69" s="705"/>
      <c r="D69" s="705"/>
      <c r="E69" s="705">
        <v>27275.48891</v>
      </c>
      <c r="F69" s="704">
        <v>27275.48891</v>
      </c>
      <c r="G69" s="706">
        <v>205138.70068500002</v>
      </c>
      <c r="J69" s="256"/>
      <c r="K69" s="256"/>
    </row>
    <row r="70" spans="1:11" ht="9.75" customHeight="1">
      <c r="A70" s="707"/>
      <c r="B70" s="704" t="s">
        <v>83</v>
      </c>
      <c r="C70" s="705"/>
      <c r="D70" s="705"/>
      <c r="E70" s="705">
        <v>11649.505107499999</v>
      </c>
      <c r="F70" s="704">
        <v>11649.505107499999</v>
      </c>
      <c r="G70" s="706">
        <v>86997.679437499988</v>
      </c>
      <c r="J70" s="256"/>
      <c r="K70" s="256"/>
    </row>
    <row r="71" spans="1:11" ht="9.75" customHeight="1">
      <c r="A71" s="855" t="s">
        <v>371</v>
      </c>
      <c r="B71" s="856"/>
      <c r="C71" s="857"/>
      <c r="D71" s="857"/>
      <c r="E71" s="857">
        <v>38924.994017500001</v>
      </c>
      <c r="F71" s="858">
        <v>38924.994017500001</v>
      </c>
      <c r="G71" s="859">
        <v>292136.38012250001</v>
      </c>
      <c r="J71" s="256"/>
      <c r="K71" s="256"/>
    </row>
    <row r="72" spans="1:11" ht="9.75" customHeight="1">
      <c r="A72" s="702"/>
      <c r="B72" s="702"/>
      <c r="C72" s="703"/>
      <c r="D72" s="703"/>
      <c r="E72" s="703"/>
      <c r="F72" s="702"/>
      <c r="G72" s="702"/>
    </row>
    <row r="73" spans="1:11" ht="9.75" customHeight="1">
      <c r="A73" s="702"/>
      <c r="B73" s="702"/>
      <c r="C73" s="703"/>
      <c r="D73" s="703"/>
      <c r="E73" s="703"/>
      <c r="F73" s="702"/>
      <c r="G73" s="702"/>
    </row>
    <row r="74" spans="1:11" ht="9.75" customHeight="1">
      <c r="A74" s="702"/>
      <c r="B74" s="702"/>
      <c r="C74" s="703"/>
      <c r="D74" s="703"/>
      <c r="E74" s="703"/>
      <c r="F74" s="702"/>
      <c r="G74" s="702"/>
    </row>
    <row r="75" spans="1:11" ht="9.75" customHeight="1">
      <c r="A75" s="702"/>
      <c r="B75" s="702"/>
      <c r="C75" s="703"/>
      <c r="D75" s="703"/>
      <c r="E75" s="703"/>
      <c r="F75" s="702"/>
      <c r="G75" s="702"/>
    </row>
    <row r="76" spans="1:11" ht="9.75" customHeight="1">
      <c r="A76" s="702"/>
      <c r="B76" s="702"/>
      <c r="C76" s="703"/>
      <c r="D76" s="703"/>
      <c r="E76" s="703"/>
      <c r="F76" s="702"/>
      <c r="G76" s="702"/>
    </row>
    <row r="77" spans="1:11" ht="9.75" customHeight="1">
      <c r="A77" s="702"/>
      <c r="B77" s="702"/>
      <c r="C77" s="703"/>
      <c r="D77" s="703"/>
      <c r="E77" s="703"/>
      <c r="F77" s="702"/>
      <c r="G77" s="702"/>
    </row>
    <row r="78" spans="1:11" ht="9.75" customHeight="1">
      <c r="A78" s="702"/>
      <c r="B78" s="702"/>
      <c r="C78" s="703"/>
      <c r="D78" s="703"/>
      <c r="E78" s="703"/>
      <c r="F78" s="702"/>
      <c r="G78" s="702"/>
    </row>
    <row r="79" spans="1:11" ht="9.75" customHeight="1">
      <c r="A79" s="702"/>
      <c r="B79" s="702"/>
      <c r="C79" s="703"/>
      <c r="D79" s="703"/>
      <c r="E79" s="703"/>
      <c r="F79" s="702"/>
      <c r="G79" s="702"/>
    </row>
    <row r="80" spans="1:11" ht="9.75" customHeight="1">
      <c r="A80" s="702"/>
      <c r="B80" s="702"/>
      <c r="C80" s="703"/>
      <c r="D80" s="703"/>
      <c r="E80" s="703"/>
      <c r="F80" s="702"/>
      <c r="G80" s="702"/>
    </row>
    <row r="81" spans="1:7" ht="9.75" customHeight="1">
      <c r="A81" s="702"/>
      <c r="B81" s="702"/>
      <c r="C81" s="703"/>
      <c r="D81" s="703"/>
      <c r="E81" s="703"/>
      <c r="F81" s="702"/>
      <c r="G81" s="702"/>
    </row>
    <row r="82" spans="1:7" ht="9.75" customHeight="1">
      <c r="A82" s="702"/>
      <c r="B82" s="702"/>
      <c r="C82" s="703"/>
      <c r="D82" s="703"/>
      <c r="E82" s="703"/>
      <c r="F82" s="702"/>
      <c r="G82" s="702"/>
    </row>
    <row r="83" spans="1:7" ht="9.75" customHeight="1">
      <c r="A83" s="702"/>
      <c r="B83" s="702"/>
      <c r="C83" s="703"/>
      <c r="D83" s="703"/>
      <c r="E83" s="703"/>
      <c r="F83" s="702"/>
      <c r="G83" s="702"/>
    </row>
    <row r="84" spans="1:7" ht="9.75" customHeight="1">
      <c r="A84" s="702"/>
      <c r="B84" s="702"/>
      <c r="C84" s="703"/>
      <c r="D84" s="703"/>
      <c r="E84" s="703"/>
      <c r="F84" s="702"/>
      <c r="G84" s="702"/>
    </row>
    <row r="85" spans="1:7" ht="9.75" customHeight="1">
      <c r="A85" s="702"/>
      <c r="B85" s="702"/>
      <c r="C85" s="703"/>
      <c r="D85" s="703"/>
      <c r="E85" s="703"/>
      <c r="F85" s="702"/>
      <c r="G85" s="702"/>
    </row>
    <row r="86" spans="1:7" ht="9.75" customHeight="1">
      <c r="A86" s="702"/>
      <c r="B86" s="702"/>
      <c r="C86" s="703"/>
      <c r="D86" s="703"/>
      <c r="E86" s="703"/>
      <c r="F86" s="702"/>
      <c r="G86" s="702"/>
    </row>
    <row r="87" spans="1:7" ht="9.75" customHeight="1">
      <c r="A87" s="702"/>
      <c r="B87" s="702"/>
      <c r="C87" s="703"/>
      <c r="D87" s="703"/>
      <c r="E87" s="703"/>
      <c r="F87" s="702"/>
      <c r="G87" s="702"/>
    </row>
    <row r="88" spans="1:7" ht="9.75" customHeight="1">
      <c r="A88" s="702"/>
      <c r="B88" s="702"/>
      <c r="C88" s="703"/>
      <c r="D88" s="703"/>
      <c r="E88" s="703"/>
      <c r="F88" s="702"/>
      <c r="G88" s="702"/>
    </row>
    <row r="89" spans="1:7" ht="9.75" customHeight="1">
      <c r="A89" s="702"/>
      <c r="B89" s="702"/>
      <c r="C89" s="703"/>
      <c r="D89" s="703"/>
      <c r="E89" s="703"/>
      <c r="F89" s="702"/>
      <c r="G89" s="702"/>
    </row>
    <row r="90" spans="1:7" ht="9.75" customHeight="1">
      <c r="A90" s="702"/>
      <c r="B90" s="702"/>
      <c r="C90" s="703"/>
      <c r="D90" s="703"/>
      <c r="E90" s="703"/>
      <c r="F90" s="702"/>
      <c r="G90" s="702"/>
    </row>
    <row r="91" spans="1:7" ht="9.75" customHeight="1">
      <c r="A91" s="702"/>
      <c r="B91" s="702"/>
      <c r="C91" s="703"/>
      <c r="D91" s="703"/>
      <c r="E91" s="703"/>
      <c r="F91" s="702"/>
      <c r="G91" s="702"/>
    </row>
    <row r="92" spans="1:7" ht="9.75" customHeight="1">
      <c r="A92" s="702"/>
      <c r="B92" s="702"/>
      <c r="C92" s="703"/>
      <c r="D92" s="703"/>
      <c r="E92" s="703"/>
      <c r="F92" s="702"/>
      <c r="G92" s="702"/>
    </row>
    <row r="93" spans="1:7" ht="9.75" customHeight="1">
      <c r="A93" s="702"/>
      <c r="B93" s="702"/>
      <c r="C93" s="703"/>
      <c r="D93" s="703"/>
      <c r="E93" s="703"/>
      <c r="F93" s="702"/>
      <c r="G93" s="702"/>
    </row>
    <row r="94" spans="1:7" ht="9.75" customHeight="1">
      <c r="A94" s="702"/>
      <c r="B94" s="702"/>
      <c r="C94" s="703"/>
      <c r="D94" s="703"/>
      <c r="E94" s="703"/>
      <c r="F94" s="702"/>
      <c r="G94" s="702"/>
    </row>
    <row r="95" spans="1:7" ht="9.75" customHeight="1">
      <c r="A95" s="702"/>
      <c r="B95" s="702"/>
      <c r="C95" s="703"/>
      <c r="D95" s="703"/>
      <c r="E95" s="703"/>
      <c r="F95" s="702"/>
      <c r="G95" s="702"/>
    </row>
    <row r="96" spans="1:7" ht="9.75" customHeight="1">
      <c r="A96" s="702"/>
      <c r="B96" s="702"/>
      <c r="C96" s="703"/>
      <c r="D96" s="703"/>
      <c r="E96" s="703"/>
      <c r="F96" s="702"/>
      <c r="G96" s="702"/>
    </row>
    <row r="97" spans="1:7" ht="9.75" customHeight="1">
      <c r="A97" s="702"/>
      <c r="B97" s="702"/>
      <c r="C97" s="703"/>
      <c r="D97" s="703"/>
      <c r="E97" s="703"/>
      <c r="F97" s="702"/>
      <c r="G97" s="702"/>
    </row>
    <row r="98" spans="1:7" ht="9.75" customHeight="1">
      <c r="A98" s="702"/>
      <c r="B98" s="702"/>
      <c r="C98" s="703"/>
      <c r="D98" s="703"/>
      <c r="E98" s="703"/>
      <c r="F98" s="702"/>
      <c r="G98" s="702"/>
    </row>
    <row r="99" spans="1:7" ht="9.75" customHeight="1">
      <c r="A99" s="702"/>
      <c r="B99" s="702"/>
      <c r="C99" s="703"/>
      <c r="D99" s="703"/>
      <c r="E99" s="703"/>
      <c r="F99" s="702"/>
      <c r="G99" s="702"/>
    </row>
    <row r="100" spans="1:7" ht="9.75" customHeight="1">
      <c r="A100" s="702"/>
      <c r="B100" s="702"/>
      <c r="C100" s="703"/>
      <c r="D100" s="703"/>
      <c r="E100" s="703"/>
      <c r="F100" s="702"/>
      <c r="G100" s="702"/>
    </row>
    <row r="101" spans="1:7" ht="9.75" customHeight="1">
      <c r="A101" s="702"/>
      <c r="B101" s="702"/>
      <c r="C101" s="703"/>
      <c r="D101" s="703"/>
      <c r="E101" s="703"/>
      <c r="F101" s="702"/>
      <c r="G101" s="702"/>
    </row>
    <row r="102" spans="1:7" ht="9.75" customHeight="1">
      <c r="A102" s="702"/>
      <c r="B102" s="702"/>
      <c r="C102" s="703"/>
      <c r="D102" s="703"/>
      <c r="E102" s="703"/>
      <c r="F102" s="702"/>
      <c r="G102" s="702"/>
    </row>
    <row r="103" spans="1:7" ht="9.75" customHeight="1">
      <c r="A103" s="702"/>
      <c r="B103" s="702"/>
      <c r="C103" s="703"/>
      <c r="D103" s="703"/>
      <c r="E103" s="703"/>
      <c r="F103" s="702"/>
      <c r="G103" s="702"/>
    </row>
    <row r="104" spans="1:7" ht="9.75" customHeight="1">
      <c r="A104" s="702"/>
      <c r="B104" s="702"/>
      <c r="C104" s="703"/>
      <c r="D104" s="703"/>
      <c r="E104" s="703"/>
      <c r="F104" s="702"/>
      <c r="G104" s="702"/>
    </row>
    <row r="105" spans="1:7" ht="9.75" customHeight="1">
      <c r="A105" s="702"/>
      <c r="B105" s="702"/>
      <c r="C105" s="703"/>
      <c r="D105" s="703"/>
      <c r="E105" s="703"/>
      <c r="F105" s="702"/>
      <c r="G105" s="702"/>
    </row>
    <row r="106" spans="1:7" ht="9.75" customHeight="1">
      <c r="A106" s="702"/>
      <c r="B106" s="702"/>
      <c r="C106" s="703"/>
      <c r="D106" s="703"/>
      <c r="E106" s="703"/>
      <c r="F106" s="702"/>
      <c r="G106" s="702"/>
    </row>
    <row r="107" spans="1:7" ht="9.75" customHeight="1">
      <c r="A107" s="702"/>
      <c r="B107" s="702"/>
      <c r="C107" s="703"/>
      <c r="D107" s="703"/>
      <c r="E107" s="703"/>
      <c r="F107" s="702"/>
      <c r="G107" s="702"/>
    </row>
    <row r="108" spans="1:7" ht="9.75" customHeight="1">
      <c r="A108" s="702"/>
      <c r="B108" s="702"/>
      <c r="C108" s="703"/>
      <c r="D108" s="703"/>
      <c r="E108" s="703"/>
      <c r="F108" s="702"/>
      <c r="G108" s="702"/>
    </row>
    <row r="109" spans="1:7" ht="9.75" customHeight="1">
      <c r="A109" s="702"/>
      <c r="B109" s="702"/>
      <c r="C109" s="703"/>
      <c r="D109" s="703"/>
      <c r="E109" s="703"/>
      <c r="F109" s="702"/>
      <c r="G109" s="702"/>
    </row>
    <row r="110" spans="1:7" ht="9.75" customHeight="1">
      <c r="A110" s="702"/>
      <c r="B110" s="702"/>
      <c r="C110" s="703"/>
      <c r="D110" s="703"/>
      <c r="E110" s="703"/>
      <c r="F110" s="702"/>
      <c r="G110" s="702"/>
    </row>
    <row r="111" spans="1:7" ht="9.75" customHeight="1">
      <c r="A111" s="702"/>
      <c r="B111" s="702"/>
      <c r="C111" s="703"/>
      <c r="D111" s="703"/>
      <c r="E111" s="703"/>
      <c r="F111" s="702"/>
      <c r="G111" s="702"/>
    </row>
    <row r="112" spans="1:7" ht="9.75" customHeight="1">
      <c r="A112" s="702"/>
      <c r="B112" s="702"/>
      <c r="C112" s="703"/>
      <c r="D112" s="703"/>
      <c r="E112" s="703"/>
      <c r="F112" s="702"/>
      <c r="G112" s="702"/>
    </row>
    <row r="113" spans="1:7" ht="9.75" customHeight="1">
      <c r="A113" s="702"/>
      <c r="B113" s="702"/>
      <c r="C113" s="703"/>
      <c r="D113" s="703"/>
      <c r="E113" s="703"/>
      <c r="F113" s="702"/>
      <c r="G113" s="702"/>
    </row>
    <row r="114" spans="1:7" ht="9.75" customHeight="1">
      <c r="A114" s="702"/>
      <c r="B114" s="702"/>
      <c r="C114" s="703"/>
      <c r="D114" s="703"/>
      <c r="E114" s="703"/>
      <c r="F114" s="702"/>
      <c r="G114" s="702"/>
    </row>
    <row r="115" spans="1:7" ht="9.75" customHeight="1">
      <c r="A115" s="702"/>
      <c r="B115" s="702"/>
      <c r="C115" s="703"/>
      <c r="D115" s="703"/>
      <c r="E115" s="703"/>
      <c r="F115" s="702"/>
      <c r="G115" s="702"/>
    </row>
    <row r="116" spans="1:7" ht="9.75" customHeight="1">
      <c r="A116" s="702"/>
      <c r="B116" s="702"/>
      <c r="C116" s="703"/>
      <c r="D116" s="703"/>
      <c r="E116" s="703"/>
      <c r="F116" s="702"/>
      <c r="G116" s="702"/>
    </row>
    <row r="117" spans="1:7" ht="9.75" customHeight="1">
      <c r="A117" s="702"/>
      <c r="B117" s="702"/>
      <c r="C117" s="703"/>
      <c r="D117" s="703"/>
      <c r="E117" s="703"/>
      <c r="F117" s="702"/>
      <c r="G117" s="702"/>
    </row>
    <row r="118" spans="1:7" ht="9.75" customHeight="1">
      <c r="A118" s="702"/>
      <c r="B118" s="702"/>
      <c r="C118" s="703"/>
      <c r="D118" s="703"/>
      <c r="E118" s="703"/>
      <c r="F118" s="702"/>
      <c r="G118" s="702"/>
    </row>
    <row r="119" spans="1:7" ht="9.75" customHeight="1">
      <c r="A119" s="702"/>
      <c r="B119" s="702"/>
      <c r="C119" s="703"/>
      <c r="D119" s="703"/>
      <c r="E119" s="703"/>
      <c r="F119" s="702"/>
      <c r="G119" s="702"/>
    </row>
    <row r="120" spans="1:7" ht="9.75" customHeight="1">
      <c r="A120" s="702"/>
      <c r="B120" s="702"/>
      <c r="C120" s="703"/>
      <c r="D120" s="703"/>
      <c r="E120" s="703"/>
      <c r="F120" s="702"/>
      <c r="G120" s="702"/>
    </row>
    <row r="121" spans="1:7" ht="9.75" customHeight="1">
      <c r="A121" s="702"/>
      <c r="B121" s="702"/>
      <c r="C121" s="703"/>
      <c r="D121" s="703"/>
      <c r="E121" s="703"/>
      <c r="F121" s="702"/>
      <c r="G121" s="702"/>
    </row>
    <row r="122" spans="1:7" ht="9.75" customHeight="1">
      <c r="A122" s="702"/>
      <c r="B122" s="702"/>
      <c r="C122" s="703"/>
      <c r="D122" s="703"/>
      <c r="E122" s="703"/>
      <c r="F122" s="702"/>
      <c r="G122" s="702"/>
    </row>
    <row r="123" spans="1:7" ht="9.75" customHeight="1">
      <c r="A123" s="702"/>
      <c r="B123" s="702"/>
      <c r="C123" s="703"/>
      <c r="D123" s="703"/>
      <c r="E123" s="703"/>
      <c r="F123" s="702"/>
      <c r="G123" s="702"/>
    </row>
    <row r="124" spans="1:7" ht="9.75" customHeight="1">
      <c r="A124" s="702"/>
      <c r="B124" s="702"/>
      <c r="C124" s="703"/>
      <c r="D124" s="703"/>
      <c r="E124" s="703"/>
      <c r="F124" s="702"/>
      <c r="G124" s="702"/>
    </row>
    <row r="125" spans="1:7" ht="9.75" customHeight="1">
      <c r="A125" s="702"/>
      <c r="B125" s="702"/>
      <c r="C125" s="703"/>
      <c r="D125" s="703"/>
      <c r="E125" s="703"/>
      <c r="F125" s="702"/>
      <c r="G125" s="702"/>
    </row>
    <row r="126" spans="1:7" ht="9.75" customHeight="1">
      <c r="A126" s="702"/>
      <c r="B126" s="702"/>
      <c r="C126" s="703"/>
      <c r="D126" s="703"/>
      <c r="E126" s="703"/>
      <c r="F126" s="702"/>
      <c r="G126" s="702"/>
    </row>
    <row r="127" spans="1:7" ht="9.75" customHeight="1">
      <c r="A127" s="702"/>
      <c r="B127" s="702"/>
      <c r="C127" s="703"/>
      <c r="D127" s="703"/>
      <c r="E127" s="703"/>
      <c r="F127" s="702"/>
      <c r="G127" s="702"/>
    </row>
    <row r="128" spans="1:7" ht="9.75" customHeight="1">
      <c r="A128" s="702"/>
      <c r="B128" s="702"/>
      <c r="C128" s="703"/>
      <c r="D128" s="703"/>
      <c r="E128" s="703"/>
      <c r="F128" s="702"/>
      <c r="G128" s="702"/>
    </row>
    <row r="129" spans="1:7" ht="9.75" customHeight="1">
      <c r="A129" s="702"/>
      <c r="B129" s="702"/>
      <c r="C129" s="703"/>
      <c r="D129" s="703"/>
      <c r="E129" s="703"/>
      <c r="F129" s="702"/>
      <c r="G129" s="702"/>
    </row>
    <row r="130" spans="1:7" ht="9.75" customHeight="1">
      <c r="A130" s="702"/>
      <c r="B130" s="702"/>
      <c r="C130" s="703"/>
      <c r="D130" s="703"/>
      <c r="E130" s="703"/>
      <c r="F130" s="702"/>
      <c r="G130" s="702"/>
    </row>
    <row r="131" spans="1:7" ht="9.75" customHeight="1">
      <c r="A131" s="702"/>
      <c r="B131" s="702"/>
      <c r="C131" s="703"/>
      <c r="D131" s="703"/>
      <c r="E131" s="703"/>
      <c r="F131" s="702"/>
      <c r="G131" s="702"/>
    </row>
    <row r="132" spans="1:7" ht="9.75" customHeight="1">
      <c r="A132" s="702"/>
      <c r="B132" s="702"/>
      <c r="C132" s="703"/>
      <c r="D132" s="703"/>
      <c r="E132" s="703"/>
      <c r="F132" s="702"/>
      <c r="G132" s="702"/>
    </row>
    <row r="133" spans="1:7" ht="9.75" customHeight="1">
      <c r="A133" s="702"/>
      <c r="B133" s="702"/>
      <c r="C133" s="703"/>
      <c r="D133" s="703"/>
      <c r="E133" s="703"/>
      <c r="F133" s="702"/>
      <c r="G133" s="702"/>
    </row>
    <row r="134" spans="1:7" ht="9.75" customHeight="1">
      <c r="A134" s="702"/>
      <c r="B134" s="702"/>
      <c r="C134" s="703"/>
      <c r="D134" s="703"/>
      <c r="E134" s="703"/>
      <c r="F134" s="702"/>
      <c r="G134" s="702"/>
    </row>
    <row r="135" spans="1:7" ht="9.75" customHeight="1">
      <c r="A135" s="702"/>
      <c r="B135" s="702"/>
      <c r="C135" s="703"/>
      <c r="D135" s="703"/>
      <c r="E135" s="703"/>
      <c r="F135" s="702"/>
      <c r="G135" s="702"/>
    </row>
    <row r="136" spans="1:7" ht="9.75" customHeight="1">
      <c r="A136" s="702"/>
      <c r="B136" s="702"/>
      <c r="C136" s="703"/>
      <c r="D136" s="703"/>
      <c r="E136" s="703"/>
      <c r="F136" s="702"/>
      <c r="G136" s="702"/>
    </row>
    <row r="137" spans="1:7" ht="9.75" customHeight="1">
      <c r="A137" s="702"/>
      <c r="B137" s="702"/>
      <c r="C137" s="703"/>
      <c r="D137" s="703"/>
      <c r="E137" s="703"/>
      <c r="F137" s="702"/>
      <c r="G137" s="702"/>
    </row>
    <row r="138" spans="1:7" ht="9.75" customHeight="1">
      <c r="A138" s="702"/>
      <c r="B138" s="702"/>
      <c r="C138" s="703"/>
      <c r="D138" s="703"/>
      <c r="E138" s="703"/>
      <c r="F138" s="702"/>
      <c r="G138" s="702"/>
    </row>
    <row r="139" spans="1:7" ht="9.75" customHeight="1">
      <c r="A139" s="702"/>
      <c r="B139" s="702"/>
      <c r="C139" s="703"/>
      <c r="D139" s="703"/>
      <c r="E139" s="703"/>
      <c r="F139" s="702"/>
      <c r="G139" s="702"/>
    </row>
    <row r="140" spans="1:7" ht="9.75" customHeight="1">
      <c r="A140" s="702"/>
      <c r="B140" s="702"/>
      <c r="C140" s="703"/>
      <c r="D140" s="703"/>
      <c r="E140" s="703"/>
      <c r="F140" s="702"/>
      <c r="G140" s="702"/>
    </row>
    <row r="141" spans="1:7" ht="9.75" customHeight="1">
      <c r="A141" s="702"/>
      <c r="B141" s="702"/>
      <c r="C141" s="703"/>
      <c r="D141" s="703"/>
      <c r="E141" s="703"/>
      <c r="F141" s="702"/>
      <c r="G141" s="702"/>
    </row>
    <row r="142" spans="1:7" ht="9.75" customHeight="1">
      <c r="A142" s="702"/>
      <c r="B142" s="702"/>
      <c r="C142" s="703"/>
      <c r="D142" s="703"/>
      <c r="E142" s="703"/>
      <c r="F142" s="702"/>
      <c r="G142" s="702"/>
    </row>
    <row r="143" spans="1:7" ht="9.75" customHeight="1">
      <c r="A143" s="702"/>
      <c r="B143" s="702"/>
      <c r="C143" s="703"/>
      <c r="D143" s="703"/>
      <c r="E143" s="703"/>
      <c r="F143" s="702"/>
      <c r="G143" s="702"/>
    </row>
    <row r="144" spans="1:7" ht="9.75" customHeight="1">
      <c r="A144" s="702"/>
      <c r="B144" s="702"/>
      <c r="C144" s="703"/>
      <c r="D144" s="703"/>
      <c r="E144" s="703"/>
      <c r="F144" s="702"/>
      <c r="G144" s="702"/>
    </row>
    <row r="145" spans="1:7" ht="9.75" customHeight="1">
      <c r="A145" s="702"/>
      <c r="B145" s="702"/>
      <c r="C145" s="703"/>
      <c r="D145" s="703"/>
      <c r="E145" s="703"/>
      <c r="F145" s="702"/>
      <c r="G145" s="702"/>
    </row>
    <row r="146" spans="1:7" ht="9.75" customHeight="1">
      <c r="A146" s="702"/>
      <c r="B146" s="702"/>
      <c r="C146" s="703"/>
      <c r="D146" s="703"/>
      <c r="E146" s="703"/>
      <c r="F146" s="702"/>
      <c r="G146" s="702"/>
    </row>
    <row r="147" spans="1:7" ht="9.75" customHeight="1">
      <c r="A147" s="702"/>
      <c r="B147" s="702"/>
      <c r="C147" s="703"/>
      <c r="D147" s="703"/>
      <c r="E147" s="703"/>
      <c r="F147" s="702"/>
      <c r="G147" s="702"/>
    </row>
    <row r="148" spans="1:7" ht="9.75" customHeight="1">
      <c r="A148" s="702"/>
      <c r="B148" s="702"/>
      <c r="C148" s="703"/>
      <c r="D148" s="703"/>
      <c r="E148" s="703"/>
      <c r="F148" s="702"/>
      <c r="G148" s="702"/>
    </row>
    <row r="149" spans="1:7" ht="9.75" customHeight="1">
      <c r="A149" s="702"/>
      <c r="B149" s="702"/>
      <c r="C149" s="703"/>
      <c r="D149" s="703"/>
      <c r="E149" s="703"/>
      <c r="F149" s="702"/>
      <c r="G149" s="702"/>
    </row>
    <row r="150" spans="1:7" ht="9.75" customHeight="1">
      <c r="A150" s="702"/>
      <c r="B150" s="702"/>
      <c r="C150" s="703"/>
      <c r="D150" s="703"/>
      <c r="E150" s="703"/>
      <c r="F150" s="702"/>
      <c r="G150" s="702"/>
    </row>
    <row r="151" spans="1:7" ht="9.75" customHeight="1">
      <c r="A151" s="702"/>
      <c r="B151" s="702"/>
      <c r="C151" s="703"/>
      <c r="D151" s="703"/>
      <c r="E151" s="703"/>
      <c r="F151" s="702"/>
      <c r="G151" s="702"/>
    </row>
    <row r="152" spans="1:7" ht="9.75" customHeight="1">
      <c r="A152" s="702"/>
      <c r="B152" s="702"/>
      <c r="C152" s="703"/>
      <c r="D152" s="703"/>
      <c r="E152" s="703"/>
      <c r="F152" s="702"/>
      <c r="G152" s="702"/>
    </row>
    <row r="153" spans="1:7" ht="9.75" customHeight="1">
      <c r="A153" s="702"/>
      <c r="B153" s="702"/>
      <c r="C153" s="703"/>
      <c r="D153" s="703"/>
      <c r="E153" s="703"/>
      <c r="F153" s="702"/>
      <c r="G153" s="702"/>
    </row>
    <row r="154" spans="1:7" ht="9.75" customHeight="1">
      <c r="A154" s="702"/>
      <c r="B154" s="702"/>
      <c r="C154" s="703"/>
      <c r="D154" s="703"/>
      <c r="E154" s="703"/>
      <c r="F154" s="702"/>
      <c r="G154" s="702"/>
    </row>
    <row r="155" spans="1:7" ht="9.75" customHeight="1">
      <c r="A155" s="702"/>
      <c r="B155" s="702"/>
      <c r="C155" s="703"/>
      <c r="D155" s="703"/>
      <c r="E155" s="703"/>
      <c r="F155" s="702"/>
      <c r="G155" s="702"/>
    </row>
    <row r="156" spans="1:7" ht="9.75" customHeight="1">
      <c r="A156" s="702"/>
      <c r="B156" s="702"/>
      <c r="C156" s="703"/>
      <c r="D156" s="703"/>
      <c r="E156" s="703"/>
      <c r="F156" s="702"/>
      <c r="G156" s="702"/>
    </row>
    <row r="157" spans="1:7" ht="9.75" customHeight="1">
      <c r="A157" s="702"/>
      <c r="B157" s="702"/>
      <c r="C157" s="703"/>
      <c r="D157" s="703"/>
      <c r="E157" s="703"/>
      <c r="F157" s="702"/>
      <c r="G157" s="702"/>
    </row>
    <row r="158" spans="1:7" ht="9.75" customHeight="1">
      <c r="A158" s="702"/>
      <c r="B158" s="702"/>
      <c r="C158" s="703"/>
      <c r="D158" s="703"/>
      <c r="E158" s="703"/>
      <c r="F158" s="702"/>
      <c r="G158" s="702"/>
    </row>
    <row r="159" spans="1:7" ht="9.75" customHeight="1">
      <c r="A159" s="702"/>
      <c r="B159" s="702"/>
      <c r="C159" s="703"/>
      <c r="D159" s="703"/>
      <c r="E159" s="703"/>
      <c r="F159" s="702"/>
      <c r="G159" s="702"/>
    </row>
    <row r="160" spans="1:7" ht="9.75" customHeight="1">
      <c r="A160" s="702"/>
      <c r="B160" s="702"/>
      <c r="C160" s="703"/>
      <c r="D160" s="703"/>
      <c r="E160" s="703"/>
      <c r="F160" s="702"/>
      <c r="G160" s="702"/>
    </row>
    <row r="161" spans="1:7" ht="9.75" customHeight="1">
      <c r="A161" s="702"/>
      <c r="B161" s="702"/>
      <c r="C161" s="703"/>
      <c r="D161" s="703"/>
      <c r="E161" s="703"/>
      <c r="F161" s="702"/>
      <c r="G161" s="702"/>
    </row>
    <row r="162" spans="1:7" ht="9.75" customHeight="1">
      <c r="A162" s="702"/>
      <c r="B162" s="702"/>
      <c r="C162" s="702"/>
      <c r="D162" s="702"/>
      <c r="E162" s="702"/>
      <c r="F162" s="702"/>
      <c r="G162" s="702"/>
    </row>
    <row r="163" spans="1:7" ht="9.75" customHeight="1">
      <c r="A163" s="702"/>
      <c r="B163" s="702"/>
      <c r="C163" s="702"/>
      <c r="D163" s="702"/>
      <c r="E163" s="702"/>
      <c r="F163" s="702"/>
      <c r="G163" s="702"/>
    </row>
    <row r="164" spans="1:7" ht="9.75" customHeight="1">
      <c r="A164" s="702"/>
      <c r="B164" s="702"/>
      <c r="C164" s="702"/>
      <c r="D164" s="702"/>
      <c r="E164" s="702"/>
      <c r="F164" s="702"/>
      <c r="G164" s="702"/>
    </row>
    <row r="165" spans="1:7" ht="9.75" customHeight="1">
      <c r="A165" s="702"/>
      <c r="B165" s="702"/>
      <c r="C165" s="702"/>
      <c r="D165" s="702"/>
      <c r="E165" s="702"/>
      <c r="F165" s="702"/>
      <c r="G165" s="702"/>
    </row>
    <row r="166" spans="1:7" ht="9.75" customHeight="1">
      <c r="A166" s="702"/>
      <c r="B166" s="702"/>
      <c r="C166" s="702"/>
      <c r="D166" s="702"/>
      <c r="E166" s="702"/>
      <c r="F166" s="702"/>
      <c r="G166" s="702"/>
    </row>
    <row r="167" spans="1:7" ht="9.75" customHeight="1">
      <c r="A167" s="702"/>
      <c r="B167" s="702"/>
      <c r="C167" s="702"/>
      <c r="D167" s="702"/>
      <c r="E167" s="702"/>
      <c r="F167" s="702"/>
      <c r="G167" s="702"/>
    </row>
    <row r="168" spans="1:7" ht="9.75" customHeight="1">
      <c r="A168" s="702"/>
      <c r="B168" s="702"/>
      <c r="C168" s="702"/>
      <c r="D168" s="702"/>
      <c r="E168" s="702"/>
      <c r="F168" s="702"/>
      <c r="G168" s="702"/>
    </row>
    <row r="169" spans="1:7" ht="9.75" customHeight="1">
      <c r="A169" s="702"/>
      <c r="B169" s="702"/>
      <c r="C169" s="702"/>
      <c r="D169" s="702"/>
      <c r="E169" s="702"/>
      <c r="F169" s="702"/>
      <c r="G169" s="702"/>
    </row>
    <row r="170" spans="1:7" ht="9.75" customHeight="1">
      <c r="A170" s="702"/>
      <c r="B170" s="702"/>
      <c r="C170" s="702"/>
      <c r="D170" s="702"/>
      <c r="E170" s="702"/>
      <c r="F170" s="702"/>
      <c r="G170" s="702"/>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Setiembre 2018
INFSGI-MES-09-2018
11/10/2018
Versión: 01</oddHeader>
    <oddFooter>&amp;L&amp;7COES, 2018&amp;C18&amp;R&amp;7Dirección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103"/>
  <sheetViews>
    <sheetView showGridLines="0" view="pageBreakPreview" zoomScale="145" zoomScaleNormal="100" zoomScaleSheetLayoutView="145" zoomScalePageLayoutView="160" workbookViewId="0">
      <selection activeCell="M27" sqref="M27"/>
    </sheetView>
  </sheetViews>
  <sheetFormatPr defaultRowHeight="11.25"/>
  <cols>
    <col min="1" max="1" width="22.83203125" style="50" customWidth="1"/>
    <col min="2" max="2" width="21.3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8" width="13" style="50" bestFit="1" customWidth="1"/>
    <col min="9" max="9" width="9.33203125" style="50"/>
    <col min="10" max="11" width="9.33203125" style="50" customWidth="1"/>
    <col min="12" max="13" width="9.33203125" style="50"/>
    <col min="14" max="16384" width="9.33203125" style="3"/>
  </cols>
  <sheetData>
    <row r="1" spans="1:12" s="50" customFormat="1" ht="17.25" customHeight="1">
      <c r="A1" s="987" t="s">
        <v>284</v>
      </c>
      <c r="B1" s="981" t="s">
        <v>57</v>
      </c>
      <c r="C1" s="983" t="str">
        <f>+'18. ANEXOI-1'!C2:F2</f>
        <v>ENERGÍA PRODUCIDA SETIEMBRE 2018</v>
      </c>
      <c r="D1" s="983"/>
      <c r="E1" s="983"/>
      <c r="F1" s="983"/>
      <c r="G1" s="816" t="s">
        <v>314</v>
      </c>
      <c r="H1" s="264"/>
      <c r="I1" s="264"/>
      <c r="J1" s="264"/>
      <c r="K1" s="264"/>
    </row>
    <row r="2" spans="1:12" s="50" customFormat="1" ht="11.25" customHeight="1">
      <c r="A2" s="987"/>
      <c r="B2" s="981"/>
      <c r="C2" s="984" t="s">
        <v>315</v>
      </c>
      <c r="D2" s="984"/>
      <c r="E2" s="984"/>
      <c r="F2" s="985" t="str">
        <f>"TOTAL 
"&amp;UPPER('1. Resumen'!Q4)</f>
        <v>TOTAL 
SETIEMBRE</v>
      </c>
      <c r="G2" s="817" t="s">
        <v>316</v>
      </c>
      <c r="H2" s="253"/>
      <c r="I2" s="253"/>
      <c r="J2" s="253"/>
      <c r="K2" s="253"/>
      <c r="L2" s="254"/>
    </row>
    <row r="3" spans="1:12" s="50" customFormat="1" ht="11.25" customHeight="1">
      <c r="A3" s="987"/>
      <c r="B3" s="981"/>
      <c r="C3" s="818" t="s">
        <v>238</v>
      </c>
      <c r="D3" s="818" t="s">
        <v>239</v>
      </c>
      <c r="E3" s="818" t="s">
        <v>317</v>
      </c>
      <c r="F3" s="986"/>
      <c r="G3" s="817">
        <v>2018</v>
      </c>
      <c r="H3" s="256"/>
      <c r="I3" s="255"/>
      <c r="J3" s="255"/>
      <c r="K3" s="255"/>
      <c r="L3" s="254"/>
    </row>
    <row r="4" spans="1:12" s="50" customFormat="1" ht="11.25" customHeight="1">
      <c r="A4" s="988"/>
      <c r="B4" s="989"/>
      <c r="C4" s="819" t="s">
        <v>318</v>
      </c>
      <c r="D4" s="819" t="s">
        <v>318</v>
      </c>
      <c r="E4" s="819" t="s">
        <v>318</v>
      </c>
      <c r="F4" s="819" t="s">
        <v>318</v>
      </c>
      <c r="G4" s="820" t="s">
        <v>222</v>
      </c>
      <c r="H4" s="256"/>
      <c r="I4" s="256"/>
      <c r="J4" s="256"/>
      <c r="K4" s="256"/>
      <c r="L4" s="12"/>
    </row>
    <row r="5" spans="1:12" ht="10.5" customHeight="1">
      <c r="A5" s="701" t="s">
        <v>92</v>
      </c>
      <c r="B5" s="697" t="s">
        <v>372</v>
      </c>
      <c r="C5" s="699">
        <v>17591.790402499999</v>
      </c>
      <c r="D5" s="699"/>
      <c r="E5" s="699"/>
      <c r="F5" s="699">
        <v>17591.790402499999</v>
      </c>
      <c r="G5" s="700">
        <v>380834.27853750001</v>
      </c>
    </row>
    <row r="6" spans="1:12" ht="10.5" customHeight="1">
      <c r="A6" s="701"/>
      <c r="B6" s="697" t="s">
        <v>373</v>
      </c>
      <c r="C6" s="699">
        <v>35779.991735000003</v>
      </c>
      <c r="D6" s="699"/>
      <c r="E6" s="699"/>
      <c r="F6" s="699">
        <v>35779.991735000003</v>
      </c>
      <c r="G6" s="700">
        <v>651018.20388250006</v>
      </c>
    </row>
    <row r="7" spans="1:12" ht="10.5" customHeight="1">
      <c r="A7" s="701"/>
      <c r="B7" s="697" t="s">
        <v>374</v>
      </c>
      <c r="C7" s="699"/>
      <c r="D7" s="699">
        <v>528771.158085</v>
      </c>
      <c r="E7" s="699"/>
      <c r="F7" s="699">
        <v>528771.158085</v>
      </c>
      <c r="G7" s="700">
        <v>2195735.7005749997</v>
      </c>
    </row>
    <row r="8" spans="1:12" ht="10.5" customHeight="1">
      <c r="A8" s="701"/>
      <c r="B8" s="697" t="s">
        <v>375</v>
      </c>
      <c r="C8" s="699"/>
      <c r="D8" s="699">
        <v>75221.517227500008</v>
      </c>
      <c r="E8" s="699"/>
      <c r="F8" s="699">
        <v>75221.517227500008</v>
      </c>
      <c r="G8" s="700">
        <v>222081.47048749999</v>
      </c>
    </row>
    <row r="9" spans="1:12" ht="10.5" customHeight="1">
      <c r="A9" s="701"/>
      <c r="B9" s="697" t="s">
        <v>376</v>
      </c>
      <c r="C9" s="699"/>
      <c r="D9" s="699">
        <v>0</v>
      </c>
      <c r="E9" s="699"/>
      <c r="F9" s="699">
        <v>0</v>
      </c>
      <c r="G9" s="700">
        <v>43120.710160000002</v>
      </c>
    </row>
    <row r="10" spans="1:12" ht="10.5" customHeight="1">
      <c r="A10" s="701"/>
      <c r="B10" s="697" t="s">
        <v>377</v>
      </c>
      <c r="C10" s="699"/>
      <c r="D10" s="699">
        <v>5335.8459050000001</v>
      </c>
      <c r="E10" s="699"/>
      <c r="F10" s="699">
        <v>5335.8459050000001</v>
      </c>
      <c r="G10" s="700">
        <v>17547.001597499999</v>
      </c>
    </row>
    <row r="11" spans="1:12" ht="10.5" customHeight="1">
      <c r="A11" s="701"/>
      <c r="B11" s="697" t="s">
        <v>378</v>
      </c>
      <c r="C11" s="699"/>
      <c r="D11" s="699">
        <v>352.6609325</v>
      </c>
      <c r="E11" s="699"/>
      <c r="F11" s="699">
        <v>352.6609325</v>
      </c>
      <c r="G11" s="700">
        <v>2866.1409400000002</v>
      </c>
    </row>
    <row r="12" spans="1:12" ht="10.5" customHeight="1">
      <c r="A12" s="707"/>
      <c r="B12" s="697" t="s">
        <v>618</v>
      </c>
      <c r="C12" s="699"/>
      <c r="D12" s="699"/>
      <c r="E12" s="699">
        <v>10036.928847499999</v>
      </c>
      <c r="F12" s="699">
        <v>10036.928847499999</v>
      </c>
      <c r="G12" s="700">
        <v>53983.265185000004</v>
      </c>
    </row>
    <row r="13" spans="1:12" ht="10.5" customHeight="1">
      <c r="A13" s="855" t="s">
        <v>379</v>
      </c>
      <c r="B13" s="856"/>
      <c r="C13" s="858">
        <v>53371.782137500006</v>
      </c>
      <c r="D13" s="858">
        <v>609681.18215000001</v>
      </c>
      <c r="E13" s="858">
        <v>10036.928847499999</v>
      </c>
      <c r="F13" s="858">
        <v>673089.89313500002</v>
      </c>
      <c r="G13" s="859">
        <v>3567186.7713649995</v>
      </c>
    </row>
    <row r="14" spans="1:12" ht="10.5" customHeight="1">
      <c r="A14" s="701" t="s">
        <v>271</v>
      </c>
      <c r="B14" s="697" t="s">
        <v>380</v>
      </c>
      <c r="C14" s="699"/>
      <c r="D14" s="699">
        <v>397688.01867999998</v>
      </c>
      <c r="E14" s="699"/>
      <c r="F14" s="699">
        <v>397688.01867999998</v>
      </c>
      <c r="G14" s="700">
        <v>2727489.5733599998</v>
      </c>
    </row>
    <row r="15" spans="1:12" ht="10.5" customHeight="1">
      <c r="A15" s="855" t="s">
        <v>381</v>
      </c>
      <c r="B15" s="856"/>
      <c r="C15" s="858"/>
      <c r="D15" s="858">
        <v>397688.01867999998</v>
      </c>
      <c r="E15" s="858"/>
      <c r="F15" s="858">
        <v>397688.01867999998</v>
      </c>
      <c r="G15" s="859">
        <v>2727489.5733599998</v>
      </c>
    </row>
    <row r="16" spans="1:12" ht="10.5" customHeight="1">
      <c r="A16" s="701" t="s">
        <v>113</v>
      </c>
      <c r="B16" s="697" t="s">
        <v>69</v>
      </c>
      <c r="C16" s="699"/>
      <c r="D16" s="699"/>
      <c r="E16" s="699">
        <v>4599.4065350000001</v>
      </c>
      <c r="F16" s="699">
        <v>4599.4065350000001</v>
      </c>
      <c r="G16" s="700">
        <v>40239.6656325</v>
      </c>
    </row>
    <row r="17" spans="1:7" ht="10.5" customHeight="1">
      <c r="A17" s="701"/>
      <c r="B17" s="697" t="s">
        <v>623</v>
      </c>
      <c r="C17" s="699"/>
      <c r="D17" s="699"/>
      <c r="E17" s="699">
        <v>3458.0596800000003</v>
      </c>
      <c r="F17" s="699">
        <v>3458.0596800000003</v>
      </c>
      <c r="G17" s="700">
        <v>6701.7746800000004</v>
      </c>
    </row>
    <row r="18" spans="1:7" ht="10.5" customHeight="1">
      <c r="A18" s="701"/>
      <c r="B18" s="697" t="s">
        <v>792</v>
      </c>
      <c r="C18" s="699"/>
      <c r="D18" s="699"/>
      <c r="E18" s="699">
        <v>4510.4109724999998</v>
      </c>
      <c r="F18" s="699">
        <v>4510.4109724999998</v>
      </c>
      <c r="G18" s="700">
        <v>10044.7959725</v>
      </c>
    </row>
    <row r="19" spans="1:7" ht="10.5" customHeight="1">
      <c r="A19" s="701"/>
      <c r="B19" s="697" t="s">
        <v>624</v>
      </c>
      <c r="C19" s="699"/>
      <c r="D19" s="699"/>
      <c r="E19" s="699">
        <v>4493.8710549999996</v>
      </c>
      <c r="F19" s="699">
        <v>4493.8710549999996</v>
      </c>
      <c r="G19" s="700">
        <v>8948.6785549999986</v>
      </c>
    </row>
    <row r="20" spans="1:7" ht="10.5" customHeight="1">
      <c r="A20" s="855" t="s">
        <v>382</v>
      </c>
      <c r="B20" s="856"/>
      <c r="C20" s="858"/>
      <c r="D20" s="858"/>
      <c r="E20" s="858">
        <v>17061.748242499998</v>
      </c>
      <c r="F20" s="858">
        <v>17061.748242499998</v>
      </c>
      <c r="G20" s="859">
        <v>65934.914840000012</v>
      </c>
    </row>
    <row r="21" spans="1:7" ht="10.5" customHeight="1">
      <c r="A21" s="701" t="s">
        <v>116</v>
      </c>
      <c r="B21" s="697" t="s">
        <v>263</v>
      </c>
      <c r="C21" s="699"/>
      <c r="D21" s="699"/>
      <c r="E21" s="699">
        <v>4031.8943825000001</v>
      </c>
      <c r="F21" s="699">
        <v>4031.8943825000001</v>
      </c>
      <c r="G21" s="700">
        <v>32125.866062500001</v>
      </c>
    </row>
    <row r="22" spans="1:7" ht="10.5" customHeight="1">
      <c r="A22" s="855" t="s">
        <v>383</v>
      </c>
      <c r="B22" s="856"/>
      <c r="C22" s="858"/>
      <c r="D22" s="858"/>
      <c r="E22" s="858">
        <v>4031.8943825000001</v>
      </c>
      <c r="F22" s="858">
        <v>4031.8943825000001</v>
      </c>
      <c r="G22" s="859">
        <v>32125.866062500001</v>
      </c>
    </row>
    <row r="23" spans="1:7" ht="10.5" customHeight="1">
      <c r="A23" s="701" t="s">
        <v>117</v>
      </c>
      <c r="B23" s="697" t="s">
        <v>87</v>
      </c>
      <c r="C23" s="699"/>
      <c r="D23" s="699"/>
      <c r="E23" s="699">
        <v>3974.3101225</v>
      </c>
      <c r="F23" s="699">
        <v>3974.3101225</v>
      </c>
      <c r="G23" s="700">
        <v>29475.945245000003</v>
      </c>
    </row>
    <row r="24" spans="1:7" ht="10.5" customHeight="1">
      <c r="A24" s="855" t="s">
        <v>384</v>
      </c>
      <c r="B24" s="856"/>
      <c r="C24" s="858"/>
      <c r="D24" s="858"/>
      <c r="E24" s="858">
        <v>3974.3101225</v>
      </c>
      <c r="F24" s="858">
        <v>3974.3101225</v>
      </c>
      <c r="G24" s="859">
        <v>29475.945245000003</v>
      </c>
    </row>
    <row r="25" spans="1:7" ht="10.5" customHeight="1">
      <c r="A25" s="701" t="s">
        <v>121</v>
      </c>
      <c r="B25" s="697" t="s">
        <v>77</v>
      </c>
      <c r="C25" s="699"/>
      <c r="D25" s="699"/>
      <c r="E25" s="699">
        <v>2296.1</v>
      </c>
      <c r="F25" s="699">
        <v>2296.1</v>
      </c>
      <c r="G25" s="700">
        <v>18643.8</v>
      </c>
    </row>
    <row r="26" spans="1:7" ht="10.5" customHeight="1">
      <c r="A26" s="855" t="s">
        <v>385</v>
      </c>
      <c r="B26" s="856"/>
      <c r="C26" s="858"/>
      <c r="D26" s="858"/>
      <c r="E26" s="858">
        <v>2296.1</v>
      </c>
      <c r="F26" s="858">
        <v>2296.1</v>
      </c>
      <c r="G26" s="859">
        <v>18643.8</v>
      </c>
    </row>
    <row r="27" spans="1:7" ht="10.5" customHeight="1">
      <c r="A27" s="701" t="s">
        <v>108</v>
      </c>
      <c r="B27" s="697" t="s">
        <v>386</v>
      </c>
      <c r="C27" s="699">
        <v>12488.337</v>
      </c>
      <c r="D27" s="699"/>
      <c r="E27" s="699"/>
      <c r="F27" s="699">
        <v>12488.337</v>
      </c>
      <c r="G27" s="700">
        <v>112075.77100000001</v>
      </c>
    </row>
    <row r="28" spans="1:7" ht="10.5" customHeight="1">
      <c r="A28" s="855" t="s">
        <v>387</v>
      </c>
      <c r="B28" s="856"/>
      <c r="C28" s="858">
        <v>12488.337</v>
      </c>
      <c r="D28" s="858"/>
      <c r="E28" s="858"/>
      <c r="F28" s="858">
        <v>12488.337</v>
      </c>
      <c r="G28" s="859">
        <v>112075.77100000001</v>
      </c>
    </row>
    <row r="29" spans="1:7" ht="10.5" customHeight="1">
      <c r="A29" s="701" t="s">
        <v>272</v>
      </c>
      <c r="B29" s="697" t="s">
        <v>62</v>
      </c>
      <c r="C29" s="699"/>
      <c r="D29" s="699"/>
      <c r="E29" s="699">
        <v>11132.15749</v>
      </c>
      <c r="F29" s="699">
        <v>11132.15749</v>
      </c>
      <c r="G29" s="700">
        <v>98577.002257500004</v>
      </c>
    </row>
    <row r="30" spans="1:7" ht="10.5" customHeight="1">
      <c r="A30" s="855" t="s">
        <v>389</v>
      </c>
      <c r="B30" s="856"/>
      <c r="C30" s="858"/>
      <c r="D30" s="858"/>
      <c r="E30" s="858">
        <v>11132.15749</v>
      </c>
      <c r="F30" s="858">
        <v>11132.15749</v>
      </c>
      <c r="G30" s="859">
        <v>98577.002257500004</v>
      </c>
    </row>
    <row r="31" spans="1:7" ht="10.5" customHeight="1">
      <c r="A31" s="701" t="s">
        <v>123</v>
      </c>
      <c r="B31" s="697" t="s">
        <v>390</v>
      </c>
      <c r="C31" s="699"/>
      <c r="D31" s="699">
        <v>127.2679775</v>
      </c>
      <c r="E31" s="699"/>
      <c r="F31" s="699">
        <v>127.2679775</v>
      </c>
      <c r="G31" s="700">
        <v>654.21908250000001</v>
      </c>
    </row>
    <row r="32" spans="1:7" ht="10.5" customHeight="1">
      <c r="A32" s="701"/>
      <c r="B32" s="697" t="s">
        <v>391</v>
      </c>
      <c r="C32" s="699"/>
      <c r="D32" s="699">
        <v>4.8735000000000001E-2</v>
      </c>
      <c r="E32" s="699"/>
      <c r="F32" s="699">
        <v>4.8735000000000001E-2</v>
      </c>
      <c r="G32" s="700">
        <v>4087.5855949999996</v>
      </c>
    </row>
    <row r="33" spans="1:8" ht="10.5" customHeight="1">
      <c r="A33" s="855" t="s">
        <v>392</v>
      </c>
      <c r="B33" s="856"/>
      <c r="C33" s="858"/>
      <c r="D33" s="858">
        <v>127.31671249999999</v>
      </c>
      <c r="E33" s="858"/>
      <c r="F33" s="858">
        <v>127.31671249999999</v>
      </c>
      <c r="G33" s="859">
        <v>4741.8046774999993</v>
      </c>
    </row>
    <row r="34" spans="1:8" ht="10.5" customHeight="1">
      <c r="A34" s="701" t="s">
        <v>589</v>
      </c>
      <c r="B34" s="697" t="s">
        <v>394</v>
      </c>
      <c r="C34" s="699"/>
      <c r="D34" s="699">
        <v>479957.70616250002</v>
      </c>
      <c r="E34" s="699"/>
      <c r="F34" s="699">
        <v>479957.70616250002</v>
      </c>
      <c r="G34" s="700">
        <v>3401618.4726374997</v>
      </c>
    </row>
    <row r="35" spans="1:8" ht="10.5" customHeight="1">
      <c r="A35" s="701"/>
      <c r="B35" s="697" t="s">
        <v>395</v>
      </c>
      <c r="C35" s="699"/>
      <c r="D35" s="699">
        <v>0</v>
      </c>
      <c r="E35" s="699"/>
      <c r="F35" s="699">
        <v>0</v>
      </c>
      <c r="G35" s="700">
        <v>289747.21817750001</v>
      </c>
    </row>
    <row r="36" spans="1:8" ht="10.5" customHeight="1">
      <c r="A36" s="701"/>
      <c r="B36" s="697" t="s">
        <v>793</v>
      </c>
      <c r="C36" s="699">
        <v>170764.89807749999</v>
      </c>
      <c r="D36" s="699"/>
      <c r="E36" s="699"/>
      <c r="F36" s="699">
        <v>170764.89807749999</v>
      </c>
      <c r="G36" s="700">
        <v>2573743.3853499996</v>
      </c>
    </row>
    <row r="37" spans="1:8" ht="10.5" customHeight="1">
      <c r="A37" s="701"/>
      <c r="B37" s="697" t="s">
        <v>396</v>
      </c>
      <c r="C37" s="699">
        <v>1999.8114849999999</v>
      </c>
      <c r="D37" s="699"/>
      <c r="E37" s="699"/>
      <c r="F37" s="699">
        <v>1999.8114849999999</v>
      </c>
      <c r="G37" s="700">
        <v>43266.168112499996</v>
      </c>
    </row>
    <row r="38" spans="1:8" ht="10.5" customHeight="1">
      <c r="A38" s="855" t="s">
        <v>397</v>
      </c>
      <c r="B38" s="856"/>
      <c r="C38" s="858">
        <v>172764.70956250001</v>
      </c>
      <c r="D38" s="858">
        <v>479957.70616250002</v>
      </c>
      <c r="E38" s="858"/>
      <c r="F38" s="858">
        <v>652722.41572499997</v>
      </c>
      <c r="G38" s="859">
        <v>6308375.2442774996</v>
      </c>
    </row>
    <row r="39" spans="1:8" ht="10.5" customHeight="1">
      <c r="A39" s="701" t="s">
        <v>616</v>
      </c>
      <c r="B39" s="697" t="s">
        <v>609</v>
      </c>
      <c r="C39" s="699">
        <v>37008.764194999996</v>
      </c>
      <c r="D39" s="699"/>
      <c r="E39" s="699"/>
      <c r="F39" s="699">
        <v>37008.764194999996</v>
      </c>
      <c r="G39" s="700">
        <v>503055.47965000005</v>
      </c>
    </row>
    <row r="40" spans="1:8" ht="10.5" customHeight="1">
      <c r="A40" s="855" t="s">
        <v>516</v>
      </c>
      <c r="B40" s="856"/>
      <c r="C40" s="858">
        <v>37008.764194999996</v>
      </c>
      <c r="D40" s="858"/>
      <c r="E40" s="858"/>
      <c r="F40" s="858">
        <v>37008.764194999996</v>
      </c>
      <c r="G40" s="859">
        <v>503055.47965000005</v>
      </c>
    </row>
    <row r="41" spans="1:8" ht="10.5" customHeight="1">
      <c r="A41" s="701" t="s">
        <v>122</v>
      </c>
      <c r="B41" s="697" t="s">
        <v>75</v>
      </c>
      <c r="C41" s="699"/>
      <c r="D41" s="699"/>
      <c r="E41" s="699">
        <v>1051.3025</v>
      </c>
      <c r="F41" s="699">
        <v>1051.3025</v>
      </c>
      <c r="G41" s="700">
        <v>18352.385582499999</v>
      </c>
    </row>
    <row r="42" spans="1:8" ht="10.5" customHeight="1">
      <c r="A42" s="855" t="s">
        <v>398</v>
      </c>
      <c r="B42" s="856"/>
      <c r="C42" s="858"/>
      <c r="D42" s="858"/>
      <c r="E42" s="858">
        <v>1051.3025</v>
      </c>
      <c r="F42" s="858">
        <v>1051.3025</v>
      </c>
      <c r="G42" s="859">
        <v>18352.385582499999</v>
      </c>
    </row>
    <row r="43" spans="1:8" ht="10.5" customHeight="1">
      <c r="A43" s="701" t="s">
        <v>115</v>
      </c>
      <c r="B43" s="697" t="s">
        <v>85</v>
      </c>
      <c r="C43" s="699"/>
      <c r="D43" s="699"/>
      <c r="E43" s="699">
        <v>4559.8398200000001</v>
      </c>
      <c r="F43" s="699">
        <v>4559.8398200000001</v>
      </c>
      <c r="G43" s="700">
        <v>34050.557377500001</v>
      </c>
    </row>
    <row r="44" spans="1:8" ht="10.5" customHeight="1">
      <c r="A44" s="855" t="s">
        <v>399</v>
      </c>
      <c r="B44" s="856"/>
      <c r="C44" s="858"/>
      <c r="D44" s="858"/>
      <c r="E44" s="858">
        <v>4559.8398200000001</v>
      </c>
      <c r="F44" s="858">
        <v>4559.8398200000001</v>
      </c>
      <c r="G44" s="859">
        <v>34050.557377500001</v>
      </c>
    </row>
    <row r="45" spans="1:8" ht="10.5" customHeight="1">
      <c r="A45" s="701" t="s">
        <v>273</v>
      </c>
      <c r="B45" s="697" t="s">
        <v>74</v>
      </c>
      <c r="C45" s="699"/>
      <c r="D45" s="699"/>
      <c r="E45" s="699">
        <v>675.23039000000006</v>
      </c>
      <c r="F45" s="699">
        <v>675.23039000000006</v>
      </c>
      <c r="G45" s="700">
        <v>21888.807957500001</v>
      </c>
    </row>
    <row r="46" spans="1:8" ht="10.5" customHeight="1">
      <c r="A46" s="701"/>
      <c r="B46" s="697" t="s">
        <v>400</v>
      </c>
      <c r="C46" s="699">
        <v>50711.007397499998</v>
      </c>
      <c r="D46" s="699"/>
      <c r="E46" s="699"/>
      <c r="F46" s="699">
        <v>50711.007397499998</v>
      </c>
      <c r="G46" s="700">
        <v>1073408.2170475</v>
      </c>
      <c r="H46" s="548"/>
    </row>
    <row r="47" spans="1:8" ht="10.5" customHeight="1">
      <c r="A47" s="701"/>
      <c r="B47" s="697" t="s">
        <v>401</v>
      </c>
      <c r="C47" s="699">
        <v>8021.1281125000005</v>
      </c>
      <c r="D47" s="699"/>
      <c r="E47" s="699"/>
      <c r="F47" s="699">
        <v>8021.1281125000005</v>
      </c>
      <c r="G47" s="700">
        <v>380542.39124750003</v>
      </c>
    </row>
    <row r="48" spans="1:8" ht="10.5" customHeight="1">
      <c r="A48" s="701"/>
      <c r="B48" s="697" t="s">
        <v>65</v>
      </c>
      <c r="C48" s="699"/>
      <c r="D48" s="699"/>
      <c r="E48" s="699">
        <v>6080.6972775000004</v>
      </c>
      <c r="F48" s="699">
        <v>6080.6972775000004</v>
      </c>
      <c r="G48" s="700">
        <v>52546.853122499997</v>
      </c>
    </row>
    <row r="49" spans="1:7" ht="10.5" customHeight="1">
      <c r="A49" s="855" t="s">
        <v>402</v>
      </c>
      <c r="B49" s="856"/>
      <c r="C49" s="858">
        <v>58732.13551</v>
      </c>
      <c r="D49" s="858"/>
      <c r="E49" s="858">
        <v>6755.9276675000001</v>
      </c>
      <c r="F49" s="858">
        <v>65488.0631775</v>
      </c>
      <c r="G49" s="859">
        <v>1528386.2693749999</v>
      </c>
    </row>
    <row r="50" spans="1:7" ht="10.5" customHeight="1">
      <c r="A50" s="701" t="s">
        <v>274</v>
      </c>
      <c r="B50" s="697" t="s">
        <v>82</v>
      </c>
      <c r="C50" s="699"/>
      <c r="D50" s="699"/>
      <c r="E50" s="699">
        <v>13180.2298625</v>
      </c>
      <c r="F50" s="699">
        <v>13180.2298625</v>
      </c>
      <c r="G50" s="700">
        <v>110398.96225500001</v>
      </c>
    </row>
    <row r="51" spans="1:7" ht="10.5" customHeight="1">
      <c r="A51" s="855" t="s">
        <v>403</v>
      </c>
      <c r="B51" s="856"/>
      <c r="C51" s="858"/>
      <c r="D51" s="858"/>
      <c r="E51" s="858">
        <v>13180.2298625</v>
      </c>
      <c r="F51" s="858">
        <v>13180.2298625</v>
      </c>
      <c r="G51" s="859">
        <v>110398.96225500001</v>
      </c>
    </row>
    <row r="52" spans="1:7" ht="10.5" customHeight="1">
      <c r="A52" s="701" t="s">
        <v>104</v>
      </c>
      <c r="B52" s="697" t="s">
        <v>79</v>
      </c>
      <c r="C52" s="699"/>
      <c r="D52" s="699"/>
      <c r="E52" s="699">
        <v>39327.510820000003</v>
      </c>
      <c r="F52" s="699">
        <v>39327.510820000003</v>
      </c>
      <c r="G52" s="700">
        <v>345498.79724500002</v>
      </c>
    </row>
    <row r="53" spans="1:7" ht="10.5" customHeight="1">
      <c r="A53" s="855" t="s">
        <v>404</v>
      </c>
      <c r="B53" s="856"/>
      <c r="C53" s="858"/>
      <c r="D53" s="858"/>
      <c r="E53" s="858">
        <v>39327.510820000003</v>
      </c>
      <c r="F53" s="858">
        <v>39327.510820000003</v>
      </c>
      <c r="G53" s="859">
        <v>345498.79724500002</v>
      </c>
    </row>
    <row r="54" spans="1:7" ht="10.5" customHeight="1">
      <c r="A54" s="701" t="s">
        <v>112</v>
      </c>
      <c r="B54" s="697" t="s">
        <v>262</v>
      </c>
      <c r="C54" s="699"/>
      <c r="D54" s="699"/>
      <c r="E54" s="699">
        <v>4928.0429450000001</v>
      </c>
      <c r="F54" s="699">
        <v>4928.0429450000001</v>
      </c>
      <c r="G54" s="700">
        <v>36959.852660000004</v>
      </c>
    </row>
    <row r="55" spans="1:7" ht="10.5" customHeight="1">
      <c r="A55" s="855" t="s">
        <v>405</v>
      </c>
      <c r="B55" s="856"/>
      <c r="C55" s="858"/>
      <c r="D55" s="858"/>
      <c r="E55" s="858">
        <v>4928.0429450000001</v>
      </c>
      <c r="F55" s="858">
        <v>4928.0429450000001</v>
      </c>
      <c r="G55" s="859">
        <v>36959.852660000004</v>
      </c>
    </row>
    <row r="56" spans="1:7" ht="10.5" customHeight="1">
      <c r="A56" s="701" t="s">
        <v>590</v>
      </c>
      <c r="B56" s="697" t="s">
        <v>794</v>
      </c>
      <c r="C56" s="699"/>
      <c r="D56" s="699"/>
      <c r="E56" s="699">
        <v>1876.2201250000001</v>
      </c>
      <c r="F56" s="699">
        <v>1876.2201250000001</v>
      </c>
      <c r="G56" s="700">
        <v>8276.9136725000008</v>
      </c>
    </row>
    <row r="57" spans="1:7" ht="10.5" customHeight="1">
      <c r="A57" s="701"/>
      <c r="B57" s="697" t="s">
        <v>89</v>
      </c>
      <c r="C57" s="699"/>
      <c r="D57" s="699"/>
      <c r="E57" s="699">
        <v>1781.5869</v>
      </c>
      <c r="F57" s="699">
        <v>1781.5869</v>
      </c>
      <c r="G57" s="700">
        <v>23639.021732500001</v>
      </c>
    </row>
    <row r="58" spans="1:7" ht="10.5" customHeight="1">
      <c r="A58" s="701"/>
      <c r="B58" s="697" t="s">
        <v>620</v>
      </c>
      <c r="C58" s="699"/>
      <c r="D58" s="699"/>
      <c r="E58" s="699">
        <v>1443.699525</v>
      </c>
      <c r="F58" s="699">
        <v>1443.699525</v>
      </c>
      <c r="G58" s="700">
        <v>1671.3343</v>
      </c>
    </row>
    <row r="59" spans="1:7" ht="10.5" customHeight="1">
      <c r="A59" s="855" t="s">
        <v>406</v>
      </c>
      <c r="B59" s="856"/>
      <c r="C59" s="858"/>
      <c r="D59" s="858"/>
      <c r="E59" s="858">
        <v>5101.5065500000001</v>
      </c>
      <c r="F59" s="858">
        <v>5101.5065500000001</v>
      </c>
      <c r="G59" s="859">
        <v>33587.269705000006</v>
      </c>
    </row>
    <row r="60" spans="1:7" ht="10.5" customHeight="1">
      <c r="A60" s="701" t="s">
        <v>275</v>
      </c>
      <c r="B60" s="697" t="s">
        <v>407</v>
      </c>
      <c r="C60" s="699"/>
      <c r="D60" s="699">
        <v>2.2426149999999998</v>
      </c>
      <c r="E60" s="699"/>
      <c r="F60" s="699">
        <v>2.2426149999999998</v>
      </c>
      <c r="G60" s="700">
        <v>699.33256249999999</v>
      </c>
    </row>
    <row r="61" spans="1:7" ht="10.5" customHeight="1">
      <c r="A61" s="855" t="s">
        <v>408</v>
      </c>
      <c r="B61" s="856"/>
      <c r="C61" s="858"/>
      <c r="D61" s="858">
        <v>2.2426149999999998</v>
      </c>
      <c r="E61" s="858"/>
      <c r="F61" s="858">
        <v>2.2426149999999998</v>
      </c>
      <c r="G61" s="859">
        <v>699.33256249999999</v>
      </c>
    </row>
    <row r="62" spans="1:7" ht="10.5" customHeight="1">
      <c r="A62" s="701" t="s">
        <v>109</v>
      </c>
      <c r="B62" s="697" t="s">
        <v>64</v>
      </c>
      <c r="C62" s="699"/>
      <c r="D62" s="699"/>
      <c r="E62" s="699">
        <v>1707.3725374999999</v>
      </c>
      <c r="F62" s="699">
        <v>1707.3725374999999</v>
      </c>
      <c r="G62" s="700">
        <v>78214.721582500002</v>
      </c>
    </row>
    <row r="63" spans="1:7" ht="10.5" customHeight="1">
      <c r="A63" s="855" t="s">
        <v>409</v>
      </c>
      <c r="B63" s="856"/>
      <c r="C63" s="858"/>
      <c r="D63" s="858"/>
      <c r="E63" s="858">
        <v>1707.3725374999999</v>
      </c>
      <c r="F63" s="858">
        <v>1707.3725374999999</v>
      </c>
      <c r="G63" s="859">
        <v>78214.721582500002</v>
      </c>
    </row>
    <row r="64" spans="1:7" ht="10.5" customHeight="1">
      <c r="A64" s="701" t="s">
        <v>276</v>
      </c>
      <c r="B64" s="697" t="s">
        <v>410</v>
      </c>
      <c r="C64" s="699"/>
      <c r="D64" s="699">
        <v>402.14331249999998</v>
      </c>
      <c r="E64" s="699"/>
      <c r="F64" s="699">
        <v>402.14331249999998</v>
      </c>
      <c r="G64" s="700">
        <v>41803.338209999994</v>
      </c>
    </row>
    <row r="65" spans="1:7" ht="10.5" customHeight="1">
      <c r="A65" s="855" t="s">
        <v>411</v>
      </c>
      <c r="B65" s="856"/>
      <c r="C65" s="858"/>
      <c r="D65" s="858">
        <v>402.14331249999998</v>
      </c>
      <c r="E65" s="858"/>
      <c r="F65" s="858">
        <v>402.14331249999998</v>
      </c>
      <c r="G65" s="859">
        <v>41803.338209999994</v>
      </c>
    </row>
    <row r="66" spans="1:7" ht="10.5" customHeight="1">
      <c r="A66" s="701" t="s">
        <v>100</v>
      </c>
      <c r="B66" s="697" t="s">
        <v>412</v>
      </c>
      <c r="C66" s="699">
        <v>47852.340109999997</v>
      </c>
      <c r="D66" s="699"/>
      <c r="E66" s="699"/>
      <c r="F66" s="699">
        <v>47852.340109999997</v>
      </c>
      <c r="G66" s="700">
        <v>584721.49979749997</v>
      </c>
    </row>
    <row r="67" spans="1:7" ht="10.5" customHeight="1">
      <c r="A67" s="855" t="s">
        <v>413</v>
      </c>
      <c r="B67" s="856"/>
      <c r="C67" s="858">
        <v>47852.340109999997</v>
      </c>
      <c r="D67" s="858"/>
      <c r="E67" s="858"/>
      <c r="F67" s="858">
        <v>47852.340109999997</v>
      </c>
      <c r="G67" s="859">
        <v>584721.49979749997</v>
      </c>
    </row>
    <row r="68" spans="1:7" ht="10.5" customHeight="1">
      <c r="A68" s="702"/>
      <c r="B68" s="702"/>
      <c r="C68" s="702"/>
      <c r="D68" s="702"/>
      <c r="E68" s="702"/>
      <c r="F68" s="702"/>
      <c r="G68" s="702"/>
    </row>
    <row r="69" spans="1:7" ht="10.5" customHeight="1">
      <c r="A69" s="702"/>
      <c r="B69" s="702"/>
      <c r="C69" s="702"/>
      <c r="D69" s="702"/>
      <c r="E69" s="702"/>
      <c r="F69" s="702"/>
      <c r="G69" s="702"/>
    </row>
    <row r="70" spans="1:7" ht="10.5" customHeight="1">
      <c r="A70" s="702"/>
      <c r="B70" s="702"/>
      <c r="C70" s="702"/>
      <c r="D70" s="702"/>
      <c r="E70" s="702"/>
      <c r="F70" s="702"/>
      <c r="G70" s="702"/>
    </row>
    <row r="71" spans="1:7" ht="10.5" customHeight="1">
      <c r="A71" s="702"/>
      <c r="B71" s="702"/>
      <c r="C71" s="702"/>
      <c r="D71" s="702"/>
      <c r="E71" s="702"/>
      <c r="F71" s="702"/>
      <c r="G71" s="702"/>
    </row>
    <row r="72" spans="1:7" ht="10.5" customHeight="1">
      <c r="A72" s="702"/>
      <c r="B72" s="702"/>
      <c r="C72" s="702"/>
      <c r="D72" s="702"/>
      <c r="E72" s="702"/>
      <c r="F72" s="702"/>
      <c r="G72" s="702"/>
    </row>
    <row r="73" spans="1:7" ht="10.5" customHeight="1">
      <c r="A73" s="702"/>
      <c r="B73" s="702"/>
      <c r="C73" s="702"/>
      <c r="D73" s="702"/>
      <c r="E73" s="702"/>
      <c r="F73" s="702"/>
      <c r="G73" s="702"/>
    </row>
    <row r="74" spans="1:7" ht="10.5" customHeight="1">
      <c r="A74" s="702"/>
      <c r="B74" s="702"/>
      <c r="C74" s="702"/>
      <c r="D74" s="702"/>
      <c r="E74" s="702"/>
      <c r="F74" s="702"/>
      <c r="G74" s="702"/>
    </row>
    <row r="75" spans="1:7" ht="10.5" customHeight="1">
      <c r="A75" s="702"/>
      <c r="B75" s="702"/>
      <c r="C75" s="702"/>
      <c r="D75" s="702"/>
      <c r="E75" s="702"/>
      <c r="F75" s="702"/>
      <c r="G75" s="702"/>
    </row>
    <row r="76" spans="1:7" ht="10.5" customHeight="1">
      <c r="A76" s="702"/>
      <c r="B76" s="702"/>
      <c r="C76" s="702"/>
      <c r="D76" s="702"/>
      <c r="E76" s="702"/>
      <c r="F76" s="702"/>
      <c r="G76" s="702"/>
    </row>
    <row r="77" spans="1:7" ht="10.5" customHeight="1">
      <c r="A77" s="702"/>
      <c r="B77" s="702"/>
      <c r="C77" s="702"/>
      <c r="D77" s="702"/>
      <c r="E77" s="702"/>
      <c r="F77" s="702"/>
      <c r="G77" s="702"/>
    </row>
    <row r="78" spans="1:7" ht="10.5" customHeight="1">
      <c r="A78" s="702"/>
      <c r="B78" s="702"/>
      <c r="C78" s="702"/>
      <c r="D78" s="702"/>
      <c r="E78" s="702"/>
      <c r="F78" s="702"/>
      <c r="G78" s="702"/>
    </row>
    <row r="79" spans="1:7" ht="10.5" customHeight="1">
      <c r="A79" s="702"/>
      <c r="B79" s="702"/>
      <c r="C79" s="702"/>
      <c r="D79" s="702"/>
      <c r="E79" s="702"/>
      <c r="F79" s="702"/>
      <c r="G79" s="702"/>
    </row>
    <row r="80" spans="1:7" ht="10.5" customHeight="1">
      <c r="A80" s="702"/>
      <c r="B80" s="702"/>
      <c r="C80" s="702"/>
      <c r="D80" s="702"/>
      <c r="E80" s="702"/>
      <c r="F80" s="702"/>
      <c r="G80" s="702"/>
    </row>
    <row r="81" spans="1:7" ht="10.5" customHeight="1">
      <c r="A81" s="702"/>
      <c r="B81" s="702"/>
      <c r="C81" s="702"/>
      <c r="D81" s="702"/>
      <c r="E81" s="702"/>
      <c r="F81" s="702"/>
      <c r="G81" s="702"/>
    </row>
    <row r="82" spans="1:7" ht="10.5" customHeight="1">
      <c r="A82" s="702"/>
      <c r="B82" s="702"/>
      <c r="C82" s="702"/>
      <c r="D82" s="702"/>
      <c r="E82" s="702"/>
      <c r="F82" s="702"/>
      <c r="G82" s="702"/>
    </row>
    <row r="83" spans="1:7" ht="10.5" customHeight="1">
      <c r="A83" s="702"/>
      <c r="B83" s="702"/>
      <c r="C83" s="702"/>
      <c r="D83" s="702"/>
      <c r="E83" s="702"/>
      <c r="F83" s="702"/>
      <c r="G83" s="702"/>
    </row>
    <row r="84" spans="1:7" ht="10.5" customHeight="1">
      <c r="A84" s="702"/>
      <c r="B84" s="702"/>
      <c r="C84" s="702"/>
      <c r="D84" s="702"/>
      <c r="E84" s="702"/>
      <c r="F84" s="702"/>
      <c r="G84" s="702"/>
    </row>
    <row r="85" spans="1:7" ht="10.5" customHeight="1">
      <c r="A85" s="702"/>
      <c r="B85" s="702"/>
      <c r="C85" s="702"/>
      <c r="D85" s="702"/>
      <c r="E85" s="702"/>
      <c r="F85" s="702"/>
      <c r="G85" s="702"/>
    </row>
    <row r="86" spans="1:7" ht="10.5" customHeight="1">
      <c r="A86" s="702"/>
      <c r="B86" s="702"/>
      <c r="C86" s="702"/>
      <c r="D86" s="702"/>
      <c r="E86" s="702"/>
      <c r="F86" s="702"/>
      <c r="G86" s="702"/>
    </row>
    <row r="87" spans="1:7" ht="10.5" customHeight="1">
      <c r="A87" s="702"/>
      <c r="B87" s="702"/>
      <c r="C87" s="702"/>
      <c r="D87" s="702"/>
      <c r="E87" s="702"/>
      <c r="F87" s="702"/>
      <c r="G87" s="702"/>
    </row>
    <row r="88" spans="1:7" ht="10.5" customHeight="1">
      <c r="A88" s="702"/>
      <c r="B88" s="702"/>
      <c r="C88" s="702"/>
      <c r="D88" s="702"/>
      <c r="E88" s="702"/>
      <c r="F88" s="702"/>
      <c r="G88" s="702"/>
    </row>
    <row r="89" spans="1:7" ht="10.5" customHeight="1">
      <c r="A89" s="702"/>
      <c r="B89" s="702"/>
      <c r="C89" s="702"/>
      <c r="D89" s="702"/>
      <c r="E89" s="702"/>
      <c r="F89" s="702"/>
      <c r="G89" s="702"/>
    </row>
    <row r="90" spans="1:7" ht="10.5" customHeight="1">
      <c r="A90" s="702"/>
      <c r="B90" s="702"/>
      <c r="C90" s="702"/>
      <c r="D90" s="702"/>
      <c r="E90" s="702"/>
      <c r="F90" s="702"/>
      <c r="G90" s="702"/>
    </row>
    <row r="91" spans="1:7" ht="10.5" customHeight="1">
      <c r="A91" s="702"/>
      <c r="B91" s="702"/>
      <c r="C91" s="702"/>
      <c r="D91" s="702"/>
      <c r="E91" s="702"/>
      <c r="F91" s="702"/>
      <c r="G91" s="702"/>
    </row>
    <row r="92" spans="1:7" ht="10.5" customHeight="1">
      <c r="A92" s="702"/>
      <c r="B92" s="702"/>
      <c r="C92" s="702"/>
      <c r="D92" s="702"/>
      <c r="E92" s="702"/>
      <c r="F92" s="702"/>
      <c r="G92" s="702"/>
    </row>
    <row r="93" spans="1:7" ht="10.5" customHeight="1">
      <c r="A93" s="702"/>
      <c r="B93" s="702"/>
      <c r="C93" s="702"/>
      <c r="D93" s="702"/>
      <c r="E93" s="702"/>
      <c r="F93" s="702"/>
      <c r="G93" s="702"/>
    </row>
    <row r="94" spans="1:7" ht="10.5" customHeight="1">
      <c r="A94" s="702"/>
      <c r="B94" s="702"/>
      <c r="C94" s="702"/>
      <c r="D94" s="702"/>
      <c r="E94" s="702"/>
      <c r="F94" s="702"/>
      <c r="G94" s="702"/>
    </row>
    <row r="95" spans="1:7" ht="10.5" customHeight="1">
      <c r="A95" s="702"/>
      <c r="B95" s="702"/>
      <c r="C95" s="702"/>
      <c r="D95" s="702"/>
      <c r="E95" s="702"/>
      <c r="F95" s="702"/>
      <c r="G95" s="702"/>
    </row>
    <row r="96" spans="1:7" ht="10.5" customHeight="1">
      <c r="A96" s="702"/>
      <c r="B96" s="702"/>
      <c r="C96" s="702"/>
      <c r="D96" s="702"/>
      <c r="E96" s="702"/>
      <c r="F96" s="702"/>
      <c r="G96" s="702"/>
    </row>
    <row r="97" spans="1:7" ht="10.5" customHeight="1">
      <c r="A97" s="702"/>
      <c r="B97" s="702"/>
      <c r="C97" s="702"/>
      <c r="D97" s="702"/>
      <c r="E97" s="702"/>
      <c r="F97" s="702"/>
      <c r="G97" s="702"/>
    </row>
    <row r="98" spans="1:7" ht="10.5" customHeight="1">
      <c r="A98" s="702"/>
      <c r="B98" s="702"/>
      <c r="C98" s="702"/>
      <c r="D98" s="702"/>
      <c r="E98" s="702"/>
      <c r="F98" s="702"/>
      <c r="G98" s="702"/>
    </row>
    <row r="99" spans="1:7" ht="10.5" customHeight="1">
      <c r="A99" s="702"/>
      <c r="B99" s="702"/>
      <c r="C99" s="702"/>
      <c r="D99" s="702"/>
      <c r="E99" s="702"/>
      <c r="F99" s="702"/>
      <c r="G99" s="702"/>
    </row>
    <row r="100" spans="1:7" ht="10.5" customHeight="1">
      <c r="A100" s="702"/>
      <c r="B100" s="702"/>
      <c r="C100" s="702"/>
      <c r="D100" s="702"/>
      <c r="E100" s="702"/>
      <c r="F100" s="702"/>
      <c r="G100" s="702"/>
    </row>
    <row r="101" spans="1:7" ht="10.5" customHeight="1">
      <c r="A101" s="702"/>
      <c r="B101" s="702"/>
      <c r="C101" s="702"/>
      <c r="D101" s="702"/>
      <c r="E101" s="702"/>
      <c r="F101" s="702"/>
      <c r="G101" s="702"/>
    </row>
    <row r="102" spans="1:7" ht="10.5" customHeight="1">
      <c r="A102" s="702"/>
      <c r="B102" s="702"/>
      <c r="C102" s="702"/>
      <c r="D102" s="702"/>
      <c r="E102" s="702"/>
      <c r="F102" s="702"/>
      <c r="G102" s="702"/>
    </row>
    <row r="103" spans="1:7" ht="10.5" customHeight="1">
      <c r="A103" s="702"/>
      <c r="B103" s="702"/>
      <c r="C103" s="702"/>
      <c r="D103" s="702"/>
      <c r="E103" s="702"/>
      <c r="F103" s="702"/>
      <c r="G103" s="702"/>
    </row>
  </sheetData>
  <mergeCells count="5">
    <mergeCell ref="A1:A4"/>
    <mergeCell ref="B1:B4"/>
    <mergeCell ref="C1:F1"/>
    <mergeCell ref="C2:E2"/>
    <mergeCell ref="F2:F3"/>
  </mergeCells>
  <conditionalFormatting sqref="J5:K67">
    <cfRule type="cellIs" dxfId="7" priority="1" operator="greaterThan">
      <formula>0</formula>
    </cfRule>
  </conditionalFormatting>
  <pageMargins left="0.7" right="0.46474358974358976" top="0.86956521739130432" bottom="0.61458333333333337" header="0.3" footer="0.3"/>
  <pageSetup orientation="portrait" r:id="rId1"/>
  <headerFooter>
    <oddHeader>&amp;R&amp;7Informe de la Operación Mensual - Setiembre 2018
INFSGI-MES-09-2018
11/10/2018
Versión: 01</oddHeader>
    <oddFooter>&amp;L&amp;7COES, 2018&amp;C19&amp;R&amp;7Dirección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60"/>
  <sheetViews>
    <sheetView showGridLines="0" view="pageBreakPreview" zoomScale="145" zoomScaleNormal="100" zoomScaleSheetLayoutView="145" zoomScalePageLayoutView="160" workbookViewId="0">
      <selection activeCell="M27" sqref="M27"/>
    </sheetView>
  </sheetViews>
  <sheetFormatPr defaultRowHeight="11.25"/>
  <cols>
    <col min="1" max="1" width="22.66406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3" ht="15.75" customHeight="1">
      <c r="A1" s="987" t="s">
        <v>284</v>
      </c>
      <c r="B1" s="981" t="s">
        <v>57</v>
      </c>
      <c r="C1" s="983" t="str">
        <f>+'19. ANEXOI-2'!C1:F1</f>
        <v>ENERGÍA PRODUCIDA SETIEMBRE 2018</v>
      </c>
      <c r="D1" s="983"/>
      <c r="E1" s="983"/>
      <c r="F1" s="983"/>
      <c r="G1" s="816" t="s">
        <v>314</v>
      </c>
      <c r="H1" s="264"/>
      <c r="I1" s="264"/>
      <c r="J1" s="264"/>
      <c r="K1" s="264"/>
    </row>
    <row r="2" spans="1:13" ht="11.25" customHeight="1">
      <c r="A2" s="987"/>
      <c r="B2" s="981"/>
      <c r="C2" s="984" t="s">
        <v>315</v>
      </c>
      <c r="D2" s="984"/>
      <c r="E2" s="984"/>
      <c r="F2" s="985" t="str">
        <f>"TOTAL 
"&amp;UPPER('1. Resumen'!Q4)</f>
        <v>TOTAL 
SETIEMBRE</v>
      </c>
      <c r="G2" s="817" t="s">
        <v>316</v>
      </c>
      <c r="H2" s="253"/>
      <c r="I2" s="253"/>
      <c r="J2" s="253"/>
      <c r="K2" s="253"/>
      <c r="L2" s="254"/>
    </row>
    <row r="3" spans="1:13" ht="11.25" customHeight="1">
      <c r="A3" s="987"/>
      <c r="B3" s="981"/>
      <c r="C3" s="818" t="s">
        <v>238</v>
      </c>
      <c r="D3" s="818" t="s">
        <v>239</v>
      </c>
      <c r="E3" s="818" t="s">
        <v>317</v>
      </c>
      <c r="F3" s="986"/>
      <c r="G3" s="817">
        <v>2018</v>
      </c>
      <c r="H3" s="256"/>
      <c r="I3" s="255"/>
      <c r="J3" s="255"/>
      <c r="K3" s="255"/>
      <c r="L3" s="254"/>
    </row>
    <row r="4" spans="1:13" ht="11.25" customHeight="1">
      <c r="A4" s="988"/>
      <c r="B4" s="989"/>
      <c r="C4" s="819" t="s">
        <v>318</v>
      </c>
      <c r="D4" s="819" t="s">
        <v>318</v>
      </c>
      <c r="E4" s="819" t="s">
        <v>318</v>
      </c>
      <c r="F4" s="819" t="s">
        <v>318</v>
      </c>
      <c r="G4" s="820" t="s">
        <v>222</v>
      </c>
      <c r="H4" s="256"/>
      <c r="I4" s="256"/>
      <c r="J4" s="256"/>
      <c r="K4" s="256"/>
      <c r="L4" s="12"/>
    </row>
    <row r="5" spans="1:13" s="507" customFormat="1" ht="9" customHeight="1">
      <c r="A5" s="701" t="s">
        <v>277</v>
      </c>
      <c r="B5" s="697" t="s">
        <v>68</v>
      </c>
      <c r="C5" s="699"/>
      <c r="D5" s="699"/>
      <c r="E5" s="699">
        <v>1398.2985524999999</v>
      </c>
      <c r="F5" s="699">
        <v>1398.2985524999999</v>
      </c>
      <c r="G5" s="700">
        <v>40711.809252499996</v>
      </c>
      <c r="H5" s="702"/>
      <c r="I5" s="702"/>
      <c r="J5" s="702"/>
      <c r="K5" s="702"/>
      <c r="L5" s="702"/>
      <c r="M5" s="702"/>
    </row>
    <row r="6" spans="1:13" s="507" customFormat="1" ht="9" customHeight="1">
      <c r="A6" s="701"/>
      <c r="B6" s="697" t="s">
        <v>67</v>
      </c>
      <c r="C6" s="699"/>
      <c r="D6" s="699"/>
      <c r="E6" s="699">
        <v>1571.8242574999999</v>
      </c>
      <c r="F6" s="699">
        <v>1571.8242574999999</v>
      </c>
      <c r="G6" s="700">
        <v>42992.646495000001</v>
      </c>
      <c r="H6" s="702"/>
      <c r="I6" s="702"/>
      <c r="J6" s="702"/>
      <c r="K6" s="702"/>
      <c r="L6" s="702"/>
      <c r="M6" s="702"/>
    </row>
    <row r="7" spans="1:13" s="507" customFormat="1" ht="9" customHeight="1">
      <c r="A7" s="701"/>
      <c r="B7" s="697" t="s">
        <v>71</v>
      </c>
      <c r="C7" s="699"/>
      <c r="D7" s="699"/>
      <c r="E7" s="699">
        <v>910.80538750000005</v>
      </c>
      <c r="F7" s="699">
        <v>910.80538750000005</v>
      </c>
      <c r="G7" s="700">
        <v>22997.783600000002</v>
      </c>
      <c r="H7" s="702"/>
      <c r="I7" s="702"/>
      <c r="J7" s="702"/>
      <c r="K7" s="702"/>
      <c r="L7" s="702"/>
      <c r="M7" s="702"/>
    </row>
    <row r="8" spans="1:13" s="507" customFormat="1" ht="9" customHeight="1">
      <c r="A8" s="701"/>
      <c r="B8" s="697" t="s">
        <v>70</v>
      </c>
      <c r="C8" s="699"/>
      <c r="D8" s="699"/>
      <c r="E8" s="699">
        <v>1126.4236475</v>
      </c>
      <c r="F8" s="699">
        <v>1126.4236475</v>
      </c>
      <c r="G8" s="700">
        <v>25570.297485000003</v>
      </c>
      <c r="H8" s="702"/>
      <c r="I8" s="702"/>
      <c r="J8" s="702"/>
      <c r="K8" s="702"/>
      <c r="L8" s="702"/>
      <c r="M8" s="702"/>
    </row>
    <row r="9" spans="1:13" s="507" customFormat="1" ht="9" customHeight="1">
      <c r="A9" s="855" t="s">
        <v>414</v>
      </c>
      <c r="B9" s="856"/>
      <c r="C9" s="858"/>
      <c r="D9" s="858"/>
      <c r="E9" s="858">
        <v>5007.3518450000001</v>
      </c>
      <c r="F9" s="858">
        <v>5007.3518450000001</v>
      </c>
      <c r="G9" s="859">
        <v>132272.53683250002</v>
      </c>
      <c r="H9" s="702"/>
      <c r="I9" s="702"/>
      <c r="J9" s="702"/>
      <c r="K9" s="702"/>
      <c r="L9" s="702"/>
      <c r="M9" s="702"/>
    </row>
    <row r="10" spans="1:13" s="507" customFormat="1" ht="9" customHeight="1">
      <c r="A10" s="701" t="s">
        <v>107</v>
      </c>
      <c r="B10" s="697" t="s">
        <v>415</v>
      </c>
      <c r="C10" s="699"/>
      <c r="D10" s="699">
        <v>20172.410260000001</v>
      </c>
      <c r="E10" s="699"/>
      <c r="F10" s="699">
        <v>20172.410260000001</v>
      </c>
      <c r="G10" s="700">
        <v>178969.2283625</v>
      </c>
      <c r="H10" s="702"/>
      <c r="I10" s="702"/>
      <c r="J10" s="702"/>
      <c r="K10" s="702"/>
      <c r="L10" s="702"/>
      <c r="M10" s="702"/>
    </row>
    <row r="11" spans="1:13" s="507" customFormat="1" ht="9" customHeight="1">
      <c r="A11" s="855" t="s">
        <v>416</v>
      </c>
      <c r="B11" s="856"/>
      <c r="C11" s="858"/>
      <c r="D11" s="858">
        <v>20172.410260000001</v>
      </c>
      <c r="E11" s="858"/>
      <c r="F11" s="858">
        <v>20172.410260000001</v>
      </c>
      <c r="G11" s="859">
        <v>178969.2283625</v>
      </c>
      <c r="H11" s="702"/>
      <c r="I11" s="702"/>
      <c r="J11" s="702"/>
      <c r="K11" s="702"/>
      <c r="L11" s="702"/>
      <c r="M11" s="702"/>
    </row>
    <row r="12" spans="1:13" s="507" customFormat="1" ht="9" customHeight="1">
      <c r="A12" s="701" t="s">
        <v>125</v>
      </c>
      <c r="B12" s="697" t="s">
        <v>417</v>
      </c>
      <c r="C12" s="699"/>
      <c r="D12" s="699">
        <v>0</v>
      </c>
      <c r="E12" s="699"/>
      <c r="F12" s="699">
        <v>0</v>
      </c>
      <c r="G12" s="700">
        <v>4612.6479449999997</v>
      </c>
      <c r="H12" s="702"/>
      <c r="I12" s="702"/>
      <c r="J12" s="702"/>
      <c r="K12" s="702"/>
      <c r="L12" s="702"/>
      <c r="M12" s="702"/>
    </row>
    <row r="13" spans="1:13" s="507" customFormat="1" ht="9" customHeight="1">
      <c r="A13" s="855" t="s">
        <v>418</v>
      </c>
      <c r="B13" s="856"/>
      <c r="C13" s="858"/>
      <c r="D13" s="858">
        <v>0</v>
      </c>
      <c r="E13" s="858"/>
      <c r="F13" s="858">
        <v>0</v>
      </c>
      <c r="G13" s="859">
        <v>4612.6479449999997</v>
      </c>
      <c r="H13" s="702"/>
      <c r="I13" s="702"/>
      <c r="J13" s="702"/>
      <c r="K13" s="702"/>
      <c r="L13" s="702"/>
      <c r="M13" s="702"/>
    </row>
    <row r="14" spans="1:13" s="507" customFormat="1" ht="9" customHeight="1">
      <c r="A14" s="701" t="s">
        <v>118</v>
      </c>
      <c r="B14" s="697" t="s">
        <v>72</v>
      </c>
      <c r="C14" s="699"/>
      <c r="D14" s="699"/>
      <c r="E14" s="699">
        <v>3433.1638524999998</v>
      </c>
      <c r="F14" s="699">
        <v>3433.1638524999998</v>
      </c>
      <c r="G14" s="700">
        <v>40511.375367499997</v>
      </c>
      <c r="H14" s="702"/>
      <c r="I14" s="702"/>
      <c r="J14" s="702"/>
      <c r="K14" s="702"/>
      <c r="L14" s="702"/>
      <c r="M14" s="702"/>
    </row>
    <row r="15" spans="1:13" s="507" customFormat="1" ht="9" customHeight="1">
      <c r="A15" s="855" t="s">
        <v>419</v>
      </c>
      <c r="B15" s="856"/>
      <c r="C15" s="858"/>
      <c r="D15" s="858"/>
      <c r="E15" s="858">
        <v>3433.1638524999998</v>
      </c>
      <c r="F15" s="858">
        <v>3433.1638524999998</v>
      </c>
      <c r="G15" s="859">
        <v>40511.375367499997</v>
      </c>
      <c r="H15" s="702"/>
      <c r="I15" s="702"/>
      <c r="J15" s="702"/>
      <c r="K15" s="702"/>
      <c r="L15" s="702"/>
      <c r="M15" s="702"/>
    </row>
    <row r="16" spans="1:13" s="507" customFormat="1" ht="9" customHeight="1">
      <c r="A16" s="701" t="s">
        <v>95</v>
      </c>
      <c r="B16" s="697" t="s">
        <v>420</v>
      </c>
      <c r="C16" s="699">
        <v>17021.549997499998</v>
      </c>
      <c r="D16" s="699"/>
      <c r="E16" s="699"/>
      <c r="F16" s="699">
        <v>17021.549997499998</v>
      </c>
      <c r="G16" s="700">
        <v>221850.29767999999</v>
      </c>
      <c r="H16" s="702"/>
      <c r="I16" s="702"/>
      <c r="J16" s="702"/>
      <c r="K16" s="702"/>
      <c r="L16" s="702"/>
      <c r="M16" s="702"/>
    </row>
    <row r="17" spans="1:13" s="507" customFormat="1" ht="9" customHeight="1">
      <c r="A17" s="701"/>
      <c r="B17" s="697" t="s">
        <v>421</v>
      </c>
      <c r="C17" s="699">
        <v>23067.313559999999</v>
      </c>
      <c r="D17" s="699"/>
      <c r="E17" s="699"/>
      <c r="F17" s="699">
        <v>23067.313559999999</v>
      </c>
      <c r="G17" s="700">
        <v>621546.06787250005</v>
      </c>
      <c r="H17" s="702"/>
      <c r="I17" s="702"/>
      <c r="J17" s="702"/>
      <c r="K17" s="702"/>
      <c r="L17" s="702"/>
      <c r="M17" s="702"/>
    </row>
    <row r="18" spans="1:13" s="507" customFormat="1" ht="9" customHeight="1">
      <c r="A18" s="701"/>
      <c r="B18" s="697" t="s">
        <v>422</v>
      </c>
      <c r="C18" s="699">
        <v>4929.0061249999999</v>
      </c>
      <c r="D18" s="699"/>
      <c r="E18" s="699"/>
      <c r="F18" s="699">
        <v>4929.0061249999999</v>
      </c>
      <c r="G18" s="700">
        <v>84870.833620000005</v>
      </c>
      <c r="H18" s="702"/>
      <c r="I18" s="702"/>
      <c r="J18" s="702"/>
      <c r="K18" s="702"/>
      <c r="L18" s="702"/>
      <c r="M18" s="702"/>
    </row>
    <row r="19" spans="1:13" s="507" customFormat="1" ht="9" customHeight="1">
      <c r="A19" s="701"/>
      <c r="B19" s="697" t="s">
        <v>423</v>
      </c>
      <c r="C19" s="699">
        <v>146.435</v>
      </c>
      <c r="D19" s="699"/>
      <c r="E19" s="699"/>
      <c r="F19" s="699">
        <v>146.435</v>
      </c>
      <c r="G19" s="700">
        <v>478.09662000000003</v>
      </c>
      <c r="H19" s="702"/>
      <c r="I19" s="702"/>
      <c r="J19" s="702"/>
      <c r="K19" s="702"/>
      <c r="L19" s="702"/>
      <c r="M19" s="702"/>
    </row>
    <row r="20" spans="1:13" s="507" customFormat="1" ht="9" customHeight="1">
      <c r="A20" s="701"/>
      <c r="B20" s="697" t="s">
        <v>424</v>
      </c>
      <c r="C20" s="699">
        <v>13796.346425</v>
      </c>
      <c r="D20" s="699"/>
      <c r="E20" s="699"/>
      <c r="F20" s="699">
        <v>13796.346425</v>
      </c>
      <c r="G20" s="700">
        <v>174121.37157250001</v>
      </c>
      <c r="H20" s="702"/>
      <c r="I20" s="702"/>
      <c r="J20" s="702"/>
      <c r="K20" s="702"/>
      <c r="L20" s="702"/>
      <c r="M20" s="702"/>
    </row>
    <row r="21" spans="1:13" s="507" customFormat="1" ht="9" customHeight="1">
      <c r="A21" s="701"/>
      <c r="B21" s="697" t="s">
        <v>425</v>
      </c>
      <c r="C21" s="699">
        <v>2150.8631999999998</v>
      </c>
      <c r="D21" s="699"/>
      <c r="E21" s="699"/>
      <c r="F21" s="699">
        <v>2150.8631999999998</v>
      </c>
      <c r="G21" s="700">
        <v>19116.930240000002</v>
      </c>
      <c r="H21" s="702"/>
      <c r="I21" s="702"/>
      <c r="J21" s="702"/>
      <c r="K21" s="702"/>
      <c r="L21" s="702"/>
      <c r="M21" s="702"/>
    </row>
    <row r="22" spans="1:13" s="507" customFormat="1" ht="9" customHeight="1">
      <c r="A22" s="701"/>
      <c r="B22" s="697" t="s">
        <v>426</v>
      </c>
      <c r="C22" s="699">
        <v>5907.2466600000007</v>
      </c>
      <c r="D22" s="699"/>
      <c r="E22" s="699"/>
      <c r="F22" s="699">
        <v>5907.2466600000007</v>
      </c>
      <c r="G22" s="700">
        <v>45649.939785000002</v>
      </c>
      <c r="H22" s="702"/>
      <c r="I22" s="702"/>
      <c r="J22" s="702"/>
      <c r="K22" s="702"/>
      <c r="L22" s="702"/>
      <c r="M22" s="702"/>
    </row>
    <row r="23" spans="1:13" s="507" customFormat="1" ht="9" customHeight="1">
      <c r="A23" s="701"/>
      <c r="B23" s="697" t="s">
        <v>427</v>
      </c>
      <c r="C23" s="699">
        <v>4148.91525</v>
      </c>
      <c r="D23" s="699"/>
      <c r="E23" s="699"/>
      <c r="F23" s="699">
        <v>4148.91525</v>
      </c>
      <c r="G23" s="700">
        <v>27010.005597500003</v>
      </c>
      <c r="H23" s="702"/>
      <c r="I23" s="702"/>
      <c r="J23" s="702"/>
      <c r="K23" s="702"/>
      <c r="L23" s="702"/>
      <c r="M23" s="702"/>
    </row>
    <row r="24" spans="1:13" s="507" customFormat="1" ht="9" customHeight="1">
      <c r="A24" s="701"/>
      <c r="B24" s="697" t="s">
        <v>428</v>
      </c>
      <c r="C24" s="699">
        <v>805.29532499999993</v>
      </c>
      <c r="D24" s="699"/>
      <c r="E24" s="699"/>
      <c r="F24" s="699">
        <v>805.29532499999993</v>
      </c>
      <c r="G24" s="700">
        <v>15074.4516625</v>
      </c>
      <c r="H24" s="702"/>
      <c r="I24" s="702"/>
      <c r="J24" s="702"/>
      <c r="K24" s="702"/>
      <c r="L24" s="702"/>
      <c r="M24" s="702"/>
    </row>
    <row r="25" spans="1:13" s="507" customFormat="1" ht="9" customHeight="1">
      <c r="A25" s="701"/>
      <c r="B25" s="697" t="s">
        <v>429</v>
      </c>
      <c r="C25" s="699">
        <v>193.8458</v>
      </c>
      <c r="D25" s="699"/>
      <c r="E25" s="699"/>
      <c r="F25" s="699">
        <v>193.8458</v>
      </c>
      <c r="G25" s="700">
        <v>1225.1105200000002</v>
      </c>
      <c r="H25" s="702"/>
      <c r="I25" s="702"/>
      <c r="J25" s="702"/>
      <c r="K25" s="702"/>
      <c r="L25" s="702"/>
      <c r="M25" s="702"/>
    </row>
    <row r="26" spans="1:13" s="507" customFormat="1" ht="9" customHeight="1">
      <c r="A26" s="701"/>
      <c r="B26" s="697" t="s">
        <v>430</v>
      </c>
      <c r="C26" s="699">
        <v>165.83398</v>
      </c>
      <c r="D26" s="699"/>
      <c r="E26" s="699"/>
      <c r="F26" s="699">
        <v>165.83398</v>
      </c>
      <c r="G26" s="700">
        <v>1211.61545</v>
      </c>
      <c r="H26" s="702"/>
      <c r="I26" s="702"/>
      <c r="J26" s="702"/>
      <c r="K26" s="702"/>
      <c r="L26" s="702"/>
      <c r="M26" s="702"/>
    </row>
    <row r="27" spans="1:13" s="507" customFormat="1" ht="9" customHeight="1">
      <c r="A27" s="701"/>
      <c r="B27" s="697" t="s">
        <v>431</v>
      </c>
      <c r="C27" s="699">
        <v>53510.941617499993</v>
      </c>
      <c r="D27" s="699"/>
      <c r="E27" s="699"/>
      <c r="F27" s="699">
        <v>53510.941617499993</v>
      </c>
      <c r="G27" s="700">
        <v>600065.37639500003</v>
      </c>
      <c r="H27" s="702"/>
      <c r="I27" s="702"/>
      <c r="J27" s="702"/>
      <c r="K27" s="702"/>
      <c r="L27" s="702"/>
      <c r="M27" s="702"/>
    </row>
    <row r="28" spans="1:13" s="507" customFormat="1" ht="9" customHeight="1">
      <c r="A28" s="855" t="s">
        <v>432</v>
      </c>
      <c r="B28" s="856"/>
      <c r="C28" s="858">
        <v>125843.59293999997</v>
      </c>
      <c r="D28" s="858"/>
      <c r="E28" s="858"/>
      <c r="F28" s="858">
        <v>125843.59293999997</v>
      </c>
      <c r="G28" s="859">
        <v>1812220.0970149999</v>
      </c>
      <c r="H28" s="702"/>
      <c r="I28" s="702"/>
      <c r="J28" s="702"/>
      <c r="K28" s="702"/>
      <c r="L28" s="702"/>
      <c r="M28" s="702"/>
    </row>
    <row r="29" spans="1:13" s="507" customFormat="1" ht="9" customHeight="1">
      <c r="A29" s="701" t="s">
        <v>114</v>
      </c>
      <c r="B29" s="697" t="s">
        <v>261</v>
      </c>
      <c r="C29" s="699"/>
      <c r="D29" s="699"/>
      <c r="E29" s="699">
        <v>4481.1652224999998</v>
      </c>
      <c r="F29" s="699">
        <v>4481.1652224999998</v>
      </c>
      <c r="G29" s="700">
        <v>34658.787935</v>
      </c>
      <c r="H29" s="702"/>
      <c r="I29" s="702"/>
      <c r="J29" s="702"/>
      <c r="K29" s="702"/>
      <c r="L29" s="702"/>
      <c r="M29" s="702"/>
    </row>
    <row r="30" spans="1:13" s="507" customFormat="1" ht="9" customHeight="1">
      <c r="A30" s="855" t="s">
        <v>433</v>
      </c>
      <c r="B30" s="856"/>
      <c r="C30" s="858"/>
      <c r="D30" s="858"/>
      <c r="E30" s="858">
        <v>4481.1652224999998</v>
      </c>
      <c r="F30" s="858">
        <v>4481.1652224999998</v>
      </c>
      <c r="G30" s="859">
        <v>34658.787935</v>
      </c>
      <c r="H30" s="702"/>
      <c r="I30" s="702"/>
      <c r="J30" s="702"/>
      <c r="K30" s="702"/>
      <c r="L30" s="702"/>
      <c r="M30" s="702"/>
    </row>
    <row r="31" spans="1:13" s="507" customFormat="1" ht="9" customHeight="1">
      <c r="A31" s="701" t="s">
        <v>105</v>
      </c>
      <c r="B31" s="697" t="s">
        <v>617</v>
      </c>
      <c r="C31" s="699"/>
      <c r="D31" s="699">
        <v>210443.38141999999</v>
      </c>
      <c r="E31" s="699"/>
      <c r="F31" s="699">
        <v>210443.38141999999</v>
      </c>
      <c r="G31" s="700">
        <v>1181502.4696275</v>
      </c>
      <c r="H31" s="702"/>
      <c r="I31" s="702"/>
      <c r="J31" s="702"/>
      <c r="K31" s="702"/>
      <c r="L31" s="702"/>
      <c r="M31" s="702"/>
    </row>
    <row r="32" spans="1:13" s="507" customFormat="1" ht="9" customHeight="1">
      <c r="A32" s="855" t="s">
        <v>434</v>
      </c>
      <c r="B32" s="856"/>
      <c r="C32" s="858"/>
      <c r="D32" s="858">
        <v>210443.38141999999</v>
      </c>
      <c r="E32" s="858"/>
      <c r="F32" s="858">
        <v>210443.38141999999</v>
      </c>
      <c r="G32" s="859">
        <v>1181502.4696275</v>
      </c>
      <c r="H32" s="702"/>
      <c r="I32" s="702"/>
      <c r="J32" s="702"/>
      <c r="K32" s="702"/>
      <c r="L32" s="702"/>
      <c r="M32" s="702"/>
    </row>
    <row r="33" spans="1:13" s="507" customFormat="1" ht="9" customHeight="1">
      <c r="A33" s="701" t="s">
        <v>110</v>
      </c>
      <c r="B33" s="697" t="s">
        <v>435</v>
      </c>
      <c r="C33" s="699"/>
      <c r="D33" s="699">
        <v>93527.719639999996</v>
      </c>
      <c r="E33" s="699"/>
      <c r="F33" s="699">
        <v>93527.719639999996</v>
      </c>
      <c r="G33" s="700">
        <v>334138.43624499999</v>
      </c>
      <c r="H33" s="702"/>
      <c r="I33" s="702"/>
      <c r="J33" s="702"/>
      <c r="K33" s="702"/>
      <c r="L33" s="702"/>
      <c r="M33" s="702"/>
    </row>
    <row r="34" spans="1:13" s="507" customFormat="1" ht="9" customHeight="1">
      <c r="A34" s="855" t="s">
        <v>436</v>
      </c>
      <c r="B34" s="856"/>
      <c r="C34" s="858"/>
      <c r="D34" s="858">
        <v>93527.719639999996</v>
      </c>
      <c r="E34" s="858"/>
      <c r="F34" s="858">
        <v>93527.719639999996</v>
      </c>
      <c r="G34" s="859">
        <v>334138.43624499999</v>
      </c>
      <c r="H34" s="702"/>
      <c r="I34" s="702"/>
      <c r="J34" s="702"/>
      <c r="K34" s="702"/>
      <c r="L34" s="702"/>
      <c r="M34" s="702"/>
    </row>
    <row r="35" spans="1:13" s="507" customFormat="1" ht="9" customHeight="1">
      <c r="A35" s="701" t="s">
        <v>511</v>
      </c>
      <c r="B35" s="697" t="s">
        <v>795</v>
      </c>
      <c r="C35" s="699"/>
      <c r="D35" s="699"/>
      <c r="E35" s="699">
        <v>12828.282440000001</v>
      </c>
      <c r="F35" s="699">
        <v>12828.282440000001</v>
      </c>
      <c r="G35" s="700">
        <v>91422.359729999996</v>
      </c>
      <c r="H35" s="702"/>
      <c r="I35" s="702"/>
      <c r="J35" s="702"/>
      <c r="K35" s="702"/>
      <c r="L35" s="702"/>
      <c r="M35" s="702"/>
    </row>
    <row r="36" spans="1:13" s="507" customFormat="1" ht="9" customHeight="1">
      <c r="A36" s="855" t="s">
        <v>513</v>
      </c>
      <c r="B36" s="856"/>
      <c r="C36" s="858"/>
      <c r="D36" s="858"/>
      <c r="E36" s="858">
        <v>12828.282440000001</v>
      </c>
      <c r="F36" s="858">
        <v>12828.282440000001</v>
      </c>
      <c r="G36" s="859">
        <v>91422.359729999996</v>
      </c>
      <c r="H36" s="702"/>
      <c r="I36" s="702"/>
      <c r="J36" s="702"/>
      <c r="K36" s="702"/>
      <c r="L36" s="702"/>
      <c r="M36" s="702"/>
    </row>
    <row r="37" spans="1:13" s="507" customFormat="1" ht="9" customHeight="1">
      <c r="A37" s="701" t="s">
        <v>586</v>
      </c>
      <c r="B37" s="697" t="s">
        <v>388</v>
      </c>
      <c r="C37" s="699">
        <v>9040.2914799999999</v>
      </c>
      <c r="D37" s="699"/>
      <c r="E37" s="699"/>
      <c r="F37" s="699">
        <v>9040.2914799999999</v>
      </c>
      <c r="G37" s="700">
        <v>112135.77111500001</v>
      </c>
      <c r="H37" s="702"/>
      <c r="I37" s="702"/>
      <c r="J37" s="702"/>
      <c r="K37" s="702"/>
      <c r="L37" s="702"/>
      <c r="M37" s="702"/>
    </row>
    <row r="38" spans="1:13" s="507" customFormat="1" ht="9" customHeight="1">
      <c r="A38" s="855" t="s">
        <v>536</v>
      </c>
      <c r="B38" s="856"/>
      <c r="C38" s="858">
        <v>9040.2914799999999</v>
      </c>
      <c r="D38" s="858"/>
      <c r="E38" s="858"/>
      <c r="F38" s="858">
        <v>9040.2914799999999</v>
      </c>
      <c r="G38" s="859">
        <v>112135.77111500001</v>
      </c>
      <c r="H38" s="702"/>
      <c r="I38" s="702"/>
      <c r="J38" s="702"/>
      <c r="K38" s="702"/>
      <c r="L38" s="702"/>
      <c r="M38" s="702"/>
    </row>
    <row r="39" spans="1:13" s="507" customFormat="1" ht="9" customHeight="1">
      <c r="A39" s="701" t="s">
        <v>603</v>
      </c>
      <c r="B39" s="697" t="s">
        <v>797</v>
      </c>
      <c r="C39" s="699">
        <v>1.302</v>
      </c>
      <c r="D39" s="699"/>
      <c r="E39" s="699"/>
      <c r="F39" s="699">
        <v>1.302</v>
      </c>
      <c r="G39" s="700">
        <v>266.42775</v>
      </c>
      <c r="H39" s="702"/>
      <c r="I39" s="702"/>
      <c r="J39" s="702"/>
      <c r="K39" s="702"/>
      <c r="L39" s="702"/>
      <c r="M39" s="702"/>
    </row>
    <row r="40" spans="1:13" s="507" customFormat="1" ht="9" customHeight="1">
      <c r="A40" s="855" t="s">
        <v>610</v>
      </c>
      <c r="B40" s="856"/>
      <c r="C40" s="858">
        <v>1.302</v>
      </c>
      <c r="D40" s="858"/>
      <c r="E40" s="858"/>
      <c r="F40" s="858">
        <v>1.302</v>
      </c>
      <c r="G40" s="859">
        <v>266.42775</v>
      </c>
      <c r="H40" s="702"/>
      <c r="I40" s="702"/>
      <c r="J40" s="702"/>
      <c r="K40" s="702"/>
      <c r="L40" s="702"/>
      <c r="M40" s="702"/>
    </row>
    <row r="42" spans="1:13">
      <c r="A42" s="821" t="s">
        <v>437</v>
      </c>
      <c r="B42" s="822"/>
      <c r="C42" s="823">
        <v>1580541.3608825004</v>
      </c>
      <c r="D42" s="823">
        <v>2259998.2973450003</v>
      </c>
      <c r="E42" s="823">
        <v>302819.09407999995</v>
      </c>
      <c r="F42" s="823">
        <v>4143358.7523075016</v>
      </c>
      <c r="G42" s="823">
        <v>37686701.634452514</v>
      </c>
    </row>
    <row r="43" spans="1:13">
      <c r="A43" s="824" t="s">
        <v>438</v>
      </c>
      <c r="B43" s="825"/>
      <c r="C43" s="826"/>
      <c r="D43" s="826"/>
      <c r="E43" s="827"/>
      <c r="F43" s="828">
        <f>+'4. Tipo Recurso'!D21*1000</f>
        <v>6916.9657400000006</v>
      </c>
      <c r="G43" s="828">
        <f>+'4. Tipo Recurso'!G21*1000</f>
        <v>21200.75765</v>
      </c>
    </row>
    <row r="44" spans="1:13">
      <c r="A44" s="829" t="s">
        <v>439</v>
      </c>
      <c r="B44" s="830"/>
      <c r="C44" s="831"/>
      <c r="D44" s="831"/>
      <c r="E44" s="832"/>
      <c r="F44" s="828">
        <v>0</v>
      </c>
      <c r="G44" s="828">
        <v>0</v>
      </c>
    </row>
    <row r="45" spans="1:13" ht="6.75" customHeight="1"/>
    <row r="46" spans="1:13" ht="23.25" customHeight="1">
      <c r="A46" s="990" t="s">
        <v>440</v>
      </c>
      <c r="B46" s="990"/>
      <c r="C46" s="990"/>
      <c r="D46" s="990"/>
      <c r="E46" s="990"/>
      <c r="F46" s="990"/>
      <c r="G46" s="990"/>
    </row>
    <row r="47" spans="1:13" ht="8.25" customHeight="1"/>
    <row r="48" spans="1:13">
      <c r="A48" s="702" t="s">
        <v>551</v>
      </c>
      <c r="B48" s="392"/>
      <c r="C48" s="392"/>
      <c r="D48" s="392"/>
      <c r="E48" s="392"/>
      <c r="F48" s="392"/>
    </row>
    <row r="49" spans="1:13" s="638" customFormat="1">
      <c r="A49" s="702" t="s">
        <v>578</v>
      </c>
      <c r="B49" s="392"/>
      <c r="C49" s="392"/>
      <c r="D49" s="392"/>
      <c r="E49" s="392"/>
      <c r="F49" s="392"/>
      <c r="G49" s="50"/>
      <c r="H49" s="50"/>
      <c r="I49" s="50"/>
      <c r="J49" s="50"/>
      <c r="K49" s="50"/>
      <c r="L49" s="50"/>
      <c r="M49" s="50"/>
    </row>
    <row r="50" spans="1:13">
      <c r="A50" s="702" t="s">
        <v>579</v>
      </c>
      <c r="B50" s="392"/>
      <c r="C50" s="392"/>
      <c r="D50" s="392"/>
      <c r="E50" s="392"/>
      <c r="F50" s="392"/>
    </row>
    <row r="51" spans="1:13">
      <c r="A51" s="702" t="s">
        <v>580</v>
      </c>
      <c r="B51" s="392"/>
      <c r="C51" s="392"/>
      <c r="D51" s="392"/>
      <c r="E51" s="392"/>
      <c r="F51" s="392"/>
    </row>
    <row r="52" spans="1:13">
      <c r="A52" s="702" t="s">
        <v>581</v>
      </c>
      <c r="B52" s="392"/>
      <c r="C52" s="392"/>
      <c r="D52" s="392"/>
      <c r="E52" s="392"/>
      <c r="F52" s="392"/>
    </row>
    <row r="53" spans="1:13">
      <c r="A53" s="702" t="s">
        <v>582</v>
      </c>
      <c r="B53" s="392"/>
      <c r="C53" s="392"/>
      <c r="D53" s="392"/>
      <c r="E53" s="392"/>
      <c r="F53" s="392"/>
    </row>
    <row r="54" spans="1:13">
      <c r="A54" s="702" t="s">
        <v>583</v>
      </c>
      <c r="B54" s="392"/>
      <c r="C54" s="392"/>
      <c r="D54" s="392"/>
      <c r="E54" s="392"/>
      <c r="F54" s="392"/>
    </row>
    <row r="55" spans="1:13">
      <c r="A55" s="702" t="s">
        <v>584</v>
      </c>
      <c r="B55" s="392"/>
      <c r="C55" s="392"/>
      <c r="D55" s="392"/>
      <c r="E55" s="392"/>
      <c r="F55" s="392"/>
    </row>
    <row r="56" spans="1:13">
      <c r="A56" s="702" t="s">
        <v>585</v>
      </c>
      <c r="B56" s="392"/>
      <c r="C56" s="392"/>
      <c r="D56" s="392"/>
      <c r="E56" s="392"/>
      <c r="F56" s="392"/>
    </row>
    <row r="57" spans="1:13">
      <c r="A57" s="702" t="s">
        <v>611</v>
      </c>
      <c r="B57" s="392"/>
      <c r="C57" s="392"/>
      <c r="D57" s="392"/>
      <c r="E57" s="392"/>
      <c r="F57" s="392"/>
    </row>
    <row r="58" spans="1:13">
      <c r="A58" s="702" t="s">
        <v>612</v>
      </c>
      <c r="B58" s="392"/>
      <c r="C58" s="392"/>
      <c r="D58" s="392"/>
      <c r="E58" s="392"/>
      <c r="F58" s="392"/>
    </row>
    <row r="59" spans="1:13">
      <c r="A59" s="702" t="s">
        <v>613</v>
      </c>
      <c r="B59" s="392"/>
      <c r="C59" s="392"/>
      <c r="D59" s="392"/>
      <c r="E59" s="392"/>
      <c r="F59" s="392"/>
    </row>
    <row r="60" spans="1:13">
      <c r="A60" s="702" t="s">
        <v>796</v>
      </c>
    </row>
  </sheetData>
  <mergeCells count="6">
    <mergeCell ref="A46:G46"/>
    <mergeCell ref="A1:A4"/>
    <mergeCell ref="B1:B4"/>
    <mergeCell ref="C1:F1"/>
    <mergeCell ref="C2:E2"/>
    <mergeCell ref="F2:F3"/>
  </mergeCells>
  <conditionalFormatting sqref="J5:K40">
    <cfRule type="cellIs" dxfId="6" priority="1" operator="greaterThan">
      <formula>0</formula>
    </cfRule>
  </conditionalFormatting>
  <pageMargins left="0.7" right="0.46474358974358976" top="0.86956521739130432" bottom="0.61458333333333337" header="0.3" footer="0.3"/>
  <pageSetup orientation="portrait" r:id="rId1"/>
  <headerFooter>
    <oddHeader>&amp;R&amp;7Informe de la Operación Mensual - Setiembre 2018
INFSGI-MES-09-2018
11/10/2018
Versión: 01</oddHeader>
    <oddFooter>&amp;L&amp;7COES, 2018&amp;C20&amp;R&amp;7Dirección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M180"/>
  <sheetViews>
    <sheetView showGridLines="0" view="pageBreakPreview" topLeftCell="B1" zoomScale="130" zoomScaleNormal="100" zoomScaleSheetLayoutView="130" zoomScalePageLayoutView="160" workbookViewId="0">
      <selection activeCell="M27" sqref="M27"/>
    </sheetView>
  </sheetViews>
  <sheetFormatPr defaultRowHeight="9"/>
  <cols>
    <col min="1" max="1" width="28.6640625" style="392" customWidth="1"/>
    <col min="2" max="2" width="22.1640625" style="392" customWidth="1"/>
    <col min="3" max="4" width="17.6640625" style="392" customWidth="1"/>
    <col min="5" max="5" width="15.1640625" style="392" customWidth="1"/>
    <col min="6" max="6" width="13.33203125" style="392" customWidth="1"/>
    <col min="7" max="9" width="9.33203125" style="392"/>
    <col min="10" max="11" width="9.33203125" style="392" customWidth="1"/>
    <col min="12" max="13" width="9.33203125" style="392"/>
    <col min="14" max="16384" width="9.33203125" style="393"/>
  </cols>
  <sheetData>
    <row r="1" spans="1:13" ht="11.25" customHeight="1">
      <c r="A1" s="391" t="s">
        <v>451</v>
      </c>
    </row>
    <row r="2" spans="1:13" s="507" customFormat="1" ht="11.25" customHeight="1">
      <c r="A2" s="991" t="s">
        <v>284</v>
      </c>
      <c r="B2" s="994" t="s">
        <v>57</v>
      </c>
      <c r="C2" s="994" t="s">
        <v>452</v>
      </c>
      <c r="D2" s="994"/>
      <c r="E2" s="994"/>
      <c r="F2" s="997"/>
      <c r="G2" s="708"/>
      <c r="H2" s="708"/>
      <c r="I2" s="708"/>
      <c r="J2" s="708"/>
      <c r="K2" s="708"/>
      <c r="L2" s="702"/>
      <c r="M2" s="702"/>
    </row>
    <row r="3" spans="1:13" s="507" customFormat="1" ht="11.25" customHeight="1">
      <c r="A3" s="992"/>
      <c r="B3" s="995"/>
      <c r="C3" s="833" t="str">
        <f>UPPER('1. Resumen'!Q4)&amp;" "&amp;'1. Resumen'!Q5</f>
        <v>SETIEMBRE 2018</v>
      </c>
      <c r="D3" s="834" t="str">
        <f>UPPER('1. Resumen'!Q4)&amp;" "&amp;'1. Resumen'!Q5-1</f>
        <v>SETIEMBRE 2017</v>
      </c>
      <c r="E3" s="835">
        <v>2018</v>
      </c>
      <c r="F3" s="836" t="s">
        <v>450</v>
      </c>
      <c r="G3" s="709"/>
      <c r="H3" s="709"/>
      <c r="I3" s="709"/>
      <c r="J3" s="709"/>
      <c r="K3" s="709"/>
      <c r="L3" s="710"/>
      <c r="M3" s="702"/>
    </row>
    <row r="4" spans="1:13" s="507" customFormat="1" ht="11.25" customHeight="1">
      <c r="A4" s="992"/>
      <c r="B4" s="995"/>
      <c r="C4" s="837">
        <f>+'8. Max Potencia'!D8</f>
        <v>43369.875</v>
      </c>
      <c r="D4" s="837">
        <f>+'8. Max Potencia'!E8</f>
        <v>42998.78125</v>
      </c>
      <c r="E4" s="837">
        <f>+'8. Max Potencia'!G8</f>
        <v>43214.78125</v>
      </c>
      <c r="F4" s="838" t="s">
        <v>441</v>
      </c>
      <c r="G4" s="711"/>
      <c r="H4" s="711"/>
      <c r="I4" s="712"/>
      <c r="J4" s="712"/>
      <c r="K4" s="712"/>
      <c r="L4" s="710"/>
      <c r="M4" s="702"/>
    </row>
    <row r="5" spans="1:13" s="507" customFormat="1" ht="11.25" customHeight="1">
      <c r="A5" s="993"/>
      <c r="B5" s="996"/>
      <c r="C5" s="839">
        <f>+'8. Max Potencia'!D9</f>
        <v>43369.875</v>
      </c>
      <c r="D5" s="839">
        <f>+'8. Max Potencia'!E9</f>
        <v>42998.78125</v>
      </c>
      <c r="E5" s="839">
        <f>+'8. Max Potencia'!G9</f>
        <v>43214.78125</v>
      </c>
      <c r="F5" s="840" t="s">
        <v>442</v>
      </c>
      <c r="G5" s="711"/>
      <c r="H5" s="711"/>
      <c r="I5" s="711"/>
      <c r="J5" s="711"/>
      <c r="K5" s="711"/>
      <c r="L5" s="713"/>
      <c r="M5" s="702"/>
    </row>
    <row r="6" spans="1:13" s="507" customFormat="1" ht="10.5" customHeight="1">
      <c r="A6" s="691" t="s">
        <v>127</v>
      </c>
      <c r="B6" s="714" t="s">
        <v>91</v>
      </c>
      <c r="C6" s="715">
        <v>0</v>
      </c>
      <c r="D6" s="715">
        <v>0</v>
      </c>
      <c r="E6" s="715">
        <v>0</v>
      </c>
      <c r="F6" s="716" t="str">
        <f>+IF(D6=0,"",C6/D6-1)</f>
        <v/>
      </c>
      <c r="G6" s="711"/>
      <c r="H6" s="711"/>
      <c r="I6" s="711"/>
      <c r="J6" s="711"/>
      <c r="K6" s="711"/>
      <c r="L6" s="717"/>
      <c r="M6" s="702"/>
    </row>
    <row r="7" spans="1:13" s="507" customFormat="1" ht="10.5" customHeight="1">
      <c r="A7" s="855" t="s">
        <v>319</v>
      </c>
      <c r="B7" s="856"/>
      <c r="C7" s="860">
        <v>0</v>
      </c>
      <c r="D7" s="860">
        <v>0</v>
      </c>
      <c r="E7" s="860">
        <v>0</v>
      </c>
      <c r="F7" s="861" t="str">
        <f t="shared" ref="F7:F65" si="0">+IF(D7=0,"",C7/D7-1)</f>
        <v/>
      </c>
      <c r="G7" s="711"/>
      <c r="H7" s="711"/>
      <c r="I7" s="711"/>
      <c r="J7" s="711"/>
      <c r="K7" s="711"/>
      <c r="L7" s="718"/>
      <c r="M7" s="702"/>
    </row>
    <row r="8" spans="1:13" s="507" customFormat="1" ht="10.5" customHeight="1">
      <c r="A8" s="691" t="s">
        <v>126</v>
      </c>
      <c r="B8" s="714" t="s">
        <v>66</v>
      </c>
      <c r="C8" s="715">
        <v>0</v>
      </c>
      <c r="D8" s="715">
        <v>0</v>
      </c>
      <c r="E8" s="715">
        <v>19.946739999999998</v>
      </c>
      <c r="F8" s="728" t="str">
        <f t="shared" si="0"/>
        <v/>
      </c>
      <c r="G8" s="711"/>
      <c r="H8" s="711"/>
      <c r="I8" s="711"/>
      <c r="J8" s="711"/>
      <c r="K8" s="711"/>
      <c r="L8" s="722"/>
      <c r="M8" s="702"/>
    </row>
    <row r="9" spans="1:13" s="507" customFormat="1" ht="10.5" customHeight="1">
      <c r="A9" s="855" t="s">
        <v>320</v>
      </c>
      <c r="B9" s="856"/>
      <c r="C9" s="860">
        <v>0</v>
      </c>
      <c r="D9" s="860">
        <v>0</v>
      </c>
      <c r="E9" s="860">
        <v>19.946739999999998</v>
      </c>
      <c r="F9" s="861" t="str">
        <f t="shared" si="0"/>
        <v/>
      </c>
      <c r="G9" s="711"/>
      <c r="H9" s="711"/>
      <c r="I9" s="711"/>
      <c r="J9" s="711"/>
      <c r="K9" s="711"/>
      <c r="L9" s="718"/>
      <c r="M9" s="702"/>
    </row>
    <row r="10" spans="1:13" s="507" customFormat="1" ht="10.5" customHeight="1">
      <c r="A10" s="701" t="s">
        <v>111</v>
      </c>
      <c r="B10" s="719" t="s">
        <v>88</v>
      </c>
      <c r="C10" s="720">
        <v>13.7403</v>
      </c>
      <c r="D10" s="720">
        <v>0</v>
      </c>
      <c r="E10" s="720">
        <v>14.774369999999999</v>
      </c>
      <c r="F10" s="721" t="str">
        <f t="shared" si="0"/>
        <v/>
      </c>
      <c r="G10" s="711"/>
      <c r="H10" s="711"/>
      <c r="I10" s="711"/>
      <c r="J10" s="711"/>
      <c r="K10" s="711"/>
      <c r="L10" s="718"/>
      <c r="M10" s="702"/>
    </row>
    <row r="11" spans="1:13" s="507" customFormat="1" ht="10.5" customHeight="1">
      <c r="A11" s="855" t="s">
        <v>321</v>
      </c>
      <c r="B11" s="856"/>
      <c r="C11" s="860">
        <v>13.7403</v>
      </c>
      <c r="D11" s="860">
        <v>0</v>
      </c>
      <c r="E11" s="860">
        <v>14.774369999999999</v>
      </c>
      <c r="F11" s="861" t="str">
        <f t="shared" si="0"/>
        <v/>
      </c>
      <c r="G11" s="711"/>
      <c r="H11" s="711"/>
      <c r="I11" s="711"/>
      <c r="J11" s="711"/>
      <c r="K11" s="711"/>
      <c r="L11" s="718"/>
      <c r="M11" s="702"/>
    </row>
    <row r="12" spans="1:13" s="507" customFormat="1" ht="10.5" customHeight="1">
      <c r="A12" s="701" t="s">
        <v>99</v>
      </c>
      <c r="B12" s="719" t="s">
        <v>322</v>
      </c>
      <c r="C12" s="720">
        <v>206.23223999999999</v>
      </c>
      <c r="D12" s="720">
        <v>204.74214999999998</v>
      </c>
      <c r="E12" s="720">
        <v>211.36326</v>
      </c>
      <c r="F12" s="721">
        <f t="shared" si="0"/>
        <v>7.277885867663425E-3</v>
      </c>
      <c r="G12" s="711"/>
      <c r="H12" s="711"/>
      <c r="I12" s="711"/>
      <c r="J12" s="711"/>
      <c r="K12" s="711"/>
      <c r="L12" s="718"/>
      <c r="M12" s="702"/>
    </row>
    <row r="13" spans="1:13" s="507" customFormat="1" ht="10.5" customHeight="1">
      <c r="A13" s="855" t="s">
        <v>323</v>
      </c>
      <c r="B13" s="856"/>
      <c r="C13" s="860">
        <v>206.23223999999999</v>
      </c>
      <c r="D13" s="860">
        <v>204.74214999999998</v>
      </c>
      <c r="E13" s="860">
        <v>211.36326</v>
      </c>
      <c r="F13" s="861">
        <f t="shared" si="0"/>
        <v>7.277885867663425E-3</v>
      </c>
      <c r="G13" s="711"/>
      <c r="H13" s="711"/>
      <c r="I13" s="711"/>
      <c r="J13" s="711"/>
      <c r="K13" s="711"/>
      <c r="L13" s="722"/>
      <c r="M13" s="702"/>
    </row>
    <row r="14" spans="1:13" s="507" customFormat="1" ht="10.5" customHeight="1">
      <c r="A14" s="701" t="s">
        <v>129</v>
      </c>
      <c r="B14" s="719" t="s">
        <v>393</v>
      </c>
      <c r="C14" s="720"/>
      <c r="D14" s="720">
        <v>478.39208000000008</v>
      </c>
      <c r="E14" s="720"/>
      <c r="F14" s="721">
        <f t="shared" si="0"/>
        <v>-1</v>
      </c>
      <c r="G14" s="711"/>
      <c r="H14" s="711"/>
      <c r="I14" s="711"/>
      <c r="J14" s="711"/>
      <c r="K14" s="711"/>
      <c r="L14" s="718"/>
      <c r="M14" s="702"/>
    </row>
    <row r="15" spans="1:13" s="507" customFormat="1" ht="10.5" customHeight="1">
      <c r="A15" s="855" t="s">
        <v>443</v>
      </c>
      <c r="B15" s="856"/>
      <c r="C15" s="860"/>
      <c r="D15" s="860">
        <v>478.39208000000008</v>
      </c>
      <c r="E15" s="860"/>
      <c r="F15" s="861">
        <f t="shared" si="0"/>
        <v>-1</v>
      </c>
      <c r="G15" s="711"/>
      <c r="H15" s="711"/>
      <c r="I15" s="711"/>
      <c r="J15" s="711"/>
      <c r="K15" s="711"/>
      <c r="L15" s="718"/>
      <c r="M15" s="702"/>
    </row>
    <row r="16" spans="1:13" s="507" customFormat="1" ht="10.5" customHeight="1">
      <c r="A16" s="701" t="s">
        <v>267</v>
      </c>
      <c r="B16" s="719" t="s">
        <v>324</v>
      </c>
      <c r="C16" s="720">
        <v>0</v>
      </c>
      <c r="D16" s="720">
        <v>0</v>
      </c>
      <c r="E16" s="720">
        <v>0</v>
      </c>
      <c r="F16" s="721" t="str">
        <f t="shared" si="0"/>
        <v/>
      </c>
      <c r="G16" s="711"/>
      <c r="H16" s="711"/>
      <c r="I16" s="711"/>
      <c r="J16" s="711"/>
      <c r="K16" s="711"/>
      <c r="L16" s="718"/>
      <c r="M16" s="702"/>
    </row>
    <row r="17" spans="1:13" s="507" customFormat="1" ht="10.5" customHeight="1">
      <c r="A17" s="855" t="s">
        <v>325</v>
      </c>
      <c r="B17" s="856"/>
      <c r="C17" s="860">
        <v>0</v>
      </c>
      <c r="D17" s="860">
        <v>0</v>
      </c>
      <c r="E17" s="860">
        <v>0</v>
      </c>
      <c r="F17" s="861" t="str">
        <f t="shared" si="0"/>
        <v/>
      </c>
      <c r="G17" s="711"/>
      <c r="H17" s="711"/>
      <c r="I17" s="711"/>
      <c r="J17" s="711"/>
      <c r="K17" s="711"/>
      <c r="L17" s="718"/>
      <c r="M17" s="702"/>
    </row>
    <row r="18" spans="1:13" s="507" customFormat="1" ht="10.5" customHeight="1">
      <c r="A18" s="701" t="s">
        <v>98</v>
      </c>
      <c r="B18" s="719" t="s">
        <v>326</v>
      </c>
      <c r="C18" s="720">
        <v>154.24083000000002</v>
      </c>
      <c r="D18" s="720">
        <v>97.906769999999995</v>
      </c>
      <c r="E18" s="720">
        <v>150.04429999999999</v>
      </c>
      <c r="F18" s="721">
        <f t="shared" si="0"/>
        <v>0.57538472569363708</v>
      </c>
      <c r="G18" s="711"/>
      <c r="H18" s="711"/>
      <c r="I18" s="711"/>
      <c r="J18" s="711"/>
      <c r="K18" s="711"/>
      <c r="L18" s="718"/>
      <c r="M18" s="702"/>
    </row>
    <row r="19" spans="1:13" s="507" customFormat="1" ht="10.5" customHeight="1">
      <c r="A19" s="701"/>
      <c r="B19" s="719" t="s">
        <v>327</v>
      </c>
      <c r="C19" s="720">
        <v>12.60375</v>
      </c>
      <c r="D19" s="720">
        <v>14.709390000000001</v>
      </c>
      <c r="E19" s="720">
        <v>42.428910000000002</v>
      </c>
      <c r="F19" s="721">
        <f t="shared" si="0"/>
        <v>-0.143149376010834</v>
      </c>
      <c r="G19" s="711"/>
      <c r="H19" s="711"/>
      <c r="I19" s="711"/>
      <c r="J19" s="711"/>
      <c r="K19" s="711"/>
      <c r="L19" s="718"/>
      <c r="M19" s="702"/>
    </row>
    <row r="20" spans="1:13" s="507" customFormat="1" ht="10.5" customHeight="1">
      <c r="A20" s="855" t="s">
        <v>328</v>
      </c>
      <c r="B20" s="856"/>
      <c r="C20" s="860">
        <v>166.84458000000001</v>
      </c>
      <c r="D20" s="860">
        <v>112.61615999999999</v>
      </c>
      <c r="E20" s="860">
        <v>192.47320999999999</v>
      </c>
      <c r="F20" s="861">
        <f t="shared" si="0"/>
        <v>0.48153320091894458</v>
      </c>
      <c r="G20" s="711"/>
      <c r="H20" s="711"/>
      <c r="I20" s="711"/>
      <c r="J20" s="711"/>
      <c r="K20" s="711"/>
      <c r="L20" s="718"/>
      <c r="M20" s="702"/>
    </row>
    <row r="21" spans="1:13" s="507" customFormat="1" ht="10.5" customHeight="1">
      <c r="A21" s="701" t="s">
        <v>592</v>
      </c>
      <c r="B21" s="719" t="s">
        <v>90</v>
      </c>
      <c r="C21" s="720"/>
      <c r="D21" s="720">
        <v>1.4001999999999999</v>
      </c>
      <c r="E21" s="720"/>
      <c r="F21" s="721">
        <f t="shared" si="0"/>
        <v>-1</v>
      </c>
      <c r="G21" s="711"/>
      <c r="H21" s="711"/>
      <c r="I21" s="711"/>
      <c r="J21" s="711"/>
      <c r="K21" s="711"/>
      <c r="L21" s="723"/>
      <c r="M21" s="702"/>
    </row>
    <row r="22" spans="1:13" s="507" customFormat="1" ht="10.5" customHeight="1">
      <c r="A22" s="855" t="s">
        <v>444</v>
      </c>
      <c r="B22" s="856"/>
      <c r="C22" s="860"/>
      <c r="D22" s="860">
        <v>1.4001999999999999</v>
      </c>
      <c r="E22" s="860"/>
      <c r="F22" s="861">
        <f t="shared" si="0"/>
        <v>-1</v>
      </c>
      <c r="G22" s="711"/>
      <c r="H22" s="711"/>
      <c r="I22" s="711"/>
      <c r="J22" s="711"/>
      <c r="K22" s="711"/>
      <c r="L22" s="718"/>
      <c r="M22" s="702"/>
    </row>
    <row r="23" spans="1:13" s="507" customFormat="1" ht="10.5" customHeight="1">
      <c r="A23" s="701" t="s">
        <v>96</v>
      </c>
      <c r="B23" s="719" t="s">
        <v>329</v>
      </c>
      <c r="C23" s="720">
        <v>1.6322299999999998</v>
      </c>
      <c r="D23" s="720">
        <v>1.6512100000000001</v>
      </c>
      <c r="E23" s="720">
        <v>1.6834100000000001</v>
      </c>
      <c r="F23" s="721">
        <f t="shared" si="0"/>
        <v>-1.1494600929015775E-2</v>
      </c>
      <c r="G23" s="711"/>
      <c r="H23" s="711"/>
      <c r="I23" s="711"/>
      <c r="J23" s="711"/>
      <c r="K23" s="711"/>
      <c r="L23" s="718"/>
      <c r="M23" s="702"/>
    </row>
    <row r="24" spans="1:13" s="507" customFormat="1" ht="10.5" customHeight="1">
      <c r="A24" s="701"/>
      <c r="B24" s="719" t="s">
        <v>330</v>
      </c>
      <c r="C24" s="720">
        <v>0.56389</v>
      </c>
      <c r="D24" s="720">
        <v>0.57431999999999994</v>
      </c>
      <c r="E24" s="720">
        <v>0.57247000000000003</v>
      </c>
      <c r="F24" s="721">
        <f t="shared" si="0"/>
        <v>-1.8160607326925704E-2</v>
      </c>
      <c r="G24" s="711"/>
      <c r="H24" s="711"/>
      <c r="I24" s="711"/>
      <c r="J24" s="711"/>
      <c r="K24" s="711"/>
      <c r="L24" s="718"/>
      <c r="M24" s="702"/>
    </row>
    <row r="25" spans="1:13" s="507" customFormat="1" ht="10.5" customHeight="1">
      <c r="A25" s="701"/>
      <c r="B25" s="719" t="s">
        <v>331</v>
      </c>
      <c r="C25" s="720">
        <v>4.5535499999999995</v>
      </c>
      <c r="D25" s="720">
        <v>4.5530600000000003</v>
      </c>
      <c r="E25" s="720">
        <v>4.5586400000000005</v>
      </c>
      <c r="F25" s="721">
        <f t="shared" si="0"/>
        <v>1.0761993033248096E-4</v>
      </c>
      <c r="G25" s="711"/>
      <c r="H25" s="711"/>
      <c r="I25" s="711"/>
      <c r="J25" s="711"/>
      <c r="K25" s="711"/>
      <c r="L25" s="723"/>
      <c r="M25" s="702"/>
    </row>
    <row r="26" spans="1:13" s="507" customFormat="1" ht="10.5" customHeight="1">
      <c r="A26" s="701"/>
      <c r="B26" s="719" t="s">
        <v>332</v>
      </c>
      <c r="C26" s="720">
        <v>13.932849999999998</v>
      </c>
      <c r="D26" s="720">
        <v>14.543559999999999</v>
      </c>
      <c r="E26" s="720">
        <v>14.91696</v>
      </c>
      <c r="F26" s="721">
        <f t="shared" si="0"/>
        <v>-4.1991781929596406E-2</v>
      </c>
      <c r="G26" s="711"/>
      <c r="H26" s="711"/>
      <c r="I26" s="711"/>
      <c r="J26" s="711"/>
      <c r="K26" s="711"/>
      <c r="L26" s="718"/>
      <c r="M26" s="702"/>
    </row>
    <row r="27" spans="1:13" s="507" customFormat="1" ht="10.5" customHeight="1">
      <c r="A27" s="701"/>
      <c r="B27" s="719" t="s">
        <v>333</v>
      </c>
      <c r="C27" s="720">
        <v>120.87297000000001</v>
      </c>
      <c r="D27" s="720">
        <v>113.52867999999999</v>
      </c>
      <c r="E27" s="720">
        <v>100.06004999999999</v>
      </c>
      <c r="F27" s="721">
        <f t="shared" si="0"/>
        <v>6.4691054278090965E-2</v>
      </c>
      <c r="G27" s="711"/>
      <c r="H27" s="711"/>
      <c r="I27" s="711"/>
      <c r="J27" s="711"/>
      <c r="K27" s="711"/>
      <c r="L27" s="718"/>
      <c r="M27" s="702"/>
    </row>
    <row r="28" spans="1:13" s="507" customFormat="1" ht="10.5" customHeight="1">
      <c r="A28" s="701"/>
      <c r="B28" s="719" t="s">
        <v>334</v>
      </c>
      <c r="C28" s="720">
        <v>8.6549700000000005</v>
      </c>
      <c r="D28" s="720">
        <v>0</v>
      </c>
      <c r="E28" s="720">
        <v>8.8026300000000006</v>
      </c>
      <c r="F28" s="721" t="str">
        <f t="shared" si="0"/>
        <v/>
      </c>
      <c r="G28" s="711"/>
      <c r="H28" s="711"/>
      <c r="I28" s="711"/>
      <c r="J28" s="711"/>
      <c r="K28" s="711"/>
      <c r="L28" s="718"/>
      <c r="M28" s="702"/>
    </row>
    <row r="29" spans="1:13" s="507" customFormat="1" ht="10.5" customHeight="1">
      <c r="A29" s="701"/>
      <c r="B29" s="719" t="s">
        <v>335</v>
      </c>
      <c r="C29" s="720">
        <v>0</v>
      </c>
      <c r="D29" s="720">
        <v>4.8430099999999996</v>
      </c>
      <c r="E29" s="720">
        <v>0</v>
      </c>
      <c r="F29" s="721">
        <f t="shared" si="0"/>
        <v>-1</v>
      </c>
      <c r="G29" s="711"/>
      <c r="H29" s="711"/>
      <c r="I29" s="711"/>
      <c r="J29" s="711"/>
      <c r="K29" s="711"/>
      <c r="L29" s="718"/>
      <c r="M29" s="702"/>
    </row>
    <row r="30" spans="1:13" s="507" customFormat="1" ht="10.5" customHeight="1">
      <c r="A30" s="701"/>
      <c r="B30" s="719" t="s">
        <v>336</v>
      </c>
      <c r="C30" s="720">
        <v>0</v>
      </c>
      <c r="D30" s="720">
        <v>16.019690000000001</v>
      </c>
      <c r="E30" s="720">
        <v>0</v>
      </c>
      <c r="F30" s="721">
        <f t="shared" si="0"/>
        <v>-1</v>
      </c>
      <c r="G30" s="711"/>
      <c r="H30" s="711"/>
      <c r="I30" s="711"/>
      <c r="J30" s="711"/>
      <c r="K30" s="711"/>
      <c r="L30" s="718"/>
      <c r="M30" s="702"/>
    </row>
    <row r="31" spans="1:13" s="507" customFormat="1" ht="10.5" customHeight="1">
      <c r="A31" s="701"/>
      <c r="B31" s="719" t="s">
        <v>337</v>
      </c>
      <c r="C31" s="720">
        <v>0</v>
      </c>
      <c r="D31" s="720">
        <v>0</v>
      </c>
      <c r="E31" s="720">
        <v>13.699870000000001</v>
      </c>
      <c r="F31" s="721" t="str">
        <f t="shared" si="0"/>
        <v/>
      </c>
      <c r="G31" s="711"/>
      <c r="H31" s="711"/>
      <c r="I31" s="711"/>
      <c r="J31" s="711"/>
      <c r="K31" s="724"/>
      <c r="L31" s="718"/>
      <c r="M31" s="702"/>
    </row>
    <row r="32" spans="1:13" s="507" customFormat="1" ht="10.5" customHeight="1">
      <c r="A32" s="855" t="s">
        <v>338</v>
      </c>
      <c r="B32" s="856"/>
      <c r="C32" s="860">
        <v>150.21046000000001</v>
      </c>
      <c r="D32" s="860">
        <v>155.71352999999999</v>
      </c>
      <c r="E32" s="860">
        <v>144.29402999999999</v>
      </c>
      <c r="F32" s="861">
        <f t="shared" si="0"/>
        <v>-3.5340988031033582E-2</v>
      </c>
      <c r="G32" s="711"/>
      <c r="H32" s="711"/>
      <c r="I32" s="711"/>
      <c r="J32" s="711"/>
      <c r="K32" s="724"/>
      <c r="L32" s="718"/>
      <c r="M32" s="702"/>
    </row>
    <row r="33" spans="1:13" s="507" customFormat="1" ht="10.5" customHeight="1">
      <c r="A33" s="701" t="s">
        <v>119</v>
      </c>
      <c r="B33" s="719" t="s">
        <v>73</v>
      </c>
      <c r="C33" s="720">
        <v>1.70146</v>
      </c>
      <c r="D33" s="720">
        <v>2.52</v>
      </c>
      <c r="E33" s="720">
        <v>4.55</v>
      </c>
      <c r="F33" s="721">
        <f t="shared" si="0"/>
        <v>-0.32481746031746028</v>
      </c>
      <c r="G33" s="711"/>
      <c r="H33" s="711"/>
      <c r="I33" s="711"/>
      <c r="J33" s="711"/>
      <c r="K33" s="724"/>
      <c r="L33" s="718"/>
      <c r="M33" s="702"/>
    </row>
    <row r="34" spans="1:13" s="507" customFormat="1" ht="10.5" customHeight="1">
      <c r="A34" s="855" t="s">
        <v>339</v>
      </c>
      <c r="B34" s="856"/>
      <c r="C34" s="860">
        <v>1.70146</v>
      </c>
      <c r="D34" s="860">
        <v>2.52</v>
      </c>
      <c r="E34" s="860">
        <v>4.55</v>
      </c>
      <c r="F34" s="861">
        <f t="shared" si="0"/>
        <v>-0.32481746031746028</v>
      </c>
      <c r="G34" s="711"/>
      <c r="H34" s="711"/>
      <c r="I34" s="711"/>
      <c r="J34" s="711"/>
      <c r="K34" s="724"/>
      <c r="L34" s="718"/>
      <c r="M34" s="702"/>
    </row>
    <row r="35" spans="1:13" s="507" customFormat="1" ht="10.5" customHeight="1">
      <c r="A35" s="701" t="s">
        <v>97</v>
      </c>
      <c r="B35" s="719" t="s">
        <v>340</v>
      </c>
      <c r="C35" s="720">
        <v>112.90755</v>
      </c>
      <c r="D35" s="720">
        <v>119.14735999999999</v>
      </c>
      <c r="E35" s="720">
        <v>163.94774999999998</v>
      </c>
      <c r="F35" s="721">
        <f t="shared" si="0"/>
        <v>-5.2370526715824761E-2</v>
      </c>
      <c r="G35" s="711"/>
      <c r="H35" s="711"/>
      <c r="I35" s="711"/>
      <c r="J35" s="711"/>
      <c r="K35" s="724"/>
      <c r="L35" s="718"/>
      <c r="M35" s="702"/>
    </row>
    <row r="36" spans="1:13" s="507" customFormat="1" ht="10.5" customHeight="1">
      <c r="A36" s="855" t="s">
        <v>341</v>
      </c>
      <c r="B36" s="856"/>
      <c r="C36" s="860">
        <v>112.90755</v>
      </c>
      <c r="D36" s="860">
        <v>119.14735999999999</v>
      </c>
      <c r="E36" s="860">
        <v>163.94774999999998</v>
      </c>
      <c r="F36" s="861">
        <f t="shared" si="0"/>
        <v>-5.2370526715824761E-2</v>
      </c>
      <c r="G36" s="711"/>
      <c r="H36" s="711"/>
      <c r="I36" s="711"/>
      <c r="J36" s="711"/>
      <c r="K36" s="724"/>
      <c r="L36" s="718"/>
      <c r="M36" s="702"/>
    </row>
    <row r="37" spans="1:13" s="507" customFormat="1" ht="10.5" customHeight="1">
      <c r="A37" s="701" t="s">
        <v>106</v>
      </c>
      <c r="B37" s="719" t="s">
        <v>342</v>
      </c>
      <c r="C37" s="720">
        <v>16.065809999999999</v>
      </c>
      <c r="D37" s="720">
        <v>17.760000000000002</v>
      </c>
      <c r="E37" s="720">
        <v>15.852</v>
      </c>
      <c r="F37" s="721">
        <f t="shared" si="0"/>
        <v>-9.5393581081081202E-2</v>
      </c>
      <c r="G37" s="711"/>
      <c r="H37" s="711"/>
      <c r="I37" s="711"/>
      <c r="J37" s="711"/>
      <c r="K37" s="724"/>
      <c r="L37" s="718"/>
      <c r="M37" s="702"/>
    </row>
    <row r="38" spans="1:13" s="507" customFormat="1" ht="10.5" customHeight="1">
      <c r="A38" s="701"/>
      <c r="B38" s="719" t="s">
        <v>343</v>
      </c>
      <c r="C38" s="720">
        <v>9.9446700000000003</v>
      </c>
      <c r="D38" s="720">
        <v>10.506</v>
      </c>
      <c r="E38" s="720">
        <v>9.5280000000000005</v>
      </c>
      <c r="F38" s="721">
        <f t="shared" si="0"/>
        <v>-5.342946887492861E-2</v>
      </c>
      <c r="G38" s="711"/>
      <c r="H38" s="711"/>
      <c r="I38" s="711"/>
      <c r="J38" s="711"/>
      <c r="K38" s="724"/>
      <c r="L38" s="725"/>
      <c r="M38" s="702"/>
    </row>
    <row r="39" spans="1:13" s="507" customFormat="1" ht="10.5" customHeight="1">
      <c r="A39" s="701"/>
      <c r="B39" s="719" t="s">
        <v>344</v>
      </c>
      <c r="C39" s="720">
        <v>15.578189999999999</v>
      </c>
      <c r="D39" s="720">
        <v>9.0090000000000003</v>
      </c>
      <c r="E39" s="720">
        <v>21.15654</v>
      </c>
      <c r="F39" s="721">
        <f t="shared" si="0"/>
        <v>0.72918081918081912</v>
      </c>
      <c r="G39" s="711"/>
      <c r="H39" s="711"/>
      <c r="I39" s="711"/>
      <c r="J39" s="711"/>
      <c r="K39" s="724"/>
      <c r="L39" s="718"/>
      <c r="M39" s="702"/>
    </row>
    <row r="40" spans="1:13" s="507" customFormat="1" ht="10.5" customHeight="1">
      <c r="A40" s="855" t="s">
        <v>345</v>
      </c>
      <c r="B40" s="856"/>
      <c r="C40" s="860">
        <v>41.58867</v>
      </c>
      <c r="D40" s="860">
        <v>37.275000000000006</v>
      </c>
      <c r="E40" s="860">
        <v>46.536540000000002</v>
      </c>
      <c r="F40" s="861">
        <f t="shared" si="0"/>
        <v>0.11572555331991929</v>
      </c>
      <c r="G40" s="711"/>
      <c r="H40" s="711"/>
      <c r="I40" s="711"/>
      <c r="J40" s="711"/>
      <c r="K40" s="724"/>
      <c r="L40" s="718"/>
      <c r="M40" s="702"/>
    </row>
    <row r="41" spans="1:13" s="507" customFormat="1" ht="10.5" customHeight="1">
      <c r="A41" s="701" t="s">
        <v>124</v>
      </c>
      <c r="B41" s="719" t="s">
        <v>78</v>
      </c>
      <c r="C41" s="720">
        <v>0</v>
      </c>
      <c r="D41" s="720">
        <v>0.26573999999999998</v>
      </c>
      <c r="E41" s="720">
        <v>0</v>
      </c>
      <c r="F41" s="721">
        <f t="shared" si="0"/>
        <v>-1</v>
      </c>
      <c r="G41" s="711"/>
      <c r="H41" s="711"/>
      <c r="I41" s="711"/>
      <c r="J41" s="711"/>
      <c r="K41" s="724"/>
      <c r="L41" s="718"/>
      <c r="M41" s="702"/>
    </row>
    <row r="42" spans="1:13" s="507" customFormat="1" ht="10.5" customHeight="1">
      <c r="A42" s="855" t="s">
        <v>346</v>
      </c>
      <c r="B42" s="856"/>
      <c r="C42" s="860">
        <v>0</v>
      </c>
      <c r="D42" s="860">
        <v>0.26573999999999998</v>
      </c>
      <c r="E42" s="860">
        <v>0</v>
      </c>
      <c r="F42" s="861">
        <f t="shared" si="0"/>
        <v>-1</v>
      </c>
      <c r="G42" s="711"/>
      <c r="H42" s="711"/>
      <c r="I42" s="711"/>
      <c r="J42" s="711"/>
      <c r="K42" s="724"/>
      <c r="L42" s="718"/>
      <c r="M42" s="702"/>
    </row>
    <row r="43" spans="1:13" s="507" customFormat="1" ht="10.5" customHeight="1">
      <c r="A43" s="701" t="s">
        <v>120</v>
      </c>
      <c r="B43" s="719" t="s">
        <v>76</v>
      </c>
      <c r="C43" s="720">
        <v>0</v>
      </c>
      <c r="D43" s="720">
        <v>2.6167400000000001</v>
      </c>
      <c r="E43" s="720">
        <v>3.6137600000000001</v>
      </c>
      <c r="F43" s="721">
        <f t="shared" si="0"/>
        <v>-1</v>
      </c>
      <c r="G43" s="711"/>
      <c r="H43" s="711"/>
      <c r="I43" s="711"/>
      <c r="J43" s="711"/>
      <c r="K43" s="724"/>
      <c r="L43" s="718"/>
      <c r="M43" s="702"/>
    </row>
    <row r="44" spans="1:13" s="507" customFormat="1" ht="10.5" customHeight="1">
      <c r="A44" s="855" t="s">
        <v>347</v>
      </c>
      <c r="B44" s="856"/>
      <c r="C44" s="860">
        <v>0</v>
      </c>
      <c r="D44" s="860">
        <v>2.6167400000000001</v>
      </c>
      <c r="E44" s="860">
        <v>3.6137600000000001</v>
      </c>
      <c r="F44" s="861">
        <f t="shared" si="0"/>
        <v>-1</v>
      </c>
      <c r="G44" s="711"/>
      <c r="H44" s="711"/>
      <c r="I44" s="711"/>
      <c r="J44" s="711"/>
      <c r="K44" s="724"/>
      <c r="L44" s="718"/>
      <c r="M44" s="702"/>
    </row>
    <row r="45" spans="1:13" s="507" customFormat="1" ht="10.5" customHeight="1">
      <c r="A45" s="701" t="s">
        <v>94</v>
      </c>
      <c r="B45" s="719" t="s">
        <v>348</v>
      </c>
      <c r="C45" s="720">
        <v>595.88400000000001</v>
      </c>
      <c r="D45" s="720">
        <v>654.17520000000002</v>
      </c>
      <c r="E45" s="720">
        <v>638.88479999999993</v>
      </c>
      <c r="F45" s="721">
        <f t="shared" si="0"/>
        <v>-8.9106404522825033E-2</v>
      </c>
      <c r="G45" s="711"/>
      <c r="H45" s="711"/>
      <c r="I45" s="711"/>
      <c r="J45" s="711"/>
      <c r="K45" s="724"/>
      <c r="L45" s="704"/>
      <c r="M45" s="702"/>
    </row>
    <row r="46" spans="1:13" s="507" customFormat="1" ht="10.5" customHeight="1">
      <c r="A46" s="701"/>
      <c r="B46" s="719" t="s">
        <v>349</v>
      </c>
      <c r="C46" s="720">
        <v>196.24704</v>
      </c>
      <c r="D46" s="720">
        <v>212.89535999999998</v>
      </c>
      <c r="E46" s="720">
        <v>209.58335999999997</v>
      </c>
      <c r="F46" s="721">
        <f t="shared" si="0"/>
        <v>-7.8199543663140414E-2</v>
      </c>
      <c r="G46" s="711"/>
      <c r="H46" s="711"/>
      <c r="I46" s="711"/>
      <c r="J46" s="711"/>
      <c r="K46" s="724"/>
      <c r="L46" s="702"/>
      <c r="M46" s="702"/>
    </row>
    <row r="47" spans="1:13" s="507" customFormat="1" ht="10.5" customHeight="1">
      <c r="A47" s="701"/>
      <c r="B47" s="719" t="s">
        <v>350</v>
      </c>
      <c r="C47" s="720">
        <v>0</v>
      </c>
      <c r="D47" s="720">
        <v>8.5119100000000003</v>
      </c>
      <c r="E47" s="720">
        <v>0</v>
      </c>
      <c r="F47" s="721">
        <f t="shared" si="0"/>
        <v>-1</v>
      </c>
      <c r="G47" s="711"/>
      <c r="H47" s="711"/>
      <c r="I47" s="711"/>
      <c r="J47" s="711"/>
      <c r="K47" s="724"/>
      <c r="L47" s="702"/>
      <c r="M47" s="702"/>
    </row>
    <row r="48" spans="1:13" s="507" customFormat="1" ht="10.5" customHeight="1">
      <c r="A48" s="855" t="s">
        <v>351</v>
      </c>
      <c r="B48" s="856"/>
      <c r="C48" s="860">
        <v>792.13103999999998</v>
      </c>
      <c r="D48" s="860">
        <v>875.58247000000006</v>
      </c>
      <c r="E48" s="860">
        <v>848.4681599999999</v>
      </c>
      <c r="F48" s="861">
        <f t="shared" si="0"/>
        <v>-9.5309617151197679E-2</v>
      </c>
      <c r="G48" s="711"/>
      <c r="H48" s="711"/>
      <c r="I48" s="711"/>
      <c r="J48" s="711"/>
      <c r="K48" s="724"/>
      <c r="L48" s="702"/>
      <c r="M48" s="702"/>
    </row>
    <row r="49" spans="1:13" s="507" customFormat="1" ht="10.5" customHeight="1">
      <c r="A49" s="701" t="s">
        <v>268</v>
      </c>
      <c r="B49" s="719" t="s">
        <v>352</v>
      </c>
      <c r="C49" s="720">
        <v>161.04167000000001</v>
      </c>
      <c r="D49" s="720">
        <v>229.38470000000001</v>
      </c>
      <c r="E49" s="720">
        <v>456.18412000000001</v>
      </c>
      <c r="F49" s="721">
        <f t="shared" si="0"/>
        <v>-0.29794066474355085</v>
      </c>
      <c r="G49" s="711"/>
      <c r="H49" s="711"/>
      <c r="I49" s="711"/>
      <c r="J49" s="711"/>
      <c r="K49" s="724"/>
      <c r="L49" s="702"/>
      <c r="M49" s="702"/>
    </row>
    <row r="50" spans="1:13" s="507" customFormat="1" ht="10.5" customHeight="1">
      <c r="A50" s="701"/>
      <c r="B50" s="719" t="s">
        <v>353</v>
      </c>
      <c r="C50" s="720">
        <v>0</v>
      </c>
      <c r="D50" s="720">
        <v>6.4463100000000004</v>
      </c>
      <c r="E50" s="720">
        <v>6.32768</v>
      </c>
      <c r="F50" s="721">
        <f t="shared" si="0"/>
        <v>-1</v>
      </c>
      <c r="G50" s="711"/>
      <c r="H50" s="711"/>
      <c r="I50" s="711"/>
      <c r="J50" s="711"/>
      <c r="K50" s="724"/>
      <c r="L50" s="702"/>
      <c r="M50" s="702"/>
    </row>
    <row r="51" spans="1:13" s="507" customFormat="1" ht="10.5" customHeight="1">
      <c r="A51" s="855" t="s">
        <v>354</v>
      </c>
      <c r="B51" s="856"/>
      <c r="C51" s="860">
        <v>161.04167000000001</v>
      </c>
      <c r="D51" s="860">
        <v>235.83101000000002</v>
      </c>
      <c r="E51" s="860">
        <v>462.51179999999999</v>
      </c>
      <c r="F51" s="861">
        <f t="shared" si="0"/>
        <v>-0.31713106770818644</v>
      </c>
      <c r="G51" s="711"/>
      <c r="H51" s="711"/>
      <c r="I51" s="711"/>
      <c r="J51" s="711"/>
      <c r="K51" s="724"/>
      <c r="L51" s="702"/>
      <c r="M51" s="702"/>
    </row>
    <row r="52" spans="1:13" s="507" customFormat="1" ht="10.5" customHeight="1">
      <c r="A52" s="701" t="s">
        <v>269</v>
      </c>
      <c r="B52" s="719" t="s">
        <v>355</v>
      </c>
      <c r="C52" s="720">
        <v>94.41113</v>
      </c>
      <c r="D52" s="720">
        <v>88.500439999999998</v>
      </c>
      <c r="E52" s="720">
        <v>71.243490000000008</v>
      </c>
      <c r="F52" s="721">
        <f t="shared" si="0"/>
        <v>6.6787125578132711E-2</v>
      </c>
      <c r="G52" s="711"/>
      <c r="H52" s="711"/>
      <c r="I52" s="711"/>
      <c r="J52" s="711"/>
      <c r="K52" s="724"/>
      <c r="L52" s="702"/>
      <c r="M52" s="702"/>
    </row>
    <row r="53" spans="1:13" s="507" customFormat="1" ht="10.5" customHeight="1">
      <c r="A53" s="855" t="s">
        <v>356</v>
      </c>
      <c r="B53" s="856"/>
      <c r="C53" s="860">
        <v>94.41113</v>
      </c>
      <c r="D53" s="860">
        <v>88.500439999999998</v>
      </c>
      <c r="E53" s="860">
        <v>71.243490000000008</v>
      </c>
      <c r="F53" s="861">
        <f t="shared" si="0"/>
        <v>6.6787125578132711E-2</v>
      </c>
      <c r="G53" s="711"/>
      <c r="H53" s="711"/>
      <c r="I53" s="711"/>
      <c r="J53" s="711"/>
      <c r="K53" s="724"/>
      <c r="L53" s="702"/>
      <c r="M53" s="702"/>
    </row>
    <row r="54" spans="1:13" s="507" customFormat="1" ht="10.5" customHeight="1">
      <c r="A54" s="701" t="s">
        <v>270</v>
      </c>
      <c r="B54" s="719" t="s">
        <v>63</v>
      </c>
      <c r="C54" s="720">
        <v>7.4750399999999999</v>
      </c>
      <c r="D54" s="720">
        <v>4.67788</v>
      </c>
      <c r="E54" s="720">
        <v>17.115880000000001</v>
      </c>
      <c r="F54" s="721">
        <f t="shared" si="0"/>
        <v>0.59795462901998331</v>
      </c>
      <c r="G54" s="726"/>
      <c r="H54" s="726"/>
      <c r="I54" s="711"/>
      <c r="J54" s="711"/>
      <c r="K54" s="724"/>
      <c r="L54" s="702"/>
      <c r="M54" s="702"/>
    </row>
    <row r="55" spans="1:13" s="507" customFormat="1" ht="10.5" customHeight="1">
      <c r="A55" s="701"/>
      <c r="B55" s="719" t="s">
        <v>60</v>
      </c>
      <c r="C55" s="720">
        <v>10.140029999999999</v>
      </c>
      <c r="D55" s="720">
        <v>6.7198799999999999</v>
      </c>
      <c r="E55" s="720">
        <v>20.103280000000002</v>
      </c>
      <c r="F55" s="721">
        <f t="shared" si="0"/>
        <v>0.50895998142823973</v>
      </c>
      <c r="G55" s="726"/>
      <c r="H55" s="726"/>
      <c r="I55" s="711"/>
      <c r="J55" s="711"/>
      <c r="K55" s="724"/>
      <c r="L55" s="702"/>
      <c r="M55" s="702"/>
    </row>
    <row r="56" spans="1:13" s="507" customFormat="1" ht="10.5" customHeight="1">
      <c r="A56" s="855" t="s">
        <v>357</v>
      </c>
      <c r="B56" s="856"/>
      <c r="C56" s="860">
        <v>17.615069999999999</v>
      </c>
      <c r="D56" s="860">
        <v>11.39776</v>
      </c>
      <c r="E56" s="860">
        <v>37.219160000000002</v>
      </c>
      <c r="F56" s="861">
        <f t="shared" si="0"/>
        <v>0.54548525324274233</v>
      </c>
      <c r="G56" s="726"/>
      <c r="H56" s="726"/>
      <c r="I56" s="711"/>
      <c r="J56" s="711"/>
      <c r="K56" s="724"/>
      <c r="L56" s="702"/>
      <c r="M56" s="702"/>
    </row>
    <row r="57" spans="1:13" s="507" customFormat="1" ht="10.5" customHeight="1">
      <c r="A57" s="701" t="s">
        <v>93</v>
      </c>
      <c r="B57" s="719" t="s">
        <v>358</v>
      </c>
      <c r="C57" s="720">
        <v>28.81401</v>
      </c>
      <c r="D57" s="720">
        <v>30.487009999999998</v>
      </c>
      <c r="E57" s="720">
        <v>30.46866</v>
      </c>
      <c r="F57" s="721">
        <f t="shared" si="0"/>
        <v>-5.4875830722658558E-2</v>
      </c>
      <c r="G57" s="726"/>
      <c r="H57" s="726"/>
      <c r="I57" s="711"/>
      <c r="J57" s="711"/>
      <c r="K57" s="724"/>
      <c r="L57" s="702"/>
      <c r="M57" s="702"/>
    </row>
    <row r="58" spans="1:13" s="507" customFormat="1" ht="10.5" customHeight="1">
      <c r="A58" s="701"/>
      <c r="B58" s="719" t="s">
        <v>359</v>
      </c>
      <c r="C58" s="720">
        <v>179.62619000000001</v>
      </c>
      <c r="D58" s="720">
        <v>259.02669000000003</v>
      </c>
      <c r="E58" s="720">
        <v>197.28959999999998</v>
      </c>
      <c r="F58" s="721">
        <f t="shared" si="0"/>
        <v>-0.30653404867274492</v>
      </c>
      <c r="G58" s="726"/>
      <c r="H58" s="726"/>
      <c r="I58" s="711"/>
      <c r="J58" s="711"/>
      <c r="K58" s="724"/>
      <c r="L58" s="702"/>
      <c r="M58" s="702"/>
    </row>
    <row r="59" spans="1:13" s="507" customFormat="1" ht="10.5" customHeight="1">
      <c r="A59" s="701"/>
      <c r="B59" s="719" t="s">
        <v>360</v>
      </c>
      <c r="C59" s="720">
        <v>101.25128000000001</v>
      </c>
      <c r="D59" s="720">
        <v>99.831999999999994</v>
      </c>
      <c r="E59" s="720">
        <v>129.73957999999999</v>
      </c>
      <c r="F59" s="721">
        <f t="shared" si="0"/>
        <v>1.4216684029169091E-2</v>
      </c>
      <c r="G59" s="711"/>
      <c r="H59" s="711"/>
      <c r="I59" s="711"/>
      <c r="J59" s="711"/>
      <c r="K59" s="724"/>
      <c r="L59" s="702"/>
      <c r="M59" s="702"/>
    </row>
    <row r="60" spans="1:13" s="507" customFormat="1" ht="10.5" customHeight="1">
      <c r="A60" s="701"/>
      <c r="B60" s="719" t="s">
        <v>361</v>
      </c>
      <c r="C60" s="720">
        <v>51.338459999999998</v>
      </c>
      <c r="D60" s="720">
        <v>46.125129999999999</v>
      </c>
      <c r="E60" s="720">
        <v>65.240179999999995</v>
      </c>
      <c r="F60" s="721">
        <f t="shared" si="0"/>
        <v>0.11302580610612911</v>
      </c>
      <c r="G60" s="711"/>
      <c r="H60" s="711"/>
      <c r="I60" s="711"/>
      <c r="J60" s="711"/>
      <c r="K60" s="724"/>
      <c r="L60" s="702"/>
      <c r="M60" s="702"/>
    </row>
    <row r="61" spans="1:13" s="507" customFormat="1" ht="10.5" customHeight="1">
      <c r="A61" s="701"/>
      <c r="B61" s="719" t="s">
        <v>362</v>
      </c>
      <c r="C61" s="720">
        <v>0</v>
      </c>
      <c r="D61" s="720">
        <v>0</v>
      </c>
      <c r="E61" s="720">
        <v>0</v>
      </c>
      <c r="F61" s="721" t="str">
        <f t="shared" si="0"/>
        <v/>
      </c>
      <c r="G61" s="711"/>
      <c r="H61" s="711"/>
      <c r="I61" s="711"/>
      <c r="J61" s="711"/>
      <c r="K61" s="724"/>
      <c r="L61" s="702"/>
      <c r="M61" s="702"/>
    </row>
    <row r="62" spans="1:13" s="507" customFormat="1" ht="10.5" customHeight="1">
      <c r="A62" s="701"/>
      <c r="B62" s="719" t="s">
        <v>363</v>
      </c>
      <c r="C62" s="720">
        <v>0</v>
      </c>
      <c r="D62" s="720">
        <v>0</v>
      </c>
      <c r="E62" s="720">
        <v>173.95402000000001</v>
      </c>
      <c r="F62" s="721" t="str">
        <f t="shared" si="0"/>
        <v/>
      </c>
      <c r="G62" s="727"/>
      <c r="H62" s="711"/>
      <c r="I62" s="711"/>
      <c r="J62" s="711"/>
      <c r="K62" s="724"/>
      <c r="L62" s="702"/>
      <c r="M62" s="702"/>
    </row>
    <row r="63" spans="1:13" s="507" customFormat="1" ht="10.5" customHeight="1">
      <c r="A63" s="701"/>
      <c r="B63" s="719" t="s">
        <v>364</v>
      </c>
      <c r="C63" s="720">
        <v>439.87042000000002</v>
      </c>
      <c r="D63" s="720">
        <v>147.26266000000001</v>
      </c>
      <c r="E63" s="720">
        <v>284.87977000000001</v>
      </c>
      <c r="F63" s="721">
        <f t="shared" si="0"/>
        <v>1.9869786407498005</v>
      </c>
      <c r="G63" s="727"/>
      <c r="H63" s="711"/>
      <c r="I63" s="711"/>
      <c r="J63" s="711"/>
      <c r="K63" s="724"/>
      <c r="L63" s="702"/>
      <c r="M63" s="702"/>
    </row>
    <row r="64" spans="1:13" s="507" customFormat="1" ht="10.5" customHeight="1">
      <c r="A64" s="701"/>
      <c r="B64" s="719" t="s">
        <v>621</v>
      </c>
      <c r="C64" s="720">
        <v>0</v>
      </c>
      <c r="D64" s="720"/>
      <c r="E64" s="720"/>
      <c r="F64" s="721" t="str">
        <f t="shared" si="0"/>
        <v/>
      </c>
      <c r="G64" s="727"/>
      <c r="H64" s="711"/>
      <c r="I64" s="711"/>
      <c r="J64" s="711"/>
      <c r="K64" s="711"/>
      <c r="L64" s="702"/>
      <c r="M64" s="702"/>
    </row>
    <row r="65" spans="1:13" s="507" customFormat="1" ht="10.5" customHeight="1">
      <c r="A65" s="855" t="s">
        <v>365</v>
      </c>
      <c r="B65" s="856"/>
      <c r="C65" s="860">
        <v>800.90036000000009</v>
      </c>
      <c r="D65" s="860">
        <v>582.73349000000007</v>
      </c>
      <c r="E65" s="860">
        <v>881.57181000000003</v>
      </c>
      <c r="F65" s="861">
        <f t="shared" si="0"/>
        <v>0.37438533007601804</v>
      </c>
      <c r="G65" s="702"/>
      <c r="H65" s="702"/>
      <c r="I65" s="711"/>
      <c r="J65" s="711"/>
      <c r="K65" s="711"/>
      <c r="L65" s="702"/>
      <c r="M65" s="702"/>
    </row>
    <row r="66" spans="1:13" s="507" customFormat="1" ht="10.5" customHeight="1">
      <c r="A66" s="701" t="s">
        <v>101</v>
      </c>
      <c r="B66" s="719" t="s">
        <v>366</v>
      </c>
      <c r="C66" s="720">
        <v>0</v>
      </c>
      <c r="D66" s="720">
        <v>0</v>
      </c>
      <c r="E66" s="720">
        <v>48.357289999999999</v>
      </c>
      <c r="F66" s="721"/>
      <c r="G66" s="702"/>
      <c r="H66" s="702"/>
      <c r="I66" s="711"/>
      <c r="J66" s="711"/>
      <c r="K66" s="702"/>
      <c r="L66" s="702"/>
      <c r="M66" s="702"/>
    </row>
    <row r="67" spans="1:13" s="507" customFormat="1" ht="10.5" customHeight="1">
      <c r="A67" s="701"/>
      <c r="B67" s="719" t="s">
        <v>367</v>
      </c>
      <c r="C67" s="720">
        <v>91.824759999999998</v>
      </c>
      <c r="D67" s="720">
        <v>96.199489999999997</v>
      </c>
      <c r="E67" s="720">
        <v>0</v>
      </c>
      <c r="F67" s="721"/>
      <c r="G67" s="702"/>
      <c r="H67" s="702"/>
      <c r="I67" s="711"/>
      <c r="J67" s="711"/>
      <c r="K67" s="702"/>
      <c r="L67" s="702"/>
      <c r="M67" s="702"/>
    </row>
    <row r="68" spans="1:13" s="507" customFormat="1" ht="10.5" customHeight="1">
      <c r="A68" s="701"/>
      <c r="B68" s="719" t="s">
        <v>368</v>
      </c>
      <c r="C68" s="720">
        <v>0</v>
      </c>
      <c r="D68" s="720">
        <v>0</v>
      </c>
      <c r="E68" s="720">
        <v>0</v>
      </c>
      <c r="F68" s="721"/>
      <c r="G68" s="702"/>
      <c r="H68" s="702"/>
      <c r="I68" s="711"/>
      <c r="J68" s="711"/>
      <c r="K68" s="702"/>
      <c r="L68" s="702"/>
      <c r="M68" s="702"/>
    </row>
    <row r="69" spans="1:13" s="507" customFormat="1" ht="10.5" customHeight="1">
      <c r="A69" s="855" t="s">
        <v>369</v>
      </c>
      <c r="B69" s="856"/>
      <c r="C69" s="860">
        <v>91.824759999999998</v>
      </c>
      <c r="D69" s="860">
        <v>96.199489999999997</v>
      </c>
      <c r="E69" s="860">
        <v>48.357289999999999</v>
      </c>
      <c r="F69" s="861"/>
      <c r="G69" s="702"/>
      <c r="H69" s="702"/>
      <c r="I69" s="711"/>
      <c r="J69" s="711"/>
      <c r="K69" s="702"/>
      <c r="L69" s="702"/>
      <c r="M69" s="702"/>
    </row>
    <row r="70" spans="1:13" s="507" customFormat="1" ht="10.5" customHeight="1">
      <c r="A70" s="867"/>
      <c r="B70" s="868"/>
      <c r="C70" s="869"/>
      <c r="D70" s="869"/>
      <c r="E70" s="869"/>
      <c r="F70" s="870"/>
      <c r="G70" s="702"/>
      <c r="H70" s="702"/>
      <c r="I70" s="711"/>
      <c r="J70" s="711"/>
      <c r="K70" s="702"/>
      <c r="L70" s="702"/>
      <c r="M70" s="702"/>
    </row>
    <row r="71" spans="1:13" s="507" customFormat="1" ht="10.5" customHeight="1">
      <c r="A71" s="704"/>
      <c r="B71" s="704"/>
      <c r="C71" s="704"/>
      <c r="D71" s="704"/>
      <c r="E71" s="704"/>
      <c r="F71" s="704"/>
      <c r="G71" s="702"/>
      <c r="H71" s="702"/>
      <c r="I71" s="702"/>
      <c r="J71" s="702"/>
      <c r="K71" s="702"/>
      <c r="L71" s="702"/>
      <c r="M71" s="702"/>
    </row>
    <row r="72" spans="1:13" s="507" customFormat="1" ht="10.5" customHeight="1">
      <c r="A72" s="702"/>
      <c r="B72" s="702"/>
      <c r="C72" s="702"/>
      <c r="D72" s="702"/>
      <c r="E72" s="702"/>
      <c r="F72" s="702"/>
      <c r="G72" s="702"/>
      <c r="H72" s="702"/>
      <c r="I72" s="702"/>
      <c r="J72" s="702"/>
      <c r="K72" s="702"/>
      <c r="L72" s="702"/>
      <c r="M72" s="702"/>
    </row>
    <row r="73" spans="1:13" s="507" customFormat="1" ht="10.5" customHeight="1">
      <c r="A73" s="702"/>
      <c r="B73" s="702"/>
      <c r="C73" s="702"/>
      <c r="D73" s="702"/>
      <c r="E73" s="702"/>
      <c r="F73" s="702"/>
      <c r="G73" s="702"/>
      <c r="H73" s="702"/>
      <c r="I73" s="702"/>
      <c r="J73" s="702"/>
      <c r="K73" s="702"/>
      <c r="L73" s="702"/>
      <c r="M73" s="702"/>
    </row>
    <row r="74" spans="1:13" s="507" customFormat="1" ht="10.5" customHeight="1">
      <c r="A74" s="702"/>
      <c r="B74" s="702"/>
      <c r="C74" s="702"/>
      <c r="D74" s="702"/>
      <c r="E74" s="702"/>
      <c r="F74" s="702"/>
      <c r="G74" s="702"/>
      <c r="H74" s="702"/>
      <c r="I74" s="702"/>
      <c r="J74" s="702"/>
      <c r="K74" s="702"/>
      <c r="L74" s="702"/>
      <c r="M74" s="702"/>
    </row>
    <row r="75" spans="1:13" s="507" customFormat="1" ht="10.5" customHeight="1">
      <c r="A75" s="702"/>
      <c r="B75" s="702"/>
      <c r="C75" s="702"/>
      <c r="D75" s="702"/>
      <c r="E75" s="702"/>
      <c r="F75" s="702"/>
      <c r="G75" s="702"/>
      <c r="H75" s="702"/>
      <c r="I75" s="702"/>
      <c r="J75" s="702"/>
      <c r="K75" s="702"/>
      <c r="L75" s="702"/>
      <c r="M75" s="702"/>
    </row>
    <row r="76" spans="1:13" s="507" customFormat="1" ht="10.5" customHeight="1">
      <c r="A76" s="702"/>
      <c r="B76" s="702"/>
      <c r="C76" s="702"/>
      <c r="D76" s="702"/>
      <c r="E76" s="702"/>
      <c r="F76" s="702"/>
      <c r="G76" s="702"/>
      <c r="H76" s="702"/>
      <c r="I76" s="702"/>
      <c r="J76" s="702"/>
      <c r="K76" s="702"/>
      <c r="L76" s="702"/>
      <c r="M76" s="702"/>
    </row>
    <row r="77" spans="1:13" s="507" customFormat="1" ht="10.5" customHeight="1">
      <c r="A77" s="702"/>
      <c r="B77" s="702"/>
      <c r="C77" s="702"/>
      <c r="D77" s="702"/>
      <c r="E77" s="702"/>
      <c r="F77" s="702"/>
      <c r="G77" s="702"/>
      <c r="H77" s="702"/>
      <c r="I77" s="702"/>
      <c r="J77" s="702"/>
      <c r="K77" s="702"/>
      <c r="L77" s="702"/>
      <c r="M77" s="702"/>
    </row>
    <row r="78" spans="1:13" s="507" customFormat="1" ht="10.5" customHeight="1">
      <c r="A78" s="702"/>
      <c r="B78" s="702"/>
      <c r="C78" s="702"/>
      <c r="D78" s="702"/>
      <c r="E78" s="702"/>
      <c r="F78" s="702"/>
      <c r="G78" s="702"/>
      <c r="H78" s="702"/>
      <c r="I78" s="702"/>
      <c r="J78" s="702"/>
      <c r="K78" s="702"/>
      <c r="L78" s="702"/>
      <c r="M78" s="702"/>
    </row>
    <row r="79" spans="1:13" s="507" customFormat="1" ht="10.5" customHeight="1">
      <c r="A79" s="702"/>
      <c r="B79" s="702"/>
      <c r="C79" s="702"/>
      <c r="D79" s="702"/>
      <c r="E79" s="702"/>
      <c r="F79" s="702"/>
      <c r="G79" s="702"/>
      <c r="H79" s="702"/>
      <c r="I79" s="702"/>
      <c r="J79" s="702"/>
      <c r="K79" s="702"/>
      <c r="L79" s="702"/>
      <c r="M79" s="702"/>
    </row>
    <row r="80" spans="1:13" s="507" customFormat="1" ht="10.5" customHeight="1">
      <c r="A80" s="702"/>
      <c r="B80" s="702"/>
      <c r="C80" s="702"/>
      <c r="D80" s="702"/>
      <c r="E80" s="702"/>
      <c r="F80" s="702"/>
      <c r="G80" s="702"/>
      <c r="H80" s="702"/>
      <c r="I80" s="702"/>
      <c r="J80" s="702"/>
      <c r="K80" s="702"/>
      <c r="L80" s="702"/>
      <c r="M80" s="702"/>
    </row>
    <row r="81" spans="1:13" s="507" customFormat="1" ht="10.5" customHeight="1">
      <c r="A81" s="702"/>
      <c r="B81" s="702"/>
      <c r="C81" s="702"/>
      <c r="D81" s="702"/>
      <c r="E81" s="702"/>
      <c r="F81" s="702"/>
      <c r="G81" s="702"/>
      <c r="H81" s="702"/>
      <c r="I81" s="702"/>
      <c r="J81" s="702"/>
      <c r="K81" s="702"/>
      <c r="L81" s="702"/>
      <c r="M81" s="702"/>
    </row>
    <row r="82" spans="1:13" s="507" customFormat="1" ht="10.5" customHeight="1">
      <c r="A82" s="702"/>
      <c r="B82" s="702"/>
      <c r="C82" s="702"/>
      <c r="D82" s="702"/>
      <c r="E82" s="702"/>
      <c r="F82" s="702"/>
      <c r="G82" s="702"/>
      <c r="H82" s="702"/>
      <c r="I82" s="702"/>
      <c r="J82" s="702"/>
      <c r="K82" s="702"/>
      <c r="L82" s="702"/>
      <c r="M82" s="702"/>
    </row>
    <row r="83" spans="1:13" s="507" customFormat="1" ht="10.5" customHeight="1">
      <c r="A83" s="702"/>
      <c r="B83" s="702"/>
      <c r="C83" s="702"/>
      <c r="D83" s="702"/>
      <c r="E83" s="702"/>
      <c r="F83" s="702"/>
      <c r="G83" s="702"/>
      <c r="H83" s="702"/>
      <c r="I83" s="702"/>
      <c r="J83" s="702"/>
      <c r="K83" s="702"/>
      <c r="L83" s="702"/>
      <c r="M83" s="702"/>
    </row>
    <row r="84" spans="1:13" s="507" customFormat="1" ht="10.5" customHeight="1">
      <c r="A84" s="702"/>
      <c r="B84" s="702"/>
      <c r="C84" s="702"/>
      <c r="D84" s="702"/>
      <c r="E84" s="702"/>
      <c r="F84" s="702"/>
      <c r="G84" s="702"/>
      <c r="H84" s="702"/>
      <c r="I84" s="702"/>
      <c r="J84" s="702"/>
      <c r="K84" s="702"/>
      <c r="L84" s="702"/>
      <c r="M84" s="702"/>
    </row>
    <row r="85" spans="1:13" s="507" customFormat="1" ht="10.5" customHeight="1">
      <c r="A85" s="702"/>
      <c r="B85" s="702"/>
      <c r="C85" s="702"/>
      <c r="D85" s="702"/>
      <c r="E85" s="702"/>
      <c r="F85" s="702"/>
      <c r="G85" s="702"/>
      <c r="H85" s="702"/>
      <c r="I85" s="702"/>
      <c r="J85" s="702"/>
      <c r="K85" s="702"/>
      <c r="L85" s="702"/>
      <c r="M85" s="702"/>
    </row>
    <row r="86" spans="1:13" s="507" customFormat="1" ht="10.5" customHeight="1">
      <c r="A86" s="702"/>
      <c r="B86" s="702"/>
      <c r="C86" s="702"/>
      <c r="D86" s="702"/>
      <c r="E86" s="702"/>
      <c r="F86" s="702"/>
      <c r="G86" s="702"/>
      <c r="H86" s="702"/>
      <c r="I86" s="702"/>
      <c r="J86" s="702"/>
      <c r="K86" s="702"/>
      <c r="L86" s="702"/>
      <c r="M86" s="702"/>
    </row>
    <row r="87" spans="1:13" s="507" customFormat="1" ht="10.5" customHeight="1">
      <c r="A87" s="702"/>
      <c r="B87" s="702"/>
      <c r="C87" s="702"/>
      <c r="D87" s="702"/>
      <c r="E87" s="702"/>
      <c r="F87" s="702"/>
      <c r="G87" s="702"/>
      <c r="H87" s="702"/>
      <c r="I87" s="702"/>
      <c r="J87" s="702"/>
      <c r="K87" s="702"/>
      <c r="L87" s="702"/>
      <c r="M87" s="702"/>
    </row>
    <row r="88" spans="1:13" s="507" customFormat="1" ht="10.5" customHeight="1">
      <c r="A88" s="702"/>
      <c r="B88" s="702"/>
      <c r="C88" s="702"/>
      <c r="D88" s="702"/>
      <c r="E88" s="702"/>
      <c r="F88" s="702"/>
      <c r="G88" s="702"/>
      <c r="H88" s="702"/>
      <c r="I88" s="702"/>
      <c r="J88" s="702"/>
      <c r="K88" s="702"/>
      <c r="L88" s="702"/>
      <c r="M88" s="702"/>
    </row>
    <row r="89" spans="1:13" s="507" customFormat="1" ht="10.5" customHeight="1">
      <c r="A89" s="702"/>
      <c r="B89" s="702"/>
      <c r="C89" s="702"/>
      <c r="D89" s="702"/>
      <c r="E89" s="702"/>
      <c r="F89" s="702"/>
      <c r="G89" s="702"/>
      <c r="H89" s="702"/>
      <c r="I89" s="702"/>
      <c r="J89" s="702"/>
      <c r="K89" s="702"/>
      <c r="L89" s="702"/>
      <c r="M89" s="702"/>
    </row>
    <row r="90" spans="1:13" s="507" customFormat="1" ht="10.5" customHeight="1">
      <c r="A90" s="702"/>
      <c r="B90" s="702"/>
      <c r="C90" s="702"/>
      <c r="D90" s="702"/>
      <c r="E90" s="702"/>
      <c r="F90" s="702"/>
      <c r="G90" s="702"/>
      <c r="H90" s="702"/>
      <c r="I90" s="702"/>
      <c r="J90" s="702"/>
      <c r="K90" s="702"/>
      <c r="L90" s="702"/>
      <c r="M90" s="702"/>
    </row>
    <row r="91" spans="1:13" s="507" customFormat="1" ht="10.5" customHeight="1">
      <c r="A91" s="702"/>
      <c r="B91" s="702"/>
      <c r="C91" s="702"/>
      <c r="D91" s="702"/>
      <c r="E91" s="702"/>
      <c r="F91" s="702"/>
      <c r="G91" s="702"/>
      <c r="H91" s="702"/>
      <c r="I91" s="702"/>
      <c r="J91" s="702"/>
      <c r="K91" s="702"/>
      <c r="L91" s="702"/>
      <c r="M91" s="702"/>
    </row>
    <row r="92" spans="1:13" s="507" customFormat="1" ht="10.5" customHeight="1">
      <c r="A92" s="702"/>
      <c r="B92" s="702"/>
      <c r="C92" s="702"/>
      <c r="D92" s="702"/>
      <c r="E92" s="702"/>
      <c r="F92" s="702"/>
      <c r="G92" s="702"/>
      <c r="H92" s="702"/>
      <c r="I92" s="702"/>
      <c r="J92" s="702"/>
      <c r="K92" s="702"/>
      <c r="L92" s="702"/>
      <c r="M92" s="702"/>
    </row>
    <row r="93" spans="1:13" s="507" customFormat="1" ht="10.5" customHeight="1">
      <c r="A93" s="702"/>
      <c r="B93" s="702"/>
      <c r="C93" s="702"/>
      <c r="D93" s="702"/>
      <c r="E93" s="702"/>
      <c r="F93" s="702"/>
      <c r="G93" s="702"/>
      <c r="H93" s="702"/>
      <c r="I93" s="702"/>
      <c r="J93" s="702"/>
      <c r="K93" s="702"/>
      <c r="L93" s="702"/>
      <c r="M93" s="702"/>
    </row>
    <row r="94" spans="1:13" s="507" customFormat="1" ht="10.5" customHeight="1">
      <c r="A94" s="702"/>
      <c r="B94" s="702"/>
      <c r="C94" s="702"/>
      <c r="D94" s="702"/>
      <c r="E94" s="702"/>
      <c r="F94" s="702"/>
      <c r="G94" s="702"/>
      <c r="H94" s="702"/>
      <c r="I94" s="702"/>
      <c r="J94" s="702"/>
      <c r="K94" s="702"/>
      <c r="L94" s="702"/>
      <c r="M94" s="702"/>
    </row>
    <row r="95" spans="1:13" s="507" customFormat="1" ht="10.5" customHeight="1">
      <c r="A95" s="702"/>
      <c r="B95" s="702"/>
      <c r="C95" s="702"/>
      <c r="D95" s="702"/>
      <c r="E95" s="702"/>
      <c r="F95" s="702"/>
      <c r="G95" s="702"/>
      <c r="H95" s="702"/>
      <c r="I95" s="702"/>
      <c r="J95" s="702"/>
      <c r="K95" s="702"/>
      <c r="L95" s="702"/>
      <c r="M95" s="702"/>
    </row>
    <row r="96" spans="1:13" s="507" customFormat="1" ht="10.5" customHeight="1">
      <c r="A96" s="702"/>
      <c r="B96" s="702"/>
      <c r="C96" s="702"/>
      <c r="D96" s="702"/>
      <c r="E96" s="702"/>
      <c r="F96" s="702"/>
      <c r="G96" s="702"/>
      <c r="H96" s="702"/>
      <c r="I96" s="702"/>
      <c r="J96" s="702"/>
      <c r="K96" s="702"/>
      <c r="L96" s="702"/>
      <c r="M96" s="702"/>
    </row>
    <row r="97" spans="1:13" s="507" customFormat="1" ht="10.5" customHeight="1">
      <c r="A97" s="702"/>
      <c r="B97" s="702"/>
      <c r="C97" s="702"/>
      <c r="D97" s="702"/>
      <c r="E97" s="702"/>
      <c r="F97" s="702"/>
      <c r="G97" s="702"/>
      <c r="H97" s="702"/>
      <c r="I97" s="702"/>
      <c r="J97" s="702"/>
      <c r="K97" s="702"/>
      <c r="L97" s="702"/>
      <c r="M97" s="702"/>
    </row>
    <row r="98" spans="1:13" s="507" customFormat="1" ht="10.5" customHeight="1">
      <c r="A98" s="702"/>
      <c r="B98" s="702"/>
      <c r="C98" s="702"/>
      <c r="D98" s="702"/>
      <c r="E98" s="702"/>
      <c r="F98" s="702"/>
      <c r="G98" s="702"/>
      <c r="H98" s="702"/>
      <c r="I98" s="702"/>
      <c r="J98" s="702"/>
      <c r="K98" s="702"/>
      <c r="L98" s="702"/>
      <c r="M98" s="702"/>
    </row>
    <row r="99" spans="1:13" s="507" customFormat="1" ht="10.5" customHeight="1">
      <c r="A99" s="702"/>
      <c r="B99" s="702"/>
      <c r="C99" s="702"/>
      <c r="D99" s="702"/>
      <c r="E99" s="702"/>
      <c r="F99" s="702"/>
      <c r="G99" s="702"/>
      <c r="H99" s="702"/>
      <c r="I99" s="702"/>
      <c r="J99" s="702"/>
      <c r="K99" s="702"/>
      <c r="L99" s="702"/>
      <c r="M99" s="702"/>
    </row>
    <row r="100" spans="1:13" s="507" customFormat="1" ht="10.5" customHeight="1">
      <c r="A100" s="702"/>
      <c r="B100" s="702"/>
      <c r="C100" s="702"/>
      <c r="D100" s="702"/>
      <c r="E100" s="702"/>
      <c r="F100" s="702"/>
      <c r="G100" s="702"/>
      <c r="H100" s="702"/>
      <c r="I100" s="702"/>
      <c r="J100" s="702"/>
      <c r="K100" s="702"/>
      <c r="L100" s="702"/>
      <c r="M100" s="702"/>
    </row>
    <row r="101" spans="1:13" s="507" customFormat="1" ht="10.5" customHeight="1">
      <c r="A101" s="702"/>
      <c r="B101" s="702"/>
      <c r="C101" s="702"/>
      <c r="D101" s="702"/>
      <c r="E101" s="702"/>
      <c r="F101" s="702"/>
      <c r="G101" s="702"/>
      <c r="H101" s="702"/>
      <c r="I101" s="702"/>
      <c r="J101" s="702"/>
      <c r="K101" s="702"/>
      <c r="L101" s="702"/>
      <c r="M101" s="702"/>
    </row>
    <row r="102" spans="1:13" s="507" customFormat="1" ht="10.5" customHeight="1">
      <c r="A102" s="702"/>
      <c r="B102" s="702"/>
      <c r="C102" s="702"/>
      <c r="D102" s="702"/>
      <c r="E102" s="702"/>
      <c r="F102" s="702"/>
      <c r="G102" s="702"/>
      <c r="H102" s="702"/>
      <c r="I102" s="702"/>
      <c r="J102" s="702"/>
      <c r="K102" s="702"/>
      <c r="L102" s="702"/>
      <c r="M102" s="702"/>
    </row>
    <row r="103" spans="1:13" s="507" customFormat="1" ht="10.5" customHeight="1">
      <c r="A103" s="702"/>
      <c r="B103" s="702"/>
      <c r="C103" s="702"/>
      <c r="D103" s="702"/>
      <c r="E103" s="702"/>
      <c r="F103" s="702"/>
      <c r="G103" s="702"/>
      <c r="H103" s="702"/>
      <c r="I103" s="702"/>
      <c r="J103" s="702"/>
      <c r="K103" s="702"/>
      <c r="L103" s="702"/>
      <c r="M103" s="702"/>
    </row>
    <row r="104" spans="1:13" s="507" customFormat="1" ht="10.5" customHeight="1">
      <c r="A104" s="702"/>
      <c r="B104" s="702"/>
      <c r="C104" s="702"/>
      <c r="D104" s="702"/>
      <c r="E104" s="702"/>
      <c r="F104" s="702"/>
      <c r="G104" s="702"/>
      <c r="H104" s="702"/>
      <c r="I104" s="702"/>
      <c r="J104" s="702"/>
      <c r="K104" s="702"/>
      <c r="L104" s="702"/>
      <c r="M104" s="702"/>
    </row>
    <row r="105" spans="1:13" s="507" customFormat="1" ht="10.5" customHeight="1">
      <c r="A105" s="702"/>
      <c r="B105" s="702"/>
      <c r="C105" s="702"/>
      <c r="D105" s="702"/>
      <c r="E105" s="702"/>
      <c r="F105" s="702"/>
      <c r="G105" s="702"/>
      <c r="H105" s="702"/>
      <c r="I105" s="702"/>
      <c r="J105" s="702"/>
      <c r="K105" s="702"/>
      <c r="L105" s="702"/>
      <c r="M105" s="702"/>
    </row>
    <row r="106" spans="1:13" s="507" customFormat="1" ht="10.5" customHeight="1">
      <c r="A106" s="702"/>
      <c r="B106" s="702"/>
      <c r="C106" s="702"/>
      <c r="D106" s="702"/>
      <c r="E106" s="702"/>
      <c r="F106" s="702"/>
      <c r="G106" s="702"/>
      <c r="H106" s="702"/>
      <c r="I106" s="702"/>
      <c r="J106" s="702"/>
      <c r="K106" s="702"/>
      <c r="L106" s="702"/>
      <c r="M106" s="702"/>
    </row>
    <row r="107" spans="1:13" s="507" customFormat="1" ht="10.5" customHeight="1">
      <c r="A107" s="702"/>
      <c r="B107" s="702"/>
      <c r="C107" s="702"/>
      <c r="D107" s="702"/>
      <c r="E107" s="702"/>
      <c r="F107" s="702"/>
      <c r="G107" s="702"/>
      <c r="H107" s="702"/>
      <c r="I107" s="702"/>
      <c r="J107" s="702"/>
      <c r="K107" s="702"/>
      <c r="L107" s="702"/>
      <c r="M107" s="702"/>
    </row>
    <row r="108" spans="1:13" s="507" customFormat="1" ht="10.5" customHeight="1">
      <c r="A108" s="702"/>
      <c r="B108" s="702"/>
      <c r="C108" s="702"/>
      <c r="D108" s="702"/>
      <c r="E108" s="702"/>
      <c r="F108" s="702"/>
      <c r="G108" s="702"/>
      <c r="H108" s="702"/>
      <c r="I108" s="702"/>
      <c r="J108" s="702"/>
      <c r="K108" s="702"/>
      <c r="L108" s="702"/>
      <c r="M108" s="702"/>
    </row>
    <row r="109" spans="1:13" s="507" customFormat="1" ht="10.5" customHeight="1">
      <c r="A109" s="702"/>
      <c r="B109" s="702"/>
      <c r="C109" s="702"/>
      <c r="D109" s="702"/>
      <c r="E109" s="702"/>
      <c r="F109" s="702"/>
      <c r="G109" s="702"/>
      <c r="H109" s="702"/>
      <c r="I109" s="702"/>
      <c r="J109" s="702"/>
      <c r="K109" s="702"/>
      <c r="L109" s="702"/>
      <c r="M109" s="702"/>
    </row>
    <row r="110" spans="1:13" s="507" customFormat="1" ht="10.5" customHeight="1">
      <c r="A110" s="702"/>
      <c r="B110" s="702"/>
      <c r="C110" s="702"/>
      <c r="D110" s="702"/>
      <c r="E110" s="702"/>
      <c r="F110" s="702"/>
      <c r="G110" s="702"/>
      <c r="H110" s="702"/>
      <c r="I110" s="702"/>
      <c r="J110" s="702"/>
      <c r="K110" s="702"/>
      <c r="L110" s="702"/>
      <c r="M110" s="702"/>
    </row>
    <row r="111" spans="1:13" s="507" customFormat="1" ht="10.5" customHeight="1">
      <c r="A111" s="702"/>
      <c r="B111" s="702"/>
      <c r="C111" s="702"/>
      <c r="D111" s="702"/>
      <c r="E111" s="702"/>
      <c r="F111" s="702"/>
      <c r="G111" s="702"/>
      <c r="H111" s="702"/>
      <c r="I111" s="702"/>
      <c r="J111" s="702"/>
      <c r="K111" s="702"/>
      <c r="L111" s="702"/>
      <c r="M111" s="702"/>
    </row>
    <row r="112" spans="1:13" s="507" customFormat="1" ht="10.5" customHeight="1">
      <c r="A112" s="702"/>
      <c r="B112" s="702"/>
      <c r="C112" s="702"/>
      <c r="D112" s="702"/>
      <c r="E112" s="702"/>
      <c r="F112" s="702"/>
      <c r="G112" s="702"/>
      <c r="H112" s="702"/>
      <c r="I112" s="702"/>
      <c r="J112" s="702"/>
      <c r="K112" s="702"/>
      <c r="L112" s="702"/>
      <c r="M112" s="702"/>
    </row>
    <row r="113" spans="1:13" s="507" customFormat="1" ht="10.5" customHeight="1">
      <c r="A113" s="702"/>
      <c r="B113" s="702"/>
      <c r="C113" s="702"/>
      <c r="D113" s="702"/>
      <c r="E113" s="702"/>
      <c r="F113" s="702"/>
      <c r="G113" s="702"/>
      <c r="H113" s="702"/>
      <c r="I113" s="702"/>
      <c r="J113" s="702"/>
      <c r="K113" s="702"/>
      <c r="L113" s="702"/>
      <c r="M113" s="702"/>
    </row>
    <row r="114" spans="1:13" s="507" customFormat="1" ht="10.5" customHeight="1">
      <c r="A114" s="702"/>
      <c r="B114" s="702"/>
      <c r="C114" s="702"/>
      <c r="D114" s="702"/>
      <c r="E114" s="702"/>
      <c r="F114" s="702"/>
      <c r="G114" s="702"/>
      <c r="H114" s="702"/>
      <c r="I114" s="702"/>
      <c r="J114" s="702"/>
      <c r="K114" s="702"/>
      <c r="L114" s="702"/>
      <c r="M114" s="702"/>
    </row>
    <row r="115" spans="1:13" s="507" customFormat="1" ht="10.5" customHeight="1">
      <c r="A115" s="702"/>
      <c r="B115" s="702"/>
      <c r="C115" s="702"/>
      <c r="D115" s="702"/>
      <c r="E115" s="702"/>
      <c r="F115" s="702"/>
      <c r="G115" s="702"/>
      <c r="H115" s="702"/>
      <c r="I115" s="702"/>
      <c r="J115" s="702"/>
      <c r="K115" s="702"/>
      <c r="L115" s="702"/>
      <c r="M115" s="702"/>
    </row>
    <row r="116" spans="1:13" s="507" customFormat="1" ht="10.5" customHeight="1">
      <c r="A116" s="702"/>
      <c r="B116" s="702"/>
      <c r="C116" s="702"/>
      <c r="D116" s="702"/>
      <c r="E116" s="702"/>
      <c r="F116" s="702"/>
      <c r="G116" s="702"/>
      <c r="H116" s="702"/>
      <c r="I116" s="702"/>
      <c r="J116" s="702"/>
      <c r="K116" s="702"/>
      <c r="L116" s="702"/>
      <c r="M116" s="702"/>
    </row>
    <row r="117" spans="1:13" s="507" customFormat="1" ht="10.5" customHeight="1">
      <c r="A117" s="702"/>
      <c r="B117" s="702"/>
      <c r="C117" s="702"/>
      <c r="D117" s="702"/>
      <c r="E117" s="702"/>
      <c r="F117" s="702"/>
      <c r="G117" s="702"/>
      <c r="H117" s="702"/>
      <c r="I117" s="702"/>
      <c r="J117" s="702"/>
      <c r="K117" s="702"/>
      <c r="L117" s="702"/>
      <c r="M117" s="702"/>
    </row>
    <row r="118" spans="1:13" s="507" customFormat="1" ht="10.5" customHeight="1">
      <c r="A118" s="702"/>
      <c r="B118" s="702"/>
      <c r="C118" s="702"/>
      <c r="D118" s="702"/>
      <c r="E118" s="702"/>
      <c r="F118" s="702"/>
      <c r="G118" s="702"/>
      <c r="H118" s="702"/>
      <c r="I118" s="702"/>
      <c r="J118" s="702"/>
      <c r="K118" s="702"/>
      <c r="L118" s="702"/>
      <c r="M118" s="702"/>
    </row>
    <row r="119" spans="1:13" s="507" customFormat="1" ht="10.5" customHeight="1">
      <c r="A119" s="702"/>
      <c r="B119" s="702"/>
      <c r="C119" s="702"/>
      <c r="D119" s="702"/>
      <c r="E119" s="702"/>
      <c r="F119" s="702"/>
      <c r="G119" s="702"/>
      <c r="H119" s="702"/>
      <c r="I119" s="702"/>
      <c r="J119" s="702"/>
      <c r="K119" s="702"/>
      <c r="L119" s="702"/>
      <c r="M119" s="702"/>
    </row>
    <row r="120" spans="1:13" s="507" customFormat="1" ht="10.5" customHeight="1">
      <c r="A120" s="702"/>
      <c r="B120" s="702"/>
      <c r="C120" s="702"/>
      <c r="D120" s="702"/>
      <c r="E120" s="702"/>
      <c r="F120" s="702"/>
      <c r="G120" s="702"/>
      <c r="H120" s="702"/>
      <c r="I120" s="702"/>
      <c r="J120" s="702"/>
      <c r="K120" s="702"/>
      <c r="L120" s="702"/>
      <c r="M120" s="702"/>
    </row>
    <row r="121" spans="1:13" s="507" customFormat="1" ht="10.5" customHeight="1">
      <c r="A121" s="702"/>
      <c r="B121" s="702"/>
      <c r="C121" s="702"/>
      <c r="D121" s="702"/>
      <c r="E121" s="702"/>
      <c r="F121" s="702"/>
      <c r="G121" s="702"/>
      <c r="H121" s="702"/>
      <c r="I121" s="702"/>
      <c r="J121" s="702"/>
      <c r="K121" s="702"/>
      <c r="L121" s="702"/>
      <c r="M121" s="702"/>
    </row>
    <row r="122" spans="1:13" s="507" customFormat="1" ht="10.5" customHeight="1">
      <c r="A122" s="702"/>
      <c r="B122" s="702"/>
      <c r="C122" s="702"/>
      <c r="D122" s="702"/>
      <c r="E122" s="702"/>
      <c r="F122" s="702"/>
      <c r="G122" s="702"/>
      <c r="H122" s="702"/>
      <c r="I122" s="702"/>
      <c r="J122" s="702"/>
      <c r="K122" s="702"/>
      <c r="L122" s="702"/>
      <c r="M122" s="702"/>
    </row>
    <row r="123" spans="1:13" s="507" customFormat="1" ht="10.5" customHeight="1">
      <c r="A123" s="702"/>
      <c r="B123" s="702"/>
      <c r="C123" s="702"/>
      <c r="D123" s="702"/>
      <c r="E123" s="702"/>
      <c r="F123" s="702"/>
      <c r="G123" s="702"/>
      <c r="H123" s="702"/>
      <c r="I123" s="702"/>
      <c r="J123" s="702"/>
      <c r="K123" s="702"/>
      <c r="L123" s="702"/>
      <c r="M123" s="702"/>
    </row>
    <row r="124" spans="1:13" s="507" customFormat="1" ht="10.5" customHeight="1">
      <c r="A124" s="702"/>
      <c r="B124" s="702"/>
      <c r="C124" s="702"/>
      <c r="D124" s="702"/>
      <c r="E124" s="702"/>
      <c r="F124" s="702"/>
      <c r="G124" s="702"/>
      <c r="H124" s="702"/>
      <c r="I124" s="702"/>
      <c r="J124" s="702"/>
      <c r="K124" s="702"/>
      <c r="L124" s="702"/>
      <c r="M124" s="702"/>
    </row>
    <row r="125" spans="1:13" s="507" customFormat="1" ht="10.5" customHeight="1">
      <c r="A125" s="702"/>
      <c r="B125" s="702"/>
      <c r="C125" s="702"/>
      <c r="D125" s="702"/>
      <c r="E125" s="702"/>
      <c r="F125" s="702"/>
      <c r="G125" s="702"/>
      <c r="H125" s="702"/>
      <c r="I125" s="702"/>
      <c r="J125" s="702"/>
      <c r="K125" s="702"/>
      <c r="L125" s="702"/>
      <c r="M125" s="702"/>
    </row>
    <row r="126" spans="1:13" s="507" customFormat="1" ht="10.5" customHeight="1">
      <c r="A126" s="702"/>
      <c r="B126" s="702"/>
      <c r="C126" s="702"/>
      <c r="D126" s="702"/>
      <c r="E126" s="702"/>
      <c r="F126" s="702"/>
      <c r="G126" s="702"/>
      <c r="H126" s="702"/>
      <c r="I126" s="702"/>
      <c r="J126" s="702"/>
      <c r="K126" s="702"/>
      <c r="L126" s="702"/>
      <c r="M126" s="702"/>
    </row>
    <row r="127" spans="1:13" s="507" customFormat="1" ht="10.5" customHeight="1">
      <c r="A127" s="702"/>
      <c r="B127" s="702"/>
      <c r="C127" s="702"/>
      <c r="D127" s="702"/>
      <c r="E127" s="702"/>
      <c r="F127" s="702"/>
      <c r="G127" s="702"/>
      <c r="H127" s="702"/>
      <c r="I127" s="702"/>
      <c r="J127" s="702"/>
      <c r="K127" s="702"/>
      <c r="L127" s="702"/>
      <c r="M127" s="702"/>
    </row>
    <row r="128" spans="1:13" s="507" customFormat="1" ht="10.5" customHeight="1">
      <c r="A128" s="702"/>
      <c r="B128" s="702"/>
      <c r="C128" s="702"/>
      <c r="D128" s="702"/>
      <c r="E128" s="702"/>
      <c r="F128" s="702"/>
      <c r="G128" s="702"/>
      <c r="H128" s="702"/>
      <c r="I128" s="702"/>
      <c r="J128" s="702"/>
      <c r="K128" s="702"/>
      <c r="L128" s="702"/>
      <c r="M128" s="702"/>
    </row>
    <row r="129" spans="1:13" s="507" customFormat="1" ht="10.5" customHeight="1">
      <c r="A129" s="702"/>
      <c r="B129" s="702"/>
      <c r="C129" s="702"/>
      <c r="D129" s="702"/>
      <c r="E129" s="702"/>
      <c r="F129" s="702"/>
      <c r="G129" s="702"/>
      <c r="H129" s="702"/>
      <c r="I129" s="702"/>
      <c r="J129" s="702"/>
      <c r="K129" s="702"/>
      <c r="L129" s="702"/>
      <c r="M129" s="702"/>
    </row>
    <row r="130" spans="1:13" s="507" customFormat="1" ht="10.5" customHeight="1">
      <c r="A130" s="702"/>
      <c r="B130" s="702"/>
      <c r="C130" s="702"/>
      <c r="D130" s="702"/>
      <c r="E130" s="702"/>
      <c r="F130" s="702"/>
      <c r="G130" s="702"/>
      <c r="H130" s="702"/>
      <c r="I130" s="702"/>
      <c r="J130" s="702"/>
      <c r="K130" s="702"/>
      <c r="L130" s="702"/>
      <c r="M130" s="702"/>
    </row>
    <row r="131" spans="1:13" s="507" customFormat="1" ht="10.5" customHeight="1">
      <c r="A131" s="702"/>
      <c r="B131" s="702"/>
      <c r="C131" s="702"/>
      <c r="D131" s="702"/>
      <c r="E131" s="702"/>
      <c r="F131" s="702"/>
      <c r="G131" s="702"/>
      <c r="H131" s="702"/>
      <c r="I131" s="702"/>
      <c r="J131" s="702"/>
      <c r="K131" s="702"/>
      <c r="L131" s="702"/>
      <c r="M131" s="702"/>
    </row>
    <row r="132" spans="1:13" s="507" customFormat="1" ht="10.5" customHeight="1">
      <c r="A132" s="702"/>
      <c r="B132" s="702"/>
      <c r="C132" s="702"/>
      <c r="D132" s="702"/>
      <c r="E132" s="702"/>
      <c r="F132" s="702"/>
      <c r="G132" s="702"/>
      <c r="H132" s="702"/>
      <c r="I132" s="702"/>
      <c r="J132" s="702"/>
      <c r="K132" s="702"/>
      <c r="L132" s="702"/>
      <c r="M132" s="702"/>
    </row>
    <row r="133" spans="1:13" s="507" customFormat="1" ht="10.5" customHeight="1">
      <c r="A133" s="702"/>
      <c r="B133" s="702"/>
      <c r="C133" s="702"/>
      <c r="D133" s="702"/>
      <c r="E133" s="702"/>
      <c r="F133" s="702"/>
      <c r="G133" s="702"/>
      <c r="H133" s="702"/>
      <c r="I133" s="702"/>
      <c r="J133" s="702"/>
      <c r="K133" s="702"/>
      <c r="L133" s="702"/>
      <c r="M133" s="702"/>
    </row>
    <row r="134" spans="1:13" s="507" customFormat="1" ht="10.5" customHeight="1">
      <c r="A134" s="702"/>
      <c r="B134" s="702"/>
      <c r="C134" s="702"/>
      <c r="D134" s="702"/>
      <c r="E134" s="702"/>
      <c r="F134" s="702"/>
      <c r="G134" s="702"/>
      <c r="H134" s="702"/>
      <c r="I134" s="702"/>
      <c r="J134" s="702"/>
      <c r="K134" s="702"/>
      <c r="L134" s="702"/>
      <c r="M134" s="702"/>
    </row>
    <row r="135" spans="1:13" s="507" customFormat="1" ht="10.5" customHeight="1">
      <c r="A135" s="702"/>
      <c r="B135" s="702"/>
      <c r="C135" s="702"/>
      <c r="D135" s="702"/>
      <c r="E135" s="702"/>
      <c r="F135" s="702"/>
      <c r="G135" s="702"/>
      <c r="H135" s="702"/>
      <c r="I135" s="702"/>
      <c r="J135" s="702"/>
      <c r="K135" s="702"/>
      <c r="L135" s="702"/>
      <c r="M135" s="702"/>
    </row>
    <row r="136" spans="1:13" s="507" customFormat="1" ht="10.5" customHeight="1">
      <c r="A136" s="702"/>
      <c r="B136" s="702"/>
      <c r="C136" s="702"/>
      <c r="D136" s="702"/>
      <c r="E136" s="702"/>
      <c r="F136" s="702"/>
      <c r="G136" s="702"/>
      <c r="H136" s="702"/>
      <c r="I136" s="702"/>
      <c r="J136" s="702"/>
      <c r="K136" s="702"/>
      <c r="L136" s="702"/>
      <c r="M136" s="702"/>
    </row>
    <row r="137" spans="1:13" s="507" customFormat="1" ht="10.5" customHeight="1">
      <c r="A137" s="702"/>
      <c r="B137" s="702"/>
      <c r="C137" s="702"/>
      <c r="D137" s="702"/>
      <c r="E137" s="702"/>
      <c r="F137" s="702"/>
      <c r="G137" s="702"/>
      <c r="H137" s="702"/>
      <c r="I137" s="702"/>
      <c r="J137" s="702"/>
      <c r="K137" s="702"/>
      <c r="L137" s="702"/>
      <c r="M137" s="702"/>
    </row>
    <row r="138" spans="1:13" s="507" customFormat="1" ht="10.5" customHeight="1">
      <c r="A138" s="702"/>
      <c r="B138" s="702"/>
      <c r="C138" s="702"/>
      <c r="D138" s="702"/>
      <c r="E138" s="702"/>
      <c r="F138" s="702"/>
      <c r="G138" s="702"/>
      <c r="H138" s="702"/>
      <c r="I138" s="702"/>
      <c r="J138" s="702"/>
      <c r="K138" s="702"/>
      <c r="L138" s="702"/>
      <c r="M138" s="702"/>
    </row>
    <row r="139" spans="1:13" s="507" customFormat="1" ht="10.5" customHeight="1">
      <c r="A139" s="702"/>
      <c r="B139" s="702"/>
      <c r="C139" s="702"/>
      <c r="D139" s="702"/>
      <c r="E139" s="702"/>
      <c r="F139" s="702"/>
      <c r="G139" s="702"/>
      <c r="H139" s="702"/>
      <c r="I139" s="702"/>
      <c r="J139" s="702"/>
      <c r="K139" s="702"/>
      <c r="L139" s="702"/>
      <c r="M139" s="702"/>
    </row>
    <row r="140" spans="1:13" s="507" customFormat="1" ht="10.5" customHeight="1">
      <c r="A140" s="702"/>
      <c r="B140" s="702"/>
      <c r="C140" s="702"/>
      <c r="D140" s="702"/>
      <c r="E140" s="702"/>
      <c r="F140" s="702"/>
      <c r="G140" s="702"/>
      <c r="H140" s="702"/>
      <c r="I140" s="702"/>
      <c r="J140" s="702"/>
      <c r="K140" s="702"/>
      <c r="L140" s="702"/>
      <c r="M140" s="702"/>
    </row>
    <row r="141" spans="1:13" s="507" customFormat="1" ht="10.5" customHeight="1">
      <c r="A141" s="702"/>
      <c r="B141" s="702"/>
      <c r="C141" s="702"/>
      <c r="D141" s="702"/>
      <c r="E141" s="702"/>
      <c r="F141" s="702"/>
      <c r="G141" s="702"/>
      <c r="H141" s="702"/>
      <c r="I141" s="702"/>
      <c r="J141" s="702"/>
      <c r="K141" s="702"/>
      <c r="L141" s="702"/>
      <c r="M141" s="702"/>
    </row>
    <row r="142" spans="1:13" s="507" customFormat="1" ht="10.5" customHeight="1">
      <c r="A142" s="702"/>
      <c r="B142" s="702"/>
      <c r="C142" s="702"/>
      <c r="D142" s="702"/>
      <c r="E142" s="702"/>
      <c r="F142" s="702"/>
      <c r="G142" s="702"/>
      <c r="H142" s="702"/>
      <c r="I142" s="702"/>
      <c r="J142" s="702"/>
      <c r="K142" s="702"/>
      <c r="L142" s="702"/>
      <c r="M142" s="702"/>
    </row>
    <row r="143" spans="1:13" s="507" customFormat="1" ht="10.5" customHeight="1">
      <c r="A143" s="702"/>
      <c r="B143" s="702"/>
      <c r="C143" s="702"/>
      <c r="D143" s="702"/>
      <c r="E143" s="702"/>
      <c r="F143" s="702"/>
      <c r="G143" s="702"/>
      <c r="H143" s="702"/>
      <c r="I143" s="702"/>
      <c r="J143" s="702"/>
      <c r="K143" s="702"/>
      <c r="L143" s="702"/>
      <c r="M143" s="702"/>
    </row>
    <row r="144" spans="1:13" s="507" customFormat="1" ht="10.5" customHeight="1">
      <c r="A144" s="702"/>
      <c r="B144" s="702"/>
      <c r="C144" s="702"/>
      <c r="D144" s="702"/>
      <c r="E144" s="702"/>
      <c r="F144" s="702"/>
      <c r="G144" s="702"/>
      <c r="H144" s="702"/>
      <c r="I144" s="702"/>
      <c r="J144" s="702"/>
      <c r="K144" s="702"/>
      <c r="L144" s="702"/>
      <c r="M144" s="702"/>
    </row>
    <row r="145" spans="1:13" s="507" customFormat="1" ht="10.5" customHeight="1">
      <c r="A145" s="702"/>
      <c r="B145" s="702"/>
      <c r="C145" s="702"/>
      <c r="D145" s="702"/>
      <c r="E145" s="702"/>
      <c r="F145" s="702"/>
      <c r="G145" s="702"/>
      <c r="H145" s="702"/>
      <c r="I145" s="702"/>
      <c r="J145" s="702"/>
      <c r="K145" s="702"/>
      <c r="L145" s="702"/>
      <c r="M145" s="702"/>
    </row>
    <row r="146" spans="1:13" s="507" customFormat="1" ht="10.5" customHeight="1">
      <c r="A146" s="702"/>
      <c r="B146" s="702"/>
      <c r="C146" s="702"/>
      <c r="D146" s="702"/>
      <c r="E146" s="702"/>
      <c r="F146" s="702"/>
      <c r="G146" s="702"/>
      <c r="H146" s="702"/>
      <c r="I146" s="702"/>
      <c r="J146" s="702"/>
      <c r="K146" s="702"/>
      <c r="L146" s="702"/>
      <c r="M146" s="702"/>
    </row>
    <row r="147" spans="1:13" s="507" customFormat="1" ht="10.5" customHeight="1">
      <c r="A147" s="702"/>
      <c r="B147" s="702"/>
      <c r="C147" s="702"/>
      <c r="D147" s="702"/>
      <c r="E147" s="702"/>
      <c r="F147" s="702"/>
      <c r="G147" s="702"/>
      <c r="H147" s="702"/>
      <c r="I147" s="702"/>
      <c r="J147" s="702"/>
      <c r="K147" s="702"/>
      <c r="L147" s="702"/>
      <c r="M147" s="702"/>
    </row>
    <row r="148" spans="1:13" s="507" customFormat="1" ht="10.5" customHeight="1">
      <c r="A148" s="702"/>
      <c r="B148" s="702"/>
      <c r="C148" s="702"/>
      <c r="D148" s="702"/>
      <c r="E148" s="702"/>
      <c r="F148" s="702"/>
      <c r="G148" s="702"/>
      <c r="H148" s="702"/>
      <c r="I148" s="702"/>
      <c r="J148" s="702"/>
      <c r="K148" s="702"/>
      <c r="L148" s="702"/>
      <c r="M148" s="702"/>
    </row>
    <row r="149" spans="1:13" s="507" customFormat="1" ht="10.5" customHeight="1">
      <c r="A149" s="702"/>
      <c r="B149" s="702"/>
      <c r="C149" s="702"/>
      <c r="D149" s="702"/>
      <c r="E149" s="702"/>
      <c r="F149" s="702"/>
      <c r="G149" s="702"/>
      <c r="H149" s="702"/>
      <c r="I149" s="702"/>
      <c r="J149" s="702"/>
      <c r="K149" s="702"/>
      <c r="L149" s="702"/>
      <c r="M149" s="702"/>
    </row>
    <row r="150" spans="1:13" s="507" customFormat="1" ht="10.5" customHeight="1">
      <c r="A150" s="702"/>
      <c r="B150" s="702"/>
      <c r="C150" s="702"/>
      <c r="D150" s="702"/>
      <c r="E150" s="702"/>
      <c r="F150" s="702"/>
      <c r="G150" s="702"/>
      <c r="H150" s="702"/>
      <c r="I150" s="702"/>
      <c r="J150" s="702"/>
      <c r="K150" s="702"/>
      <c r="L150" s="702"/>
      <c r="M150" s="702"/>
    </row>
    <row r="151" spans="1:13" s="507" customFormat="1" ht="10.5" customHeight="1">
      <c r="A151" s="702"/>
      <c r="B151" s="702"/>
      <c r="C151" s="702"/>
      <c r="D151" s="702"/>
      <c r="E151" s="702"/>
      <c r="F151" s="702"/>
      <c r="G151" s="702"/>
      <c r="H151" s="702"/>
      <c r="I151" s="702"/>
      <c r="J151" s="702"/>
      <c r="K151" s="702"/>
      <c r="L151" s="702"/>
      <c r="M151" s="702"/>
    </row>
    <row r="152" spans="1:13" s="507" customFormat="1" ht="10.5" customHeight="1">
      <c r="A152" s="702"/>
      <c r="B152" s="702"/>
      <c r="C152" s="702"/>
      <c r="D152" s="702"/>
      <c r="E152" s="702"/>
      <c r="F152" s="702"/>
      <c r="G152" s="702"/>
      <c r="H152" s="702"/>
      <c r="I152" s="702"/>
      <c r="J152" s="702"/>
      <c r="K152" s="702"/>
      <c r="L152" s="702"/>
      <c r="M152" s="702"/>
    </row>
    <row r="153" spans="1:13" s="507" customFormat="1" ht="10.5" customHeight="1">
      <c r="A153" s="702"/>
      <c r="B153" s="702"/>
      <c r="C153" s="702"/>
      <c r="D153" s="702"/>
      <c r="E153" s="702"/>
      <c r="F153" s="702"/>
      <c r="G153" s="702"/>
      <c r="H153" s="702"/>
      <c r="I153" s="702"/>
      <c r="J153" s="702"/>
      <c r="K153" s="702"/>
      <c r="L153" s="702"/>
      <c r="M153" s="702"/>
    </row>
    <row r="154" spans="1:13" s="507" customFormat="1" ht="10.5" customHeight="1">
      <c r="A154" s="702"/>
      <c r="B154" s="702"/>
      <c r="C154" s="702"/>
      <c r="D154" s="702"/>
      <c r="E154" s="702"/>
      <c r="F154" s="702"/>
      <c r="G154" s="702"/>
      <c r="H154" s="702"/>
      <c r="I154" s="702"/>
      <c r="J154" s="702"/>
      <c r="K154" s="702"/>
      <c r="L154" s="702"/>
      <c r="M154" s="702"/>
    </row>
    <row r="155" spans="1:13" s="507" customFormat="1" ht="10.5" customHeight="1">
      <c r="A155" s="702"/>
      <c r="B155" s="702"/>
      <c r="C155" s="702"/>
      <c r="D155" s="702"/>
      <c r="E155" s="702"/>
      <c r="F155" s="702"/>
      <c r="G155" s="702"/>
      <c r="H155" s="702"/>
      <c r="I155" s="702"/>
      <c r="J155" s="702"/>
      <c r="K155" s="702"/>
      <c r="L155" s="702"/>
      <c r="M155" s="702"/>
    </row>
    <row r="156" spans="1:13" s="507" customFormat="1" ht="10.5" customHeight="1">
      <c r="A156" s="702"/>
      <c r="B156" s="702"/>
      <c r="C156" s="702"/>
      <c r="D156" s="702"/>
      <c r="E156" s="702"/>
      <c r="F156" s="702"/>
      <c r="G156" s="702"/>
      <c r="H156" s="702"/>
      <c r="I156" s="702"/>
      <c r="J156" s="702"/>
      <c r="K156" s="702"/>
      <c r="L156" s="702"/>
      <c r="M156" s="702"/>
    </row>
    <row r="157" spans="1:13" s="507" customFormat="1" ht="10.5" customHeight="1">
      <c r="A157" s="702"/>
      <c r="B157" s="702"/>
      <c r="C157" s="702"/>
      <c r="D157" s="702"/>
      <c r="E157" s="702"/>
      <c r="F157" s="702"/>
      <c r="G157" s="702"/>
      <c r="H157" s="702"/>
      <c r="I157" s="702"/>
      <c r="J157" s="702"/>
      <c r="K157" s="702"/>
      <c r="L157" s="702"/>
      <c r="M157" s="702"/>
    </row>
    <row r="158" spans="1:13" s="507" customFormat="1" ht="10.5" customHeight="1">
      <c r="A158" s="702"/>
      <c r="B158" s="702"/>
      <c r="C158" s="702"/>
      <c r="D158" s="702"/>
      <c r="E158" s="702"/>
      <c r="F158" s="702"/>
      <c r="G158" s="702"/>
      <c r="H158" s="702"/>
      <c r="I158" s="702"/>
      <c r="J158" s="702"/>
      <c r="K158" s="702"/>
      <c r="L158" s="702"/>
      <c r="M158" s="702"/>
    </row>
    <row r="159" spans="1:13" s="507" customFormat="1" ht="10.5" customHeight="1">
      <c r="A159" s="702"/>
      <c r="B159" s="702"/>
      <c r="C159" s="702"/>
      <c r="D159" s="702"/>
      <c r="E159" s="702"/>
      <c r="F159" s="702"/>
      <c r="G159" s="702"/>
      <c r="H159" s="702"/>
      <c r="I159" s="702"/>
      <c r="J159" s="702"/>
      <c r="K159" s="702"/>
      <c r="L159" s="702"/>
      <c r="M159" s="702"/>
    </row>
    <row r="160" spans="1:13" s="507" customFormat="1" ht="8.25">
      <c r="A160" s="702"/>
      <c r="B160" s="702"/>
      <c r="C160" s="702"/>
      <c r="D160" s="702"/>
      <c r="E160" s="702"/>
      <c r="F160" s="702"/>
      <c r="G160" s="702"/>
      <c r="H160" s="702"/>
      <c r="I160" s="702"/>
      <c r="J160" s="702"/>
      <c r="K160" s="702"/>
      <c r="L160" s="702"/>
      <c r="M160" s="702"/>
    </row>
    <row r="161" spans="1:13" s="507" customFormat="1" ht="8.25">
      <c r="A161" s="702"/>
      <c r="B161" s="702"/>
      <c r="C161" s="702"/>
      <c r="D161" s="702"/>
      <c r="E161" s="702"/>
      <c r="F161" s="702"/>
      <c r="G161" s="702"/>
      <c r="H161" s="702"/>
      <c r="I161" s="702"/>
      <c r="J161" s="702"/>
      <c r="K161" s="702"/>
      <c r="L161" s="702"/>
      <c r="M161" s="702"/>
    </row>
    <row r="162" spans="1:13" s="507" customFormat="1" ht="8.25">
      <c r="A162" s="702"/>
      <c r="B162" s="702"/>
      <c r="C162" s="702"/>
      <c r="D162" s="702"/>
      <c r="E162" s="702"/>
      <c r="F162" s="702"/>
      <c r="G162" s="702"/>
      <c r="H162" s="702"/>
      <c r="I162" s="702"/>
      <c r="J162" s="702"/>
      <c r="K162" s="702"/>
      <c r="L162" s="702"/>
      <c r="M162" s="702"/>
    </row>
    <row r="163" spans="1:13" s="507" customFormat="1" ht="8.25">
      <c r="A163" s="702"/>
      <c r="B163" s="702"/>
      <c r="C163" s="702"/>
      <c r="D163" s="702"/>
      <c r="E163" s="702"/>
      <c r="F163" s="702"/>
      <c r="G163" s="702"/>
      <c r="H163" s="702"/>
      <c r="I163" s="702"/>
      <c r="J163" s="702"/>
      <c r="K163" s="702"/>
      <c r="L163" s="702"/>
      <c r="M163" s="702"/>
    </row>
    <row r="164" spans="1:13" s="507" customFormat="1" ht="8.25">
      <c r="A164" s="702"/>
      <c r="B164" s="702"/>
      <c r="C164" s="702"/>
      <c r="D164" s="702"/>
      <c r="E164" s="702"/>
      <c r="F164" s="702"/>
      <c r="G164" s="702"/>
      <c r="H164" s="702"/>
      <c r="I164" s="702"/>
      <c r="J164" s="702"/>
      <c r="K164" s="702"/>
      <c r="L164" s="702"/>
      <c r="M164" s="702"/>
    </row>
    <row r="165" spans="1:13" s="507" customFormat="1" ht="8.25">
      <c r="A165" s="702"/>
      <c r="B165" s="702"/>
      <c r="C165" s="702"/>
      <c r="D165" s="702"/>
      <c r="E165" s="702"/>
      <c r="F165" s="702"/>
      <c r="G165" s="702"/>
      <c r="H165" s="702"/>
      <c r="I165" s="702"/>
      <c r="J165" s="702"/>
      <c r="K165" s="702"/>
      <c r="L165" s="702"/>
      <c r="M165" s="702"/>
    </row>
    <row r="166" spans="1:13" s="507" customFormat="1" ht="8.25">
      <c r="A166" s="702"/>
      <c r="B166" s="702"/>
      <c r="C166" s="702"/>
      <c r="D166" s="702"/>
      <c r="E166" s="702"/>
      <c r="F166" s="702"/>
      <c r="G166" s="702"/>
      <c r="H166" s="702"/>
      <c r="I166" s="702"/>
      <c r="J166" s="702"/>
      <c r="K166" s="702"/>
      <c r="L166" s="702"/>
      <c r="M166" s="702"/>
    </row>
    <row r="167" spans="1:13" s="507" customFormat="1" ht="8.25">
      <c r="A167" s="702"/>
      <c r="B167" s="702"/>
      <c r="C167" s="702"/>
      <c r="D167" s="702"/>
      <c r="E167" s="702"/>
      <c r="F167" s="702"/>
      <c r="G167" s="702"/>
      <c r="H167" s="702"/>
      <c r="I167" s="702"/>
      <c r="J167" s="702"/>
      <c r="K167" s="702"/>
      <c r="L167" s="702"/>
      <c r="M167" s="702"/>
    </row>
    <row r="168" spans="1:13" s="507" customFormat="1" ht="8.25">
      <c r="A168" s="702"/>
      <c r="B168" s="702"/>
      <c r="C168" s="702"/>
      <c r="D168" s="702"/>
      <c r="E168" s="702"/>
      <c r="F168" s="702"/>
      <c r="G168" s="702"/>
      <c r="H168" s="702"/>
      <c r="I168" s="702"/>
      <c r="J168" s="702"/>
      <c r="K168" s="702"/>
      <c r="L168" s="702"/>
      <c r="M168" s="702"/>
    </row>
    <row r="169" spans="1:13" s="507" customFormat="1" ht="8.25">
      <c r="A169" s="702"/>
      <c r="B169" s="702"/>
      <c r="C169" s="702"/>
      <c r="D169" s="702"/>
      <c r="E169" s="702"/>
      <c r="F169" s="702"/>
      <c r="G169" s="702"/>
      <c r="H169" s="702"/>
      <c r="I169" s="702"/>
      <c r="J169" s="702"/>
      <c r="K169" s="702"/>
      <c r="L169" s="702"/>
      <c r="M169" s="702"/>
    </row>
    <row r="170" spans="1:13" s="507" customFormat="1" ht="8.25">
      <c r="A170" s="702"/>
      <c r="B170" s="702"/>
      <c r="C170" s="702"/>
      <c r="D170" s="702"/>
      <c r="E170" s="702"/>
      <c r="F170" s="702"/>
      <c r="G170" s="702"/>
      <c r="H170" s="702"/>
      <c r="I170" s="702"/>
      <c r="J170" s="702"/>
      <c r="K170" s="702"/>
      <c r="L170" s="702"/>
      <c r="M170" s="702"/>
    </row>
    <row r="171" spans="1:13" s="507" customFormat="1" ht="8.25">
      <c r="A171" s="702"/>
      <c r="B171" s="702"/>
      <c r="C171" s="702"/>
      <c r="D171" s="702"/>
      <c r="E171" s="702"/>
      <c r="F171" s="702"/>
      <c r="G171" s="702"/>
      <c r="H171" s="702"/>
      <c r="I171" s="702"/>
      <c r="J171" s="702"/>
      <c r="K171" s="702"/>
      <c r="L171" s="702"/>
      <c r="M171" s="702"/>
    </row>
    <row r="172" spans="1:13" s="507" customFormat="1" ht="8.25">
      <c r="A172" s="702"/>
      <c r="B172" s="702"/>
      <c r="C172" s="702"/>
      <c r="D172" s="702"/>
      <c r="E172" s="702"/>
      <c r="F172" s="702"/>
      <c r="G172" s="702"/>
      <c r="H172" s="702"/>
      <c r="I172" s="702"/>
      <c r="J172" s="702"/>
      <c r="K172" s="702"/>
      <c r="L172" s="702"/>
      <c r="M172" s="702"/>
    </row>
    <row r="173" spans="1:13" s="507" customFormat="1" ht="8.25">
      <c r="A173" s="702"/>
      <c r="B173" s="702"/>
      <c r="C173" s="702"/>
      <c r="D173" s="702"/>
      <c r="E173" s="702"/>
      <c r="F173" s="702"/>
      <c r="G173" s="702"/>
      <c r="H173" s="702"/>
      <c r="I173" s="702"/>
      <c r="J173" s="702"/>
      <c r="K173" s="702"/>
      <c r="L173" s="702"/>
      <c r="M173" s="702"/>
    </row>
    <row r="174" spans="1:13" s="507" customFormat="1" ht="8.25">
      <c r="A174" s="702"/>
      <c r="B174" s="702"/>
      <c r="C174" s="702"/>
      <c r="D174" s="702"/>
      <c r="E174" s="702"/>
      <c r="F174" s="702"/>
      <c r="G174" s="702"/>
      <c r="H174" s="702"/>
      <c r="I174" s="702"/>
      <c r="J174" s="702"/>
      <c r="K174" s="702"/>
      <c r="L174" s="702"/>
      <c r="M174" s="702"/>
    </row>
    <row r="175" spans="1:13" s="507" customFormat="1" ht="8.25">
      <c r="A175" s="702"/>
      <c r="B175" s="702"/>
      <c r="C175" s="702"/>
      <c r="D175" s="702"/>
      <c r="E175" s="702"/>
      <c r="F175" s="702"/>
      <c r="G175" s="702"/>
      <c r="H175" s="702"/>
      <c r="I175" s="702"/>
      <c r="J175" s="702"/>
      <c r="K175" s="702"/>
      <c r="L175" s="702"/>
      <c r="M175" s="702"/>
    </row>
    <row r="176" spans="1:13" s="507" customFormat="1" ht="8.25">
      <c r="A176" s="702"/>
      <c r="B176" s="702"/>
      <c r="C176" s="702"/>
      <c r="D176" s="702"/>
      <c r="E176" s="702"/>
      <c r="F176" s="702"/>
      <c r="G176" s="702"/>
      <c r="H176" s="702"/>
      <c r="I176" s="702"/>
      <c r="J176" s="702"/>
      <c r="K176" s="702"/>
      <c r="L176" s="702"/>
      <c r="M176" s="702"/>
    </row>
    <row r="177" spans="1:13" s="507" customFormat="1" ht="8.25">
      <c r="A177" s="702"/>
      <c r="B177" s="702"/>
      <c r="C177" s="702"/>
      <c r="D177" s="702"/>
      <c r="E177" s="702"/>
      <c r="F177" s="702"/>
      <c r="G177" s="702"/>
      <c r="H177" s="702"/>
      <c r="I177" s="702"/>
      <c r="J177" s="702"/>
      <c r="K177" s="702"/>
      <c r="L177" s="702"/>
      <c r="M177" s="702"/>
    </row>
    <row r="178" spans="1:13" s="507" customFormat="1" ht="8.25">
      <c r="A178" s="702"/>
      <c r="B178" s="702"/>
      <c r="C178" s="702"/>
      <c r="D178" s="702"/>
      <c r="E178" s="702"/>
      <c r="F178" s="702"/>
      <c r="G178" s="702"/>
      <c r="H178" s="702"/>
      <c r="I178" s="702"/>
      <c r="J178" s="702"/>
      <c r="K178" s="702"/>
      <c r="L178" s="702"/>
      <c r="M178" s="702"/>
    </row>
    <row r="179" spans="1:13" s="507" customFormat="1" ht="8.25">
      <c r="A179" s="702"/>
      <c r="B179" s="702"/>
      <c r="C179" s="702"/>
      <c r="D179" s="702"/>
      <c r="E179" s="702"/>
      <c r="F179" s="702"/>
      <c r="G179" s="702"/>
      <c r="H179" s="702"/>
      <c r="I179" s="702"/>
      <c r="J179" s="702"/>
      <c r="K179" s="702"/>
      <c r="L179" s="702"/>
      <c r="M179" s="702"/>
    </row>
    <row r="180" spans="1:13" s="507" customFormat="1" ht="8.25">
      <c r="A180" s="702"/>
      <c r="B180" s="702"/>
      <c r="C180" s="702"/>
      <c r="D180" s="702"/>
      <c r="E180" s="702"/>
      <c r="F180" s="702"/>
      <c r="G180" s="702"/>
      <c r="H180" s="702"/>
      <c r="I180" s="702"/>
      <c r="J180" s="702"/>
      <c r="K180" s="702"/>
      <c r="L180" s="702"/>
      <c r="M180" s="702"/>
    </row>
  </sheetData>
  <mergeCells count="3">
    <mergeCell ref="A2:A5"/>
    <mergeCell ref="B2:B5"/>
    <mergeCell ref="C2:F2"/>
  </mergeCells>
  <conditionalFormatting sqref="I6:J70">
    <cfRule type="cellIs" dxfId="5" priority="1" operator="greaterThan">
      <formula>0</formula>
    </cfRule>
  </conditionalFormatting>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M114"/>
  <sheetViews>
    <sheetView showGridLines="0" view="pageBreakPreview" zoomScale="120" zoomScaleNormal="100" zoomScaleSheetLayoutView="120" zoomScalePageLayoutView="160" workbookViewId="0">
      <selection activeCell="M27" sqref="M27"/>
    </sheetView>
  </sheetViews>
  <sheetFormatPr defaultRowHeight="9"/>
  <cols>
    <col min="1" max="1" width="28.6640625" style="392" customWidth="1"/>
    <col min="2" max="2" width="22.1640625" style="392" customWidth="1"/>
    <col min="3" max="4" width="17.6640625" style="392" customWidth="1"/>
    <col min="5" max="5" width="15.1640625" style="392" customWidth="1"/>
    <col min="6" max="6" width="13.33203125" style="392" customWidth="1"/>
    <col min="7" max="9" width="9.33203125" style="392"/>
    <col min="10" max="11" width="9.33203125" style="392" customWidth="1"/>
    <col min="12" max="13" width="9.33203125" style="392"/>
    <col min="14" max="16384" width="9.33203125" style="393"/>
  </cols>
  <sheetData>
    <row r="1" spans="1:13" s="507" customFormat="1" ht="11.25" customHeight="1">
      <c r="A1" s="991" t="s">
        <v>284</v>
      </c>
      <c r="B1" s="994" t="s">
        <v>57</v>
      </c>
      <c r="C1" s="994" t="s">
        <v>452</v>
      </c>
      <c r="D1" s="994"/>
      <c r="E1" s="994"/>
      <c r="F1" s="997"/>
      <c r="G1" s="708"/>
      <c r="H1" s="708"/>
      <c r="I1" s="708"/>
      <c r="J1" s="708"/>
      <c r="K1" s="708"/>
      <c r="L1" s="702"/>
      <c r="M1" s="702"/>
    </row>
    <row r="2" spans="1:13" s="507" customFormat="1" ht="11.25" customHeight="1">
      <c r="A2" s="992"/>
      <c r="B2" s="995"/>
      <c r="C2" s="833" t="str">
        <f>+'21. ANEXOII-1'!C3</f>
        <v>SETIEMBRE 2018</v>
      </c>
      <c r="D2" s="834" t="str">
        <f>+'21. ANEXOII-1'!D3</f>
        <v>SETIEMBRE 2017</v>
      </c>
      <c r="E2" s="835">
        <v>2018</v>
      </c>
      <c r="F2" s="836" t="s">
        <v>450</v>
      </c>
      <c r="G2" s="709"/>
      <c r="H2" s="709"/>
      <c r="I2" s="709"/>
      <c r="J2" s="709"/>
      <c r="K2" s="709"/>
      <c r="L2" s="710"/>
      <c r="M2" s="702"/>
    </row>
    <row r="3" spans="1:13" s="507" customFormat="1" ht="11.25" customHeight="1">
      <c r="A3" s="992"/>
      <c r="B3" s="995"/>
      <c r="C3" s="837">
        <f>+'8. Max Potencia'!D8</f>
        <v>43369.875</v>
      </c>
      <c r="D3" s="837">
        <f>+'8. Max Potencia'!E8</f>
        <v>42998.78125</v>
      </c>
      <c r="E3" s="837">
        <f>+'8. Max Potencia'!G8</f>
        <v>43214.78125</v>
      </c>
      <c r="F3" s="838" t="s">
        <v>441</v>
      </c>
      <c r="G3" s="711"/>
      <c r="H3" s="711"/>
      <c r="I3" s="712"/>
      <c r="J3" s="712"/>
      <c r="K3" s="712"/>
      <c r="L3" s="710"/>
      <c r="M3" s="702"/>
    </row>
    <row r="4" spans="1:13" s="507" customFormat="1" ht="11.25" customHeight="1">
      <c r="A4" s="993"/>
      <c r="B4" s="996"/>
      <c r="C4" s="839">
        <f>+'8. Max Potencia'!D9</f>
        <v>43369.875</v>
      </c>
      <c r="D4" s="839">
        <f>+'8. Max Potencia'!E9</f>
        <v>42998.78125</v>
      </c>
      <c r="E4" s="839">
        <f>+'8. Max Potencia'!G9</f>
        <v>43214.78125</v>
      </c>
      <c r="F4" s="840" t="s">
        <v>442</v>
      </c>
      <c r="G4" s="711"/>
      <c r="H4" s="711"/>
      <c r="I4" s="711"/>
      <c r="J4" s="711"/>
      <c r="K4" s="711"/>
      <c r="L4" s="713"/>
      <c r="M4" s="702"/>
    </row>
    <row r="5" spans="1:13" s="507" customFormat="1" ht="10.5" customHeight="1">
      <c r="A5" s="701" t="s">
        <v>103</v>
      </c>
      <c r="B5" s="719" t="s">
        <v>615</v>
      </c>
      <c r="C5" s="720">
        <v>0</v>
      </c>
      <c r="D5" s="720"/>
      <c r="E5" s="720">
        <v>0</v>
      </c>
      <c r="F5" s="721" t="str">
        <f>+IF(D5=0,"",C5/D5-1)</f>
        <v/>
      </c>
      <c r="G5" s="702"/>
      <c r="H5" s="702"/>
      <c r="I5" s="711"/>
      <c r="J5" s="711"/>
      <c r="K5" s="702"/>
      <c r="L5" s="702"/>
      <c r="M5" s="702"/>
    </row>
    <row r="6" spans="1:13" s="507" customFormat="1" ht="10.5" customHeight="1">
      <c r="A6" s="701"/>
      <c r="B6" s="719" t="s">
        <v>619</v>
      </c>
      <c r="C6" s="720">
        <v>36.500799999999998</v>
      </c>
      <c r="D6" s="720"/>
      <c r="E6" s="720">
        <v>124.78003</v>
      </c>
      <c r="F6" s="721" t="str">
        <f t="shared" ref="F6:F69" si="0">+IF(D6=0,"",C6/D6-1)</f>
        <v/>
      </c>
      <c r="G6" s="702"/>
      <c r="H6" s="702"/>
      <c r="I6" s="711"/>
      <c r="J6" s="711"/>
      <c r="K6" s="702"/>
      <c r="L6" s="702"/>
      <c r="M6" s="702"/>
    </row>
    <row r="7" spans="1:13" s="507" customFormat="1" ht="10.5" customHeight="1">
      <c r="A7" s="855" t="s">
        <v>370</v>
      </c>
      <c r="B7" s="856"/>
      <c r="C7" s="860">
        <v>36.500799999999998</v>
      </c>
      <c r="D7" s="860"/>
      <c r="E7" s="860">
        <v>124.78003</v>
      </c>
      <c r="F7" s="861" t="str">
        <f t="shared" si="0"/>
        <v/>
      </c>
      <c r="G7" s="702"/>
      <c r="H7" s="702"/>
      <c r="I7" s="711"/>
      <c r="J7" s="711"/>
      <c r="K7" s="702"/>
      <c r="L7" s="702"/>
      <c r="M7" s="702"/>
    </row>
    <row r="8" spans="1:13" s="507" customFormat="1" ht="10.5" customHeight="1">
      <c r="A8" s="701" t="s">
        <v>102</v>
      </c>
      <c r="B8" s="719" t="s">
        <v>81</v>
      </c>
      <c r="C8" s="720">
        <v>35.399039999999999</v>
      </c>
      <c r="D8" s="720">
        <v>76.899739999999994</v>
      </c>
      <c r="E8" s="720">
        <v>56.373829999999998</v>
      </c>
      <c r="F8" s="721">
        <f t="shared" si="0"/>
        <v>-0.53967282594193422</v>
      </c>
      <c r="G8" s="702"/>
      <c r="H8" s="702"/>
      <c r="I8" s="711"/>
      <c r="J8" s="711"/>
      <c r="K8" s="702"/>
      <c r="L8" s="702"/>
      <c r="M8" s="702"/>
    </row>
    <row r="9" spans="1:13" s="507" customFormat="1" ht="10.5" customHeight="1">
      <c r="A9" s="701"/>
      <c r="B9" s="719" t="s">
        <v>83</v>
      </c>
      <c r="C9" s="720">
        <v>24.802199999999999</v>
      </c>
      <c r="D9" s="720">
        <v>29.886600000000001</v>
      </c>
      <c r="E9" s="720">
        <v>12.37213</v>
      </c>
      <c r="F9" s="721">
        <f t="shared" si="0"/>
        <v>-0.17012306518640463</v>
      </c>
      <c r="G9" s="702"/>
      <c r="H9" s="702"/>
      <c r="I9" s="711"/>
      <c r="J9" s="711"/>
      <c r="K9" s="702"/>
      <c r="L9" s="702"/>
      <c r="M9" s="702"/>
    </row>
    <row r="10" spans="1:13" s="507" customFormat="1" ht="10.5" customHeight="1">
      <c r="A10" s="855" t="s">
        <v>371</v>
      </c>
      <c r="B10" s="856"/>
      <c r="C10" s="860">
        <v>60.201239999999999</v>
      </c>
      <c r="D10" s="860">
        <v>106.78634</v>
      </c>
      <c r="E10" s="860">
        <v>68.745959999999997</v>
      </c>
      <c r="F10" s="861">
        <f t="shared" si="0"/>
        <v>-0.4362458718970984</v>
      </c>
      <c r="G10" s="702"/>
      <c r="H10" s="702"/>
      <c r="I10" s="711"/>
      <c r="J10" s="711"/>
      <c r="K10" s="702"/>
      <c r="L10" s="702"/>
      <c r="M10" s="702"/>
    </row>
    <row r="11" spans="1:13" s="507" customFormat="1" ht="10.5" customHeight="1">
      <c r="A11" s="701" t="s">
        <v>92</v>
      </c>
      <c r="B11" s="719" t="s">
        <v>372</v>
      </c>
      <c r="C11" s="720">
        <v>50.171979999999998</v>
      </c>
      <c r="D11" s="720">
        <v>63.140920000000001</v>
      </c>
      <c r="E11" s="720">
        <v>108.30475</v>
      </c>
      <c r="F11" s="721">
        <f t="shared" si="0"/>
        <v>-0.20539675380086331</v>
      </c>
      <c r="G11" s="702"/>
      <c r="H11" s="702"/>
      <c r="I11" s="711"/>
      <c r="J11" s="711"/>
      <c r="K11" s="702"/>
      <c r="L11" s="702"/>
      <c r="M11" s="702"/>
    </row>
    <row r="12" spans="1:13" s="507" customFormat="1" ht="10.5" customHeight="1">
      <c r="A12" s="701"/>
      <c r="B12" s="719" t="s">
        <v>373</v>
      </c>
      <c r="C12" s="720">
        <v>86.306110000000004</v>
      </c>
      <c r="D12" s="720">
        <v>90.892600000000002</v>
      </c>
      <c r="E12" s="720">
        <v>131.79328000000001</v>
      </c>
      <c r="F12" s="721">
        <f t="shared" si="0"/>
        <v>-5.0460543542598657E-2</v>
      </c>
      <c r="G12" s="702"/>
      <c r="H12" s="702"/>
      <c r="I12" s="711"/>
      <c r="J12" s="711"/>
      <c r="K12" s="702"/>
      <c r="L12" s="702"/>
      <c r="M12" s="702"/>
    </row>
    <row r="13" spans="1:13" s="507" customFormat="1" ht="10.5" customHeight="1">
      <c r="A13" s="701"/>
      <c r="B13" s="719" t="s">
        <v>374</v>
      </c>
      <c r="C13" s="720">
        <v>744.30408999999997</v>
      </c>
      <c r="D13" s="720">
        <v>487.61680000000001</v>
      </c>
      <c r="E13" s="720">
        <v>0</v>
      </c>
      <c r="F13" s="721">
        <f t="shared" si="0"/>
        <v>0.52641190787520031</v>
      </c>
      <c r="G13" s="702"/>
      <c r="H13" s="702"/>
      <c r="I13" s="711"/>
      <c r="J13" s="711"/>
      <c r="K13" s="702"/>
      <c r="L13" s="702"/>
      <c r="M13" s="702"/>
    </row>
    <row r="14" spans="1:13" s="507" customFormat="1" ht="10.5" customHeight="1">
      <c r="A14" s="701"/>
      <c r="B14" s="719" t="s">
        <v>375</v>
      </c>
      <c r="C14" s="720">
        <v>105.68222</v>
      </c>
      <c r="D14" s="720">
        <v>0</v>
      </c>
      <c r="E14" s="720">
        <v>0</v>
      </c>
      <c r="F14" s="721" t="str">
        <f t="shared" si="0"/>
        <v/>
      </c>
      <c r="G14" s="702"/>
      <c r="H14" s="702"/>
      <c r="I14" s="711"/>
      <c r="J14" s="711"/>
      <c r="K14" s="702"/>
      <c r="L14" s="702"/>
      <c r="M14" s="702"/>
    </row>
    <row r="15" spans="1:13" s="507" customFormat="1" ht="10.5" customHeight="1">
      <c r="A15" s="701"/>
      <c r="B15" s="719" t="s">
        <v>445</v>
      </c>
      <c r="C15" s="720"/>
      <c r="D15" s="720">
        <v>0</v>
      </c>
      <c r="E15" s="720"/>
      <c r="F15" s="721" t="str">
        <f t="shared" si="0"/>
        <v/>
      </c>
      <c r="G15" s="702"/>
      <c r="H15" s="702"/>
      <c r="I15" s="711"/>
      <c r="J15" s="711"/>
      <c r="K15" s="702"/>
      <c r="L15" s="702"/>
      <c r="M15" s="702"/>
    </row>
    <row r="16" spans="1:13" s="507" customFormat="1" ht="10.5" customHeight="1">
      <c r="A16" s="701"/>
      <c r="B16" s="719" t="s">
        <v>376</v>
      </c>
      <c r="C16" s="720">
        <v>0</v>
      </c>
      <c r="D16" s="720">
        <v>131.03271000000001</v>
      </c>
      <c r="E16" s="720">
        <v>0</v>
      </c>
      <c r="F16" s="721">
        <f t="shared" si="0"/>
        <v>-1</v>
      </c>
      <c r="G16" s="702"/>
      <c r="H16" s="702"/>
      <c r="I16" s="711"/>
      <c r="J16" s="711"/>
      <c r="K16" s="702"/>
      <c r="L16" s="702"/>
      <c r="M16" s="702"/>
    </row>
    <row r="17" spans="1:13" s="507" customFormat="1" ht="10.5" customHeight="1">
      <c r="A17" s="701"/>
      <c r="B17" s="719" t="s">
        <v>377</v>
      </c>
      <c r="C17" s="720">
        <v>0</v>
      </c>
      <c r="D17" s="720">
        <v>0</v>
      </c>
      <c r="E17" s="720">
        <v>0</v>
      </c>
      <c r="F17" s="721" t="str">
        <f t="shared" si="0"/>
        <v/>
      </c>
      <c r="G17" s="702"/>
      <c r="H17" s="702"/>
      <c r="I17" s="711"/>
      <c r="J17" s="711"/>
      <c r="K17" s="702"/>
      <c r="L17" s="702"/>
      <c r="M17" s="702"/>
    </row>
    <row r="18" spans="1:13" s="507" customFormat="1" ht="10.5" customHeight="1">
      <c r="A18" s="701"/>
      <c r="B18" s="719" t="s">
        <v>378</v>
      </c>
      <c r="C18" s="720">
        <v>0</v>
      </c>
      <c r="D18" s="720">
        <v>0</v>
      </c>
      <c r="E18" s="720">
        <v>0</v>
      </c>
      <c r="F18" s="721" t="str">
        <f t="shared" si="0"/>
        <v/>
      </c>
      <c r="G18" s="702"/>
      <c r="H18" s="702"/>
      <c r="I18" s="711"/>
      <c r="J18" s="711"/>
      <c r="K18" s="702"/>
      <c r="L18" s="702"/>
      <c r="M18" s="702"/>
    </row>
    <row r="19" spans="1:13" s="507" customFormat="1" ht="10.5" customHeight="1">
      <c r="A19" s="701"/>
      <c r="B19" s="719" t="s">
        <v>799</v>
      </c>
      <c r="C19" s="720">
        <v>0</v>
      </c>
      <c r="D19" s="720"/>
      <c r="E19" s="720">
        <v>0</v>
      </c>
      <c r="F19" s="721" t="str">
        <f t="shared" si="0"/>
        <v/>
      </c>
      <c r="G19" s="702"/>
      <c r="H19" s="702"/>
      <c r="I19" s="711"/>
      <c r="J19" s="711"/>
      <c r="K19" s="702"/>
      <c r="L19" s="702"/>
      <c r="M19" s="702"/>
    </row>
    <row r="20" spans="1:13" s="507" customFormat="1" ht="10.5" customHeight="1">
      <c r="A20" s="855" t="s">
        <v>379</v>
      </c>
      <c r="B20" s="856"/>
      <c r="C20" s="860">
        <v>986.46439999999996</v>
      </c>
      <c r="D20" s="860">
        <v>772.68302999999992</v>
      </c>
      <c r="E20" s="860">
        <v>240.09802999999999</v>
      </c>
      <c r="F20" s="861">
        <f t="shared" si="0"/>
        <v>0.27667408458549958</v>
      </c>
      <c r="G20" s="702"/>
      <c r="H20" s="702"/>
      <c r="I20" s="711"/>
      <c r="J20" s="711"/>
      <c r="K20" s="702"/>
      <c r="L20" s="702"/>
      <c r="M20" s="702"/>
    </row>
    <row r="21" spans="1:13" s="507" customFormat="1" ht="10.5" customHeight="1">
      <c r="A21" s="701" t="s">
        <v>271</v>
      </c>
      <c r="B21" s="719" t="s">
        <v>380</v>
      </c>
      <c r="C21" s="720">
        <v>548.98491999999999</v>
      </c>
      <c r="D21" s="720">
        <v>554.93299000000002</v>
      </c>
      <c r="E21" s="720">
        <v>553.66996999999992</v>
      </c>
      <c r="F21" s="721">
        <f t="shared" si="0"/>
        <v>-1.0718537385928428E-2</v>
      </c>
      <c r="G21" s="702"/>
      <c r="H21" s="702"/>
      <c r="I21" s="711"/>
      <c r="J21" s="711"/>
      <c r="K21" s="702"/>
      <c r="L21" s="702"/>
      <c r="M21" s="702"/>
    </row>
    <row r="22" spans="1:13" s="507" customFormat="1" ht="10.5" customHeight="1">
      <c r="A22" s="855" t="s">
        <v>381</v>
      </c>
      <c r="B22" s="856"/>
      <c r="C22" s="860">
        <v>548.98491999999999</v>
      </c>
      <c r="D22" s="860">
        <v>554.93299000000002</v>
      </c>
      <c r="E22" s="860">
        <v>553.66996999999992</v>
      </c>
      <c r="F22" s="861">
        <f t="shared" si="0"/>
        <v>-1.0718537385928428E-2</v>
      </c>
      <c r="G22" s="702"/>
      <c r="H22" s="702"/>
      <c r="I22" s="711"/>
      <c r="J22" s="711"/>
      <c r="K22" s="702"/>
      <c r="L22" s="702"/>
      <c r="M22" s="702"/>
    </row>
    <row r="23" spans="1:13" s="507" customFormat="1" ht="10.5" customHeight="1">
      <c r="A23" s="701" t="s">
        <v>113</v>
      </c>
      <c r="B23" s="719" t="s">
        <v>69</v>
      </c>
      <c r="C23" s="720">
        <v>6.1795399999999994</v>
      </c>
      <c r="D23" s="720">
        <v>7.6752200000000004</v>
      </c>
      <c r="E23" s="720">
        <v>6.8397399999999999</v>
      </c>
      <c r="F23" s="721">
        <f t="shared" si="0"/>
        <v>-0.19487128707711321</v>
      </c>
      <c r="G23" s="702"/>
      <c r="H23" s="702"/>
      <c r="I23" s="711"/>
      <c r="J23" s="711"/>
      <c r="K23" s="702"/>
      <c r="L23" s="702"/>
      <c r="M23" s="702"/>
    </row>
    <row r="24" spans="1:13" s="507" customFormat="1" ht="10.5" customHeight="1">
      <c r="A24" s="701"/>
      <c r="B24" s="719" t="s">
        <v>623</v>
      </c>
      <c r="C24" s="720">
        <v>3.9946299999999999</v>
      </c>
      <c r="D24" s="720"/>
      <c r="E24" s="720"/>
      <c r="F24" s="721" t="str">
        <f t="shared" si="0"/>
        <v/>
      </c>
      <c r="G24" s="702"/>
      <c r="H24" s="702"/>
      <c r="I24" s="711"/>
      <c r="J24" s="711"/>
      <c r="K24" s="702"/>
      <c r="L24" s="702"/>
      <c r="M24" s="702"/>
    </row>
    <row r="25" spans="1:13" s="507" customFormat="1" ht="10.5" customHeight="1">
      <c r="A25" s="701"/>
      <c r="B25" s="719" t="s">
        <v>622</v>
      </c>
      <c r="C25" s="720">
        <v>5.4026499999999995</v>
      </c>
      <c r="D25" s="720"/>
      <c r="E25" s="720"/>
      <c r="F25" s="721" t="str">
        <f t="shared" si="0"/>
        <v/>
      </c>
      <c r="G25" s="702"/>
      <c r="H25" s="702"/>
      <c r="I25" s="711"/>
      <c r="J25" s="711"/>
      <c r="K25" s="702"/>
      <c r="L25" s="702"/>
      <c r="M25" s="702"/>
    </row>
    <row r="26" spans="1:13" s="507" customFormat="1" ht="10.5" customHeight="1">
      <c r="A26" s="701"/>
      <c r="B26" s="719" t="s">
        <v>624</v>
      </c>
      <c r="C26" s="720">
        <v>5.1814999999999998</v>
      </c>
      <c r="D26" s="720"/>
      <c r="E26" s="720"/>
      <c r="F26" s="721" t="str">
        <f t="shared" si="0"/>
        <v/>
      </c>
      <c r="G26" s="702"/>
      <c r="H26" s="702"/>
      <c r="I26" s="711"/>
      <c r="J26" s="711"/>
      <c r="K26" s="702"/>
      <c r="L26" s="702"/>
      <c r="M26" s="702"/>
    </row>
    <row r="27" spans="1:13" s="507" customFormat="1" ht="10.5" customHeight="1">
      <c r="A27" s="855" t="s">
        <v>382</v>
      </c>
      <c r="B27" s="856"/>
      <c r="C27" s="860">
        <v>20.758319999999998</v>
      </c>
      <c r="D27" s="860">
        <v>7.6752200000000004</v>
      </c>
      <c r="E27" s="860">
        <v>6.8397399999999999</v>
      </c>
      <c r="F27" s="861">
        <f t="shared" si="0"/>
        <v>1.7045895752825322</v>
      </c>
      <c r="G27" s="702"/>
      <c r="H27" s="702"/>
      <c r="I27" s="711"/>
      <c r="J27" s="711"/>
      <c r="K27" s="702"/>
      <c r="L27" s="702"/>
      <c r="M27" s="702"/>
    </row>
    <row r="28" spans="1:13" s="507" customFormat="1" ht="10.5" customHeight="1">
      <c r="A28" s="701" t="s">
        <v>116</v>
      </c>
      <c r="B28" s="719" t="s">
        <v>263</v>
      </c>
      <c r="C28" s="720">
        <v>0</v>
      </c>
      <c r="D28" s="720">
        <v>0</v>
      </c>
      <c r="E28" s="720">
        <v>0</v>
      </c>
      <c r="F28" s="721" t="str">
        <f t="shared" si="0"/>
        <v/>
      </c>
      <c r="G28" s="702"/>
      <c r="H28" s="702"/>
      <c r="I28" s="711"/>
      <c r="J28" s="711"/>
      <c r="K28" s="702"/>
      <c r="L28" s="702"/>
      <c r="M28" s="702"/>
    </row>
    <row r="29" spans="1:13" s="507" customFormat="1" ht="10.5" customHeight="1">
      <c r="A29" s="855" t="s">
        <v>383</v>
      </c>
      <c r="B29" s="856"/>
      <c r="C29" s="860">
        <v>0</v>
      </c>
      <c r="D29" s="860">
        <v>0</v>
      </c>
      <c r="E29" s="860">
        <v>0</v>
      </c>
      <c r="F29" s="861" t="str">
        <f t="shared" si="0"/>
        <v/>
      </c>
      <c r="G29" s="702"/>
      <c r="H29" s="702"/>
      <c r="I29" s="711"/>
      <c r="J29" s="711"/>
      <c r="K29" s="702"/>
      <c r="L29" s="702"/>
      <c r="M29" s="702"/>
    </row>
    <row r="30" spans="1:13" s="507" customFormat="1" ht="10.5" customHeight="1">
      <c r="A30" s="701" t="s">
        <v>117</v>
      </c>
      <c r="B30" s="719" t="s">
        <v>87</v>
      </c>
      <c r="C30" s="720">
        <v>0</v>
      </c>
      <c r="D30" s="720">
        <v>0</v>
      </c>
      <c r="E30" s="720">
        <v>0</v>
      </c>
      <c r="F30" s="721" t="str">
        <f t="shared" si="0"/>
        <v/>
      </c>
      <c r="G30" s="702"/>
      <c r="H30" s="702"/>
      <c r="I30" s="711"/>
      <c r="J30" s="711"/>
      <c r="K30" s="702"/>
      <c r="L30" s="702"/>
      <c r="M30" s="702"/>
    </row>
    <row r="31" spans="1:13" s="507" customFormat="1" ht="10.5" customHeight="1">
      <c r="A31" s="855" t="s">
        <v>384</v>
      </c>
      <c r="B31" s="856"/>
      <c r="C31" s="860">
        <v>0</v>
      </c>
      <c r="D31" s="860">
        <v>0</v>
      </c>
      <c r="E31" s="860">
        <v>0</v>
      </c>
      <c r="F31" s="861" t="str">
        <f t="shared" si="0"/>
        <v/>
      </c>
      <c r="G31" s="702"/>
      <c r="H31" s="702"/>
      <c r="I31" s="711"/>
      <c r="J31" s="711"/>
      <c r="K31" s="702"/>
      <c r="L31" s="702"/>
      <c r="M31" s="702"/>
    </row>
    <row r="32" spans="1:13" s="507" customFormat="1" ht="10.5" customHeight="1">
      <c r="A32" s="701" t="s">
        <v>121</v>
      </c>
      <c r="B32" s="719" t="s">
        <v>77</v>
      </c>
      <c r="C32" s="720">
        <v>3.2</v>
      </c>
      <c r="D32" s="720">
        <v>3.2</v>
      </c>
      <c r="E32" s="720">
        <v>0</v>
      </c>
      <c r="F32" s="721">
        <f t="shared" si="0"/>
        <v>0</v>
      </c>
      <c r="G32" s="702"/>
      <c r="H32" s="702"/>
      <c r="I32" s="711"/>
      <c r="J32" s="711"/>
      <c r="K32" s="702"/>
      <c r="L32" s="702"/>
      <c r="M32" s="702"/>
    </row>
    <row r="33" spans="1:13" s="507" customFormat="1" ht="10.5" customHeight="1">
      <c r="A33" s="855" t="s">
        <v>385</v>
      </c>
      <c r="B33" s="856"/>
      <c r="C33" s="860">
        <v>3.2</v>
      </c>
      <c r="D33" s="860">
        <v>3.2</v>
      </c>
      <c r="E33" s="860">
        <v>0</v>
      </c>
      <c r="F33" s="861">
        <f t="shared" si="0"/>
        <v>0</v>
      </c>
      <c r="G33" s="702"/>
      <c r="H33" s="702"/>
      <c r="I33" s="711"/>
      <c r="J33" s="711"/>
      <c r="K33" s="702"/>
      <c r="L33" s="702"/>
      <c r="M33" s="702"/>
    </row>
    <row r="34" spans="1:13" s="507" customFormat="1" ht="10.5" customHeight="1">
      <c r="A34" s="701" t="s">
        <v>108</v>
      </c>
      <c r="B34" s="719" t="s">
        <v>386</v>
      </c>
      <c r="C34" s="720">
        <v>17.507999999999999</v>
      </c>
      <c r="D34" s="720">
        <v>17.475999999999999</v>
      </c>
      <c r="E34" s="720">
        <v>19.619999999999997</v>
      </c>
      <c r="F34" s="721">
        <f t="shared" si="0"/>
        <v>1.8310826276035641E-3</v>
      </c>
      <c r="G34" s="702"/>
      <c r="H34" s="702"/>
      <c r="I34" s="711"/>
      <c r="J34" s="711"/>
      <c r="K34" s="702"/>
      <c r="L34" s="702"/>
      <c r="M34" s="702"/>
    </row>
    <row r="35" spans="1:13" s="507" customFormat="1" ht="10.5" customHeight="1">
      <c r="A35" s="855" t="s">
        <v>387</v>
      </c>
      <c r="B35" s="856"/>
      <c r="C35" s="860">
        <v>17.507999999999999</v>
      </c>
      <c r="D35" s="860">
        <v>17.475999999999999</v>
      </c>
      <c r="E35" s="860">
        <v>19.619999999999997</v>
      </c>
      <c r="F35" s="861">
        <f t="shared" si="0"/>
        <v>1.8310826276035641E-3</v>
      </c>
      <c r="G35" s="702"/>
      <c r="H35" s="702"/>
      <c r="I35" s="711"/>
      <c r="J35" s="711"/>
      <c r="K35" s="702"/>
      <c r="L35" s="702"/>
      <c r="M35" s="702"/>
    </row>
    <row r="36" spans="1:13" s="507" customFormat="1" ht="10.5" customHeight="1">
      <c r="A36" s="701" t="s">
        <v>272</v>
      </c>
      <c r="B36" s="719" t="s">
        <v>62</v>
      </c>
      <c r="C36" s="720">
        <v>16.865650000000002</v>
      </c>
      <c r="D36" s="720">
        <v>9.1316000000000006</v>
      </c>
      <c r="E36" s="720">
        <v>9.0002999999999993</v>
      </c>
      <c r="F36" s="721">
        <f t="shared" si="0"/>
        <v>0.84695453151693045</v>
      </c>
      <c r="G36" s="702"/>
      <c r="H36" s="702"/>
      <c r="I36" s="711"/>
      <c r="J36" s="711"/>
      <c r="K36" s="702"/>
      <c r="L36" s="702"/>
      <c r="M36" s="702"/>
    </row>
    <row r="37" spans="1:13" s="507" customFormat="1" ht="10.5" customHeight="1">
      <c r="A37" s="855" t="s">
        <v>389</v>
      </c>
      <c r="B37" s="856"/>
      <c r="C37" s="860">
        <v>16.865650000000002</v>
      </c>
      <c r="D37" s="860">
        <v>9.1316000000000006</v>
      </c>
      <c r="E37" s="860">
        <v>9.0002999999999993</v>
      </c>
      <c r="F37" s="861">
        <f t="shared" si="0"/>
        <v>0.84695453151693045</v>
      </c>
      <c r="G37" s="702"/>
      <c r="H37" s="702"/>
      <c r="I37" s="711"/>
      <c r="J37" s="711"/>
      <c r="K37" s="702"/>
      <c r="L37" s="702"/>
      <c r="M37" s="702"/>
    </row>
    <row r="38" spans="1:13" s="507" customFormat="1" ht="10.5" customHeight="1">
      <c r="A38" s="701" t="s">
        <v>123</v>
      </c>
      <c r="B38" s="719" t="s">
        <v>390</v>
      </c>
      <c r="C38" s="720">
        <v>0</v>
      </c>
      <c r="D38" s="720">
        <v>0</v>
      </c>
      <c r="E38" s="720">
        <v>0</v>
      </c>
      <c r="F38" s="721" t="str">
        <f t="shared" si="0"/>
        <v/>
      </c>
      <c r="G38" s="702"/>
      <c r="H38" s="702"/>
      <c r="I38" s="711"/>
      <c r="J38" s="711"/>
      <c r="K38" s="702"/>
      <c r="L38" s="702"/>
      <c r="M38" s="702"/>
    </row>
    <row r="39" spans="1:13" s="507" customFormat="1" ht="10.5" customHeight="1">
      <c r="A39" s="701"/>
      <c r="B39" s="719" t="s">
        <v>391</v>
      </c>
      <c r="C39" s="720">
        <v>0</v>
      </c>
      <c r="D39" s="720">
        <v>0</v>
      </c>
      <c r="E39" s="720">
        <v>0</v>
      </c>
      <c r="F39" s="721" t="str">
        <f t="shared" si="0"/>
        <v/>
      </c>
      <c r="G39" s="702"/>
      <c r="H39" s="702"/>
      <c r="I39" s="711"/>
      <c r="J39" s="711"/>
      <c r="K39" s="702"/>
      <c r="L39" s="702"/>
      <c r="M39" s="702"/>
    </row>
    <row r="40" spans="1:13" s="507" customFormat="1" ht="10.5" customHeight="1">
      <c r="A40" s="855" t="s">
        <v>392</v>
      </c>
      <c r="B40" s="856"/>
      <c r="C40" s="860">
        <v>0</v>
      </c>
      <c r="D40" s="860">
        <v>0</v>
      </c>
      <c r="E40" s="860">
        <v>0</v>
      </c>
      <c r="F40" s="861" t="str">
        <f t="shared" si="0"/>
        <v/>
      </c>
      <c r="G40" s="702"/>
      <c r="H40" s="702"/>
      <c r="I40" s="711"/>
      <c r="J40" s="711"/>
      <c r="K40" s="702"/>
      <c r="L40" s="702"/>
      <c r="M40" s="702"/>
    </row>
    <row r="41" spans="1:13" s="507" customFormat="1" ht="10.5" customHeight="1">
      <c r="A41" s="701" t="s">
        <v>589</v>
      </c>
      <c r="B41" s="719" t="s">
        <v>394</v>
      </c>
      <c r="C41" s="720">
        <v>798.76666</v>
      </c>
      <c r="D41" s="720">
        <v>564.47771</v>
      </c>
      <c r="E41" s="720">
        <v>508.16005999999999</v>
      </c>
      <c r="F41" s="721">
        <f t="shared" si="0"/>
        <v>0.4150543871785477</v>
      </c>
      <c r="G41" s="702"/>
      <c r="H41" s="702"/>
      <c r="I41" s="711"/>
      <c r="J41" s="711"/>
      <c r="K41" s="702"/>
      <c r="L41" s="702"/>
      <c r="M41" s="702"/>
    </row>
    <row r="42" spans="1:13" s="507" customFormat="1" ht="10.5" customHeight="1">
      <c r="A42" s="701"/>
      <c r="B42" s="719" t="s">
        <v>395</v>
      </c>
      <c r="C42" s="720">
        <v>0</v>
      </c>
      <c r="D42" s="720">
        <v>0</v>
      </c>
      <c r="E42" s="720">
        <v>0</v>
      </c>
      <c r="F42" s="721" t="str">
        <f t="shared" si="0"/>
        <v/>
      </c>
      <c r="G42" s="702"/>
      <c r="H42" s="702"/>
      <c r="I42" s="711"/>
      <c r="J42" s="711"/>
      <c r="K42" s="702"/>
      <c r="L42" s="702"/>
      <c r="M42" s="702"/>
    </row>
    <row r="43" spans="1:13" s="507" customFormat="1" ht="10.5" customHeight="1">
      <c r="A43" s="701"/>
      <c r="B43" s="719" t="s">
        <v>798</v>
      </c>
      <c r="C43" s="720">
        <v>345.38722999999999</v>
      </c>
      <c r="D43" s="720">
        <v>0</v>
      </c>
      <c r="E43" s="720">
        <v>526.44351000000006</v>
      </c>
      <c r="F43" s="721" t="str">
        <f t="shared" si="0"/>
        <v/>
      </c>
      <c r="G43" s="702"/>
      <c r="H43" s="702"/>
      <c r="I43" s="711"/>
      <c r="J43" s="711"/>
      <c r="K43" s="702"/>
      <c r="L43" s="702"/>
      <c r="M43" s="702"/>
    </row>
    <row r="44" spans="1:13" s="507" customFormat="1" ht="10.5" customHeight="1">
      <c r="A44" s="701"/>
      <c r="B44" s="719" t="s">
        <v>396</v>
      </c>
      <c r="C44" s="720">
        <v>2.77677</v>
      </c>
      <c r="D44" s="720"/>
      <c r="E44" s="720">
        <v>10.008279999999999</v>
      </c>
      <c r="F44" s="721" t="str">
        <f t="shared" si="0"/>
        <v/>
      </c>
      <c r="G44" s="702"/>
      <c r="H44" s="702"/>
      <c r="I44" s="711"/>
      <c r="J44" s="711"/>
      <c r="K44" s="702"/>
      <c r="L44" s="702"/>
      <c r="M44" s="702"/>
    </row>
    <row r="45" spans="1:13" s="507" customFormat="1" ht="10.5" customHeight="1">
      <c r="A45" s="855" t="s">
        <v>397</v>
      </c>
      <c r="B45" s="856"/>
      <c r="C45" s="860">
        <v>1146.93066</v>
      </c>
      <c r="D45" s="860">
        <v>564.47771</v>
      </c>
      <c r="E45" s="860">
        <v>1044.61185</v>
      </c>
      <c r="F45" s="861">
        <f>+IF(D45=0,"",C45/D45-1)</f>
        <v>1.031844020909169</v>
      </c>
      <c r="G45" s="702"/>
      <c r="H45" s="702"/>
      <c r="I45" s="711"/>
      <c r="J45" s="711"/>
      <c r="K45" s="702"/>
      <c r="L45" s="702"/>
      <c r="M45" s="702"/>
    </row>
    <row r="46" spans="1:13" s="507" customFormat="1" ht="10.5" customHeight="1">
      <c r="A46" s="701" t="s">
        <v>616</v>
      </c>
      <c r="B46" s="719" t="s">
        <v>609</v>
      </c>
      <c r="C46" s="720">
        <v>56.733849999999997</v>
      </c>
      <c r="D46" s="720">
        <v>56.884999999999998</v>
      </c>
      <c r="E46" s="720">
        <v>88.961479999999995</v>
      </c>
      <c r="F46" s="721"/>
      <c r="G46" s="702"/>
      <c r="H46" s="702"/>
      <c r="I46" s="711"/>
      <c r="J46" s="711"/>
      <c r="K46" s="702"/>
      <c r="L46" s="702"/>
      <c r="M46" s="702"/>
    </row>
    <row r="47" spans="1:13" s="507" customFormat="1" ht="10.5" customHeight="1">
      <c r="A47" s="855" t="s">
        <v>625</v>
      </c>
      <c r="B47" s="856"/>
      <c r="C47" s="860">
        <v>56.733849999999997</v>
      </c>
      <c r="D47" s="860">
        <v>56.884999999999998</v>
      </c>
      <c r="E47" s="860">
        <v>88.961479999999995</v>
      </c>
      <c r="F47" s="861">
        <f t="shared" si="0"/>
        <v>-2.6571152324865732E-3</v>
      </c>
      <c r="G47" s="702"/>
      <c r="H47" s="702"/>
      <c r="I47" s="711"/>
      <c r="J47" s="711"/>
      <c r="K47" s="702"/>
      <c r="L47" s="702"/>
      <c r="M47" s="702"/>
    </row>
    <row r="48" spans="1:13" s="507" customFormat="1" ht="10.5" customHeight="1">
      <c r="A48" s="701" t="s">
        <v>122</v>
      </c>
      <c r="B48" s="719" t="s">
        <v>75</v>
      </c>
      <c r="C48" s="720">
        <v>1.3140000000000001</v>
      </c>
      <c r="D48" s="720">
        <v>1.9830000000000001</v>
      </c>
      <c r="E48" s="720">
        <v>3.7160000000000002</v>
      </c>
      <c r="F48" s="721">
        <f>+IF(D48=0,"",C48/D48-1)</f>
        <v>-0.33736762481089255</v>
      </c>
      <c r="G48" s="702"/>
      <c r="H48" s="702"/>
      <c r="I48" s="711"/>
      <c r="J48" s="711"/>
      <c r="K48" s="702"/>
      <c r="L48" s="702"/>
      <c r="M48" s="702"/>
    </row>
    <row r="49" spans="1:13" s="507" customFormat="1" ht="10.5" customHeight="1">
      <c r="A49" s="855" t="s">
        <v>398</v>
      </c>
      <c r="B49" s="856"/>
      <c r="C49" s="860">
        <v>1.3140000000000001</v>
      </c>
      <c r="D49" s="860">
        <v>1.9830000000000001</v>
      </c>
      <c r="E49" s="860">
        <v>3.7160000000000002</v>
      </c>
      <c r="F49" s="861">
        <f t="shared" si="0"/>
        <v>-0.33736762481089255</v>
      </c>
      <c r="G49" s="702"/>
      <c r="H49" s="702"/>
      <c r="I49" s="711"/>
      <c r="J49" s="711"/>
      <c r="K49" s="702"/>
      <c r="L49" s="702"/>
      <c r="M49" s="702"/>
    </row>
    <row r="50" spans="1:13" s="507" customFormat="1" ht="10.5" customHeight="1">
      <c r="A50" s="701" t="s">
        <v>115</v>
      </c>
      <c r="B50" s="719" t="s">
        <v>85</v>
      </c>
      <c r="C50" s="720">
        <v>0</v>
      </c>
      <c r="D50" s="720">
        <v>0</v>
      </c>
      <c r="E50" s="720">
        <v>0</v>
      </c>
      <c r="F50" s="721" t="str">
        <f t="shared" si="0"/>
        <v/>
      </c>
      <c r="G50" s="702"/>
      <c r="H50" s="702"/>
      <c r="I50" s="711"/>
      <c r="J50" s="711"/>
      <c r="K50" s="702"/>
      <c r="L50" s="702"/>
      <c r="M50" s="702"/>
    </row>
    <row r="51" spans="1:13" s="507" customFormat="1" ht="10.5" customHeight="1">
      <c r="A51" s="855" t="s">
        <v>399</v>
      </c>
      <c r="B51" s="856"/>
      <c r="C51" s="860">
        <v>0</v>
      </c>
      <c r="D51" s="860">
        <v>0</v>
      </c>
      <c r="E51" s="860">
        <v>0</v>
      </c>
      <c r="F51" s="861" t="str">
        <f t="shared" si="0"/>
        <v/>
      </c>
      <c r="G51" s="702"/>
      <c r="H51" s="702"/>
      <c r="I51" s="711"/>
      <c r="J51" s="711"/>
      <c r="K51" s="702"/>
      <c r="L51" s="702"/>
      <c r="M51" s="702"/>
    </row>
    <row r="52" spans="1:13" s="507" customFormat="1" ht="10.5" customHeight="1">
      <c r="A52" s="701" t="s">
        <v>273</v>
      </c>
      <c r="B52" s="719" t="s">
        <v>74</v>
      </c>
      <c r="C52" s="720">
        <v>2.0061599999999999</v>
      </c>
      <c r="D52" s="720">
        <v>3.0554800000000002</v>
      </c>
      <c r="E52" s="720">
        <v>5.1007199999999999</v>
      </c>
      <c r="F52" s="721">
        <f t="shared" si="0"/>
        <v>-0.3434223100789402</v>
      </c>
      <c r="G52" s="702"/>
      <c r="H52" s="702"/>
      <c r="I52" s="711"/>
      <c r="J52" s="711"/>
      <c r="K52" s="702"/>
      <c r="L52" s="702"/>
      <c r="M52" s="702"/>
    </row>
    <row r="53" spans="1:13" s="507" customFormat="1" ht="10.5" customHeight="1">
      <c r="A53" s="701"/>
      <c r="B53" s="719" t="s">
        <v>400</v>
      </c>
      <c r="C53" s="720">
        <v>70.978229999999996</v>
      </c>
      <c r="D53" s="720">
        <v>121.35708</v>
      </c>
      <c r="E53" s="720">
        <v>248.68201999999999</v>
      </c>
      <c r="F53" s="721">
        <f t="shared" si="0"/>
        <v>-0.41512905551122359</v>
      </c>
      <c r="G53" s="702"/>
      <c r="H53" s="702"/>
      <c r="I53" s="711"/>
      <c r="J53" s="711"/>
      <c r="K53" s="702"/>
      <c r="L53" s="702"/>
      <c r="M53" s="702"/>
    </row>
    <row r="54" spans="1:13" s="507" customFormat="1" ht="10.5" customHeight="1">
      <c r="A54" s="701"/>
      <c r="B54" s="719" t="s">
        <v>401</v>
      </c>
      <c r="C54" s="720">
        <v>25.023499999999999</v>
      </c>
      <c r="D54" s="720">
        <v>40.114840000000001</v>
      </c>
      <c r="E54" s="720">
        <v>89.720569999999995</v>
      </c>
      <c r="F54" s="721">
        <f t="shared" si="0"/>
        <v>-0.37620341998123397</v>
      </c>
      <c r="G54" s="702"/>
      <c r="H54" s="702"/>
      <c r="I54" s="711"/>
      <c r="J54" s="711"/>
      <c r="K54" s="702"/>
      <c r="L54" s="702"/>
      <c r="M54" s="702"/>
    </row>
    <row r="55" spans="1:13" s="507" customFormat="1" ht="10.5" customHeight="1">
      <c r="A55" s="701"/>
      <c r="B55" s="719" t="s">
        <v>65</v>
      </c>
      <c r="C55" s="720">
        <v>8.4496599999999997</v>
      </c>
      <c r="D55" s="720">
        <v>9.8493399999999998</v>
      </c>
      <c r="E55" s="720">
        <v>9.9176400000000005</v>
      </c>
      <c r="F55" s="721">
        <f t="shared" si="0"/>
        <v>-0.1421090144111179</v>
      </c>
      <c r="G55" s="702"/>
      <c r="H55" s="702"/>
      <c r="I55" s="711"/>
      <c r="J55" s="711"/>
      <c r="K55" s="702"/>
      <c r="L55" s="702"/>
      <c r="M55" s="702"/>
    </row>
    <row r="56" spans="1:13" s="507" customFormat="1" ht="10.5" customHeight="1">
      <c r="A56" s="855" t="s">
        <v>402</v>
      </c>
      <c r="B56" s="856"/>
      <c r="C56" s="860">
        <v>106.45754999999998</v>
      </c>
      <c r="D56" s="860">
        <v>174.37674000000001</v>
      </c>
      <c r="E56" s="860">
        <v>353.42095</v>
      </c>
      <c r="F56" s="861">
        <f t="shared" si="0"/>
        <v>-0.38949684459062617</v>
      </c>
      <c r="G56" s="702"/>
      <c r="H56" s="702"/>
      <c r="I56" s="711"/>
      <c r="J56" s="711"/>
      <c r="K56" s="702"/>
      <c r="L56" s="702"/>
      <c r="M56" s="702"/>
    </row>
    <row r="57" spans="1:13" s="507" customFormat="1" ht="10.5" customHeight="1">
      <c r="A57" s="701" t="s">
        <v>274</v>
      </c>
      <c r="B57" s="719" t="s">
        <v>82</v>
      </c>
      <c r="C57" s="720">
        <v>7.48719</v>
      </c>
      <c r="D57" s="720">
        <v>32.054560000000002</v>
      </c>
      <c r="E57" s="720">
        <v>26.574349999999999</v>
      </c>
      <c r="F57" s="721">
        <f t="shared" si="0"/>
        <v>-0.76642356032963799</v>
      </c>
      <c r="G57" s="702"/>
      <c r="H57" s="702"/>
      <c r="I57" s="711"/>
      <c r="J57" s="711"/>
      <c r="K57" s="702"/>
      <c r="L57" s="702"/>
      <c r="M57" s="702"/>
    </row>
    <row r="58" spans="1:13" s="507" customFormat="1" ht="10.5" customHeight="1">
      <c r="A58" s="855" t="s">
        <v>403</v>
      </c>
      <c r="B58" s="856"/>
      <c r="C58" s="860">
        <v>7.48719</v>
      </c>
      <c r="D58" s="860">
        <v>32.054560000000002</v>
      </c>
      <c r="E58" s="860">
        <v>26.574349999999999</v>
      </c>
      <c r="F58" s="861">
        <f t="shared" si="0"/>
        <v>-0.76642356032963799</v>
      </c>
      <c r="G58" s="702"/>
      <c r="H58" s="702"/>
      <c r="I58" s="711"/>
      <c r="J58" s="711"/>
      <c r="K58" s="702"/>
      <c r="L58" s="702"/>
      <c r="M58" s="702"/>
    </row>
    <row r="59" spans="1:13" s="507" customFormat="1" ht="10.5" customHeight="1">
      <c r="A59" s="701" t="s">
        <v>104</v>
      </c>
      <c r="B59" s="719" t="s">
        <v>79</v>
      </c>
      <c r="C59" s="720">
        <v>27.201519999999999</v>
      </c>
      <c r="D59" s="720">
        <v>95.217250000000007</v>
      </c>
      <c r="E59" s="720">
        <v>88.914940000000001</v>
      </c>
      <c r="F59" s="721">
        <f t="shared" si="0"/>
        <v>-0.71432151212096551</v>
      </c>
      <c r="G59" s="702"/>
      <c r="H59" s="702"/>
      <c r="I59" s="711"/>
      <c r="J59" s="711"/>
      <c r="K59" s="702"/>
      <c r="L59" s="702"/>
      <c r="M59" s="702"/>
    </row>
    <row r="60" spans="1:13" s="507" customFormat="1" ht="10.5" customHeight="1">
      <c r="A60" s="855" t="s">
        <v>404</v>
      </c>
      <c r="B60" s="856"/>
      <c r="C60" s="860">
        <v>27.201519999999999</v>
      </c>
      <c r="D60" s="860">
        <v>95.217250000000007</v>
      </c>
      <c r="E60" s="860">
        <v>88.914940000000001</v>
      </c>
      <c r="F60" s="861">
        <f t="shared" si="0"/>
        <v>-0.71432151212096551</v>
      </c>
      <c r="G60" s="702"/>
      <c r="H60" s="702"/>
      <c r="I60" s="711"/>
      <c r="J60" s="711"/>
      <c r="K60" s="702"/>
      <c r="L60" s="702"/>
      <c r="M60" s="702"/>
    </row>
    <row r="61" spans="1:13" s="507" customFormat="1" ht="10.5" customHeight="1">
      <c r="A61" s="701" t="s">
        <v>112</v>
      </c>
      <c r="B61" s="719" t="s">
        <v>262</v>
      </c>
      <c r="C61" s="720">
        <v>0</v>
      </c>
      <c r="D61" s="720">
        <v>0</v>
      </c>
      <c r="E61" s="720">
        <v>0</v>
      </c>
      <c r="F61" s="721" t="str">
        <f t="shared" si="0"/>
        <v/>
      </c>
      <c r="G61" s="702"/>
      <c r="H61" s="702"/>
      <c r="I61" s="711"/>
      <c r="J61" s="711"/>
      <c r="K61" s="702"/>
      <c r="L61" s="702"/>
      <c r="M61" s="702"/>
    </row>
    <row r="62" spans="1:13" s="507" customFormat="1" ht="10.5" customHeight="1">
      <c r="A62" s="855" t="s">
        <v>405</v>
      </c>
      <c r="B62" s="856"/>
      <c r="C62" s="860">
        <v>0</v>
      </c>
      <c r="D62" s="860">
        <v>0</v>
      </c>
      <c r="E62" s="860">
        <v>0</v>
      </c>
      <c r="F62" s="861" t="str">
        <f t="shared" si="0"/>
        <v/>
      </c>
      <c r="G62" s="702"/>
      <c r="H62" s="702"/>
      <c r="I62" s="711"/>
      <c r="J62" s="711"/>
      <c r="K62" s="702"/>
      <c r="L62" s="702"/>
      <c r="M62" s="702"/>
    </row>
    <row r="63" spans="1:13" s="507" customFormat="1" ht="10.5" customHeight="1">
      <c r="A63" s="701" t="s">
        <v>590</v>
      </c>
      <c r="B63" s="719" t="s">
        <v>614</v>
      </c>
      <c r="C63" s="720">
        <v>2.8531000000000004</v>
      </c>
      <c r="D63" s="720"/>
      <c r="E63" s="720">
        <v>0</v>
      </c>
      <c r="F63" s="721" t="str">
        <f t="shared" si="0"/>
        <v/>
      </c>
      <c r="G63" s="702"/>
      <c r="H63" s="702"/>
      <c r="I63" s="711"/>
      <c r="J63" s="711"/>
      <c r="K63" s="702"/>
      <c r="L63" s="702"/>
      <c r="M63" s="702"/>
    </row>
    <row r="64" spans="1:13" s="507" customFormat="1" ht="10.5" customHeight="1">
      <c r="A64" s="701"/>
      <c r="B64" s="719" t="s">
        <v>89</v>
      </c>
      <c r="C64" s="720">
        <v>2.7633000000000001</v>
      </c>
      <c r="D64" s="720">
        <v>3.0094000000000003</v>
      </c>
      <c r="E64" s="720">
        <v>4.4090999999999996</v>
      </c>
      <c r="F64" s="721">
        <f t="shared" si="0"/>
        <v>-8.1777098424935302E-2</v>
      </c>
      <c r="G64" s="702"/>
      <c r="H64" s="702"/>
      <c r="I64" s="711"/>
      <c r="J64" s="711"/>
      <c r="K64" s="702"/>
      <c r="L64" s="702"/>
      <c r="M64" s="702"/>
    </row>
    <row r="65" spans="1:13" s="507" customFormat="1" ht="10.5" customHeight="1">
      <c r="A65" s="701"/>
      <c r="B65" s="719" t="s">
        <v>800</v>
      </c>
      <c r="C65" s="720">
        <v>2.4005999999999998</v>
      </c>
      <c r="D65" s="720"/>
      <c r="E65" s="720"/>
      <c r="F65" s="721" t="str">
        <f t="shared" si="0"/>
        <v/>
      </c>
      <c r="G65" s="702"/>
      <c r="H65" s="702"/>
      <c r="I65" s="711"/>
      <c r="J65" s="711"/>
      <c r="K65" s="702"/>
      <c r="L65" s="702"/>
      <c r="M65" s="702"/>
    </row>
    <row r="66" spans="1:13" s="507" customFormat="1" ht="10.5" customHeight="1">
      <c r="A66" s="855" t="s">
        <v>406</v>
      </c>
      <c r="B66" s="856"/>
      <c r="C66" s="860">
        <v>8.0169999999999995</v>
      </c>
      <c r="D66" s="860">
        <v>3.0094000000000003</v>
      </c>
      <c r="E66" s="860">
        <v>4.4090999999999996</v>
      </c>
      <c r="F66" s="861">
        <f t="shared" si="0"/>
        <v>1.6639861766465072</v>
      </c>
      <c r="G66" s="702"/>
      <c r="H66" s="702"/>
      <c r="I66" s="711"/>
      <c r="J66" s="711"/>
      <c r="K66" s="702"/>
      <c r="L66" s="702"/>
      <c r="M66" s="702"/>
    </row>
    <row r="67" spans="1:13" s="507" customFormat="1" ht="10.5" customHeight="1">
      <c r="A67" s="701" t="s">
        <v>275</v>
      </c>
      <c r="B67" s="719" t="s">
        <v>407</v>
      </c>
      <c r="C67" s="720">
        <v>0</v>
      </c>
      <c r="D67" s="720">
        <v>0</v>
      </c>
      <c r="E67" s="720">
        <v>0</v>
      </c>
      <c r="F67" s="721" t="str">
        <f t="shared" si="0"/>
        <v/>
      </c>
      <c r="G67" s="702"/>
      <c r="H67" s="702"/>
      <c r="I67" s="711"/>
      <c r="J67" s="711"/>
      <c r="K67" s="702"/>
      <c r="L67" s="702"/>
      <c r="M67" s="702"/>
    </row>
    <row r="68" spans="1:13" s="507" customFormat="1" ht="10.5" customHeight="1">
      <c r="A68" s="855" t="s">
        <v>408</v>
      </c>
      <c r="B68" s="856"/>
      <c r="C68" s="860">
        <v>0</v>
      </c>
      <c r="D68" s="860">
        <v>0</v>
      </c>
      <c r="E68" s="860">
        <v>0</v>
      </c>
      <c r="F68" s="861" t="str">
        <f t="shared" si="0"/>
        <v/>
      </c>
      <c r="G68" s="702"/>
      <c r="H68" s="702"/>
      <c r="I68" s="711"/>
      <c r="J68" s="711"/>
      <c r="K68" s="702"/>
      <c r="L68" s="702"/>
      <c r="M68" s="702"/>
    </row>
    <row r="69" spans="1:13" s="507" customFormat="1" ht="10.5" customHeight="1">
      <c r="A69" s="729" t="s">
        <v>128</v>
      </c>
      <c r="B69" s="702" t="s">
        <v>446</v>
      </c>
      <c r="C69" s="702"/>
      <c r="D69" s="702">
        <v>0</v>
      </c>
      <c r="E69" s="702"/>
      <c r="F69" s="702" t="str">
        <f t="shared" si="0"/>
        <v/>
      </c>
      <c r="G69" s="702"/>
      <c r="H69" s="702"/>
      <c r="I69" s="711"/>
      <c r="J69" s="711"/>
      <c r="K69" s="702"/>
      <c r="L69" s="702"/>
      <c r="M69" s="702"/>
    </row>
    <row r="70" spans="1:13" s="507" customFormat="1" ht="10.5" customHeight="1">
      <c r="A70" s="855" t="s">
        <v>447</v>
      </c>
      <c r="B70" s="856"/>
      <c r="C70" s="860"/>
      <c r="D70" s="860">
        <v>0</v>
      </c>
      <c r="E70" s="860"/>
      <c r="F70" s="861" t="str">
        <f t="shared" ref="F70" si="1">+IF(D70=0,"",C70/D70-1)</f>
        <v/>
      </c>
      <c r="G70" s="702"/>
      <c r="H70" s="702"/>
      <c r="I70" s="711"/>
      <c r="J70" s="711"/>
      <c r="K70" s="702"/>
      <c r="L70" s="702"/>
      <c r="M70" s="702"/>
    </row>
    <row r="71" spans="1:13" s="507" customFormat="1" ht="10.5" customHeight="1">
      <c r="A71" s="702"/>
      <c r="B71" s="702"/>
      <c r="C71" s="702"/>
      <c r="D71" s="702"/>
      <c r="E71" s="702"/>
      <c r="F71" s="702"/>
      <c r="G71" s="702"/>
      <c r="H71" s="702"/>
      <c r="I71" s="702"/>
      <c r="J71" s="702"/>
      <c r="K71" s="702"/>
      <c r="L71" s="702"/>
      <c r="M71" s="702"/>
    </row>
    <row r="72" spans="1:13" s="507" customFormat="1" ht="10.5" customHeight="1">
      <c r="A72" s="702"/>
      <c r="B72" s="702"/>
      <c r="C72" s="702"/>
      <c r="D72" s="702"/>
      <c r="E72" s="702"/>
      <c r="F72" s="702"/>
      <c r="G72" s="702"/>
      <c r="H72" s="702"/>
      <c r="I72" s="702"/>
      <c r="J72" s="702"/>
      <c r="K72" s="702"/>
      <c r="L72" s="702"/>
      <c r="M72" s="702"/>
    </row>
    <row r="73" spans="1:13" s="507" customFormat="1" ht="10.5" customHeight="1">
      <c r="A73" s="702"/>
      <c r="B73" s="702"/>
      <c r="C73" s="702"/>
      <c r="D73" s="702"/>
      <c r="E73" s="702"/>
      <c r="F73" s="702"/>
      <c r="G73" s="702"/>
      <c r="H73" s="702"/>
      <c r="I73" s="702"/>
      <c r="J73" s="702"/>
      <c r="K73" s="702"/>
      <c r="L73" s="702"/>
      <c r="M73" s="702"/>
    </row>
    <row r="74" spans="1:13" s="507" customFormat="1" ht="10.5" customHeight="1">
      <c r="A74" s="702"/>
      <c r="B74" s="702"/>
      <c r="C74" s="702"/>
      <c r="D74" s="702"/>
      <c r="E74" s="702"/>
      <c r="F74" s="702"/>
      <c r="G74" s="702"/>
      <c r="H74" s="702"/>
      <c r="I74" s="702"/>
      <c r="J74" s="702"/>
      <c r="K74" s="702"/>
      <c r="L74" s="702"/>
      <c r="M74" s="702"/>
    </row>
    <row r="75" spans="1:13" s="507" customFormat="1" ht="10.5" customHeight="1">
      <c r="A75" s="702"/>
      <c r="B75" s="702"/>
      <c r="C75" s="702"/>
      <c r="D75" s="702"/>
      <c r="E75" s="702"/>
      <c r="F75" s="702"/>
      <c r="G75" s="702"/>
      <c r="H75" s="702"/>
      <c r="I75" s="702"/>
      <c r="J75" s="702"/>
      <c r="K75" s="702"/>
      <c r="L75" s="702"/>
      <c r="M75" s="702"/>
    </row>
    <row r="76" spans="1:13" s="507" customFormat="1" ht="10.5" customHeight="1">
      <c r="A76" s="702"/>
      <c r="B76" s="702"/>
      <c r="C76" s="702"/>
      <c r="D76" s="702"/>
      <c r="E76" s="702"/>
      <c r="F76" s="702"/>
      <c r="G76" s="702"/>
      <c r="H76" s="702"/>
      <c r="I76" s="702"/>
      <c r="J76" s="702"/>
      <c r="K76" s="702"/>
      <c r="L76" s="702"/>
      <c r="M76" s="702"/>
    </row>
    <row r="77" spans="1:13" s="507" customFormat="1" ht="10.5" customHeight="1">
      <c r="A77" s="702"/>
      <c r="B77" s="702"/>
      <c r="C77" s="702"/>
      <c r="D77" s="702"/>
      <c r="E77" s="702"/>
      <c r="F77" s="702"/>
      <c r="G77" s="702"/>
      <c r="H77" s="702"/>
      <c r="I77" s="702"/>
      <c r="J77" s="702"/>
      <c r="K77" s="702"/>
      <c r="L77" s="702"/>
      <c r="M77" s="702"/>
    </row>
    <row r="78" spans="1:13" s="507" customFormat="1" ht="10.5" customHeight="1">
      <c r="A78" s="702"/>
      <c r="B78" s="702"/>
      <c r="C78" s="702"/>
      <c r="D78" s="702"/>
      <c r="E78" s="702"/>
      <c r="F78" s="702"/>
      <c r="G78" s="702"/>
      <c r="H78" s="702"/>
      <c r="I78" s="702"/>
      <c r="J78" s="702"/>
      <c r="K78" s="702"/>
      <c r="L78" s="702"/>
      <c r="M78" s="702"/>
    </row>
    <row r="79" spans="1:13" s="507" customFormat="1" ht="10.5" customHeight="1">
      <c r="A79" s="702"/>
      <c r="B79" s="702"/>
      <c r="C79" s="702"/>
      <c r="D79" s="702"/>
      <c r="E79" s="702"/>
      <c r="F79" s="702"/>
      <c r="G79" s="702"/>
      <c r="H79" s="702"/>
      <c r="I79" s="702"/>
      <c r="J79" s="702"/>
      <c r="K79" s="702"/>
      <c r="L79" s="702"/>
      <c r="M79" s="702"/>
    </row>
    <row r="80" spans="1:13" s="507" customFormat="1" ht="10.5" customHeight="1">
      <c r="A80" s="702"/>
      <c r="B80" s="702"/>
      <c r="C80" s="702"/>
      <c r="D80" s="702"/>
      <c r="E80" s="702"/>
      <c r="F80" s="702"/>
      <c r="G80" s="702"/>
      <c r="H80" s="702"/>
      <c r="I80" s="702"/>
      <c r="J80" s="702"/>
      <c r="K80" s="702"/>
      <c r="L80" s="702"/>
      <c r="M80" s="702"/>
    </row>
    <row r="81" spans="1:13" s="507" customFormat="1" ht="10.5" customHeight="1">
      <c r="A81" s="702"/>
      <c r="B81" s="702"/>
      <c r="C81" s="702"/>
      <c r="D81" s="702"/>
      <c r="E81" s="702"/>
      <c r="F81" s="702"/>
      <c r="G81" s="702"/>
      <c r="H81" s="702"/>
      <c r="I81" s="702"/>
      <c r="J81" s="702"/>
      <c r="K81" s="702"/>
      <c r="L81" s="702"/>
      <c r="M81" s="702"/>
    </row>
    <row r="82" spans="1:13" s="507" customFormat="1" ht="8.25">
      <c r="A82" s="702"/>
      <c r="B82" s="702"/>
      <c r="C82" s="702"/>
      <c r="D82" s="702"/>
      <c r="E82" s="702"/>
      <c r="F82" s="702"/>
      <c r="G82" s="702"/>
      <c r="H82" s="702"/>
      <c r="I82" s="702"/>
      <c r="J82" s="702"/>
      <c r="K82" s="702"/>
      <c r="L82" s="702"/>
      <c r="M82" s="702"/>
    </row>
    <row r="83" spans="1:13" s="507" customFormat="1" ht="8.25">
      <c r="A83" s="702"/>
      <c r="B83" s="702"/>
      <c r="C83" s="702"/>
      <c r="D83" s="702"/>
      <c r="E83" s="702"/>
      <c r="F83" s="702"/>
      <c r="G83" s="702"/>
      <c r="H83" s="702"/>
      <c r="I83" s="702"/>
      <c r="J83" s="702"/>
      <c r="K83" s="702"/>
      <c r="L83" s="702"/>
      <c r="M83" s="702"/>
    </row>
    <row r="84" spans="1:13" s="507" customFormat="1" ht="8.25">
      <c r="A84" s="702"/>
      <c r="B84" s="702"/>
      <c r="C84" s="702"/>
      <c r="D84" s="702"/>
      <c r="E84" s="702"/>
      <c r="F84" s="702"/>
      <c r="G84" s="702"/>
      <c r="H84" s="702"/>
      <c r="I84" s="702"/>
      <c r="J84" s="702"/>
      <c r="K84" s="702"/>
      <c r="L84" s="702"/>
      <c r="M84" s="702"/>
    </row>
    <row r="85" spans="1:13" s="507" customFormat="1" ht="8.25">
      <c r="A85" s="702"/>
      <c r="B85" s="702"/>
      <c r="C85" s="702"/>
      <c r="D85" s="702"/>
      <c r="E85" s="702"/>
      <c r="F85" s="702"/>
      <c r="G85" s="702"/>
      <c r="H85" s="702"/>
      <c r="I85" s="702"/>
      <c r="J85" s="702"/>
      <c r="K85" s="702"/>
      <c r="L85" s="702"/>
      <c r="M85" s="702"/>
    </row>
    <row r="86" spans="1:13" s="507" customFormat="1" ht="8.25">
      <c r="A86" s="702"/>
      <c r="B86" s="702"/>
      <c r="C86" s="702"/>
      <c r="D86" s="702"/>
      <c r="E86" s="702"/>
      <c r="F86" s="702"/>
      <c r="G86" s="702"/>
      <c r="H86" s="702"/>
      <c r="I86" s="702"/>
      <c r="J86" s="702"/>
      <c r="K86" s="702"/>
      <c r="L86" s="702"/>
      <c r="M86" s="702"/>
    </row>
    <row r="87" spans="1:13" s="507" customFormat="1" ht="8.25">
      <c r="A87" s="702"/>
      <c r="B87" s="702"/>
      <c r="C87" s="702"/>
      <c r="D87" s="702"/>
      <c r="E87" s="702"/>
      <c r="F87" s="702"/>
      <c r="G87" s="702"/>
      <c r="H87" s="702"/>
      <c r="I87" s="702"/>
      <c r="J87" s="702"/>
      <c r="K87" s="702"/>
      <c r="L87" s="702"/>
      <c r="M87" s="702"/>
    </row>
    <row r="88" spans="1:13" s="507" customFormat="1" ht="8.25">
      <c r="A88" s="702"/>
      <c r="B88" s="702"/>
      <c r="C88" s="702"/>
      <c r="D88" s="702"/>
      <c r="E88" s="702"/>
      <c r="F88" s="702"/>
      <c r="G88" s="702"/>
      <c r="H88" s="702"/>
      <c r="I88" s="702"/>
      <c r="J88" s="702"/>
      <c r="K88" s="702"/>
      <c r="L88" s="702"/>
      <c r="M88" s="702"/>
    </row>
    <row r="89" spans="1:13" s="507" customFormat="1" ht="8.25">
      <c r="A89" s="702"/>
      <c r="B89" s="702"/>
      <c r="C89" s="702"/>
      <c r="D89" s="702"/>
      <c r="E89" s="702"/>
      <c r="F89" s="702"/>
      <c r="G89" s="702"/>
      <c r="H89" s="702"/>
      <c r="I89" s="702"/>
      <c r="J89" s="702"/>
      <c r="K89" s="702"/>
      <c r="L89" s="702"/>
      <c r="M89" s="702"/>
    </row>
    <row r="90" spans="1:13" s="507" customFormat="1" ht="8.25">
      <c r="A90" s="702"/>
      <c r="B90" s="702"/>
      <c r="C90" s="702"/>
      <c r="D90" s="702"/>
      <c r="E90" s="702"/>
      <c r="F90" s="702"/>
      <c r="G90" s="702"/>
      <c r="H90" s="702"/>
      <c r="I90" s="702"/>
      <c r="J90" s="702"/>
      <c r="K90" s="702"/>
      <c r="L90" s="702"/>
      <c r="M90" s="702"/>
    </row>
    <row r="91" spans="1:13" s="507" customFormat="1" ht="8.25">
      <c r="A91" s="702"/>
      <c r="B91" s="702"/>
      <c r="C91" s="702"/>
      <c r="D91" s="702"/>
      <c r="E91" s="702"/>
      <c r="F91" s="702"/>
      <c r="G91" s="702"/>
      <c r="H91" s="702"/>
      <c r="I91" s="702"/>
      <c r="J91" s="702"/>
      <c r="K91" s="702"/>
      <c r="L91" s="702"/>
      <c r="M91" s="702"/>
    </row>
    <row r="92" spans="1:13" s="507" customFormat="1" ht="8.25">
      <c r="A92" s="702"/>
      <c r="B92" s="702"/>
      <c r="C92" s="702"/>
      <c r="D92" s="702"/>
      <c r="E92" s="702"/>
      <c r="F92" s="702"/>
      <c r="G92" s="702"/>
      <c r="H92" s="702"/>
      <c r="I92" s="702"/>
      <c r="J92" s="702"/>
      <c r="K92" s="702"/>
      <c r="L92" s="702"/>
      <c r="M92" s="702"/>
    </row>
    <row r="93" spans="1:13" s="507" customFormat="1" ht="8.25">
      <c r="A93" s="702"/>
      <c r="B93" s="702"/>
      <c r="C93" s="702"/>
      <c r="D93" s="702"/>
      <c r="E93" s="702"/>
      <c r="F93" s="702"/>
      <c r="G93" s="702"/>
      <c r="H93" s="702"/>
      <c r="I93" s="702"/>
      <c r="J93" s="702"/>
      <c r="K93" s="702"/>
      <c r="L93" s="702"/>
      <c r="M93" s="702"/>
    </row>
    <row r="94" spans="1:13" s="507" customFormat="1" ht="8.25">
      <c r="A94" s="702"/>
      <c r="B94" s="702"/>
      <c r="C94" s="702"/>
      <c r="D94" s="702"/>
      <c r="E94" s="702"/>
      <c r="F94" s="702"/>
      <c r="G94" s="702"/>
      <c r="H94" s="702"/>
      <c r="I94" s="702"/>
      <c r="J94" s="702"/>
      <c r="K94" s="702"/>
      <c r="L94" s="702"/>
      <c r="M94" s="702"/>
    </row>
    <row r="95" spans="1:13" s="507" customFormat="1" ht="8.25">
      <c r="A95" s="702"/>
      <c r="B95" s="702"/>
      <c r="C95" s="702"/>
      <c r="D95" s="702"/>
      <c r="E95" s="702"/>
      <c r="F95" s="702"/>
      <c r="G95" s="702"/>
      <c r="H95" s="702"/>
      <c r="I95" s="702"/>
      <c r="J95" s="702"/>
      <c r="K95" s="702"/>
      <c r="L95" s="702"/>
      <c r="M95" s="702"/>
    </row>
    <row r="96" spans="1:13" s="507" customFormat="1" ht="8.25">
      <c r="A96" s="702"/>
      <c r="B96" s="702"/>
      <c r="C96" s="702"/>
      <c r="D96" s="702"/>
      <c r="E96" s="702"/>
      <c r="F96" s="702"/>
      <c r="G96" s="702"/>
      <c r="H96" s="702"/>
      <c r="I96" s="702"/>
      <c r="J96" s="702"/>
      <c r="K96" s="702"/>
      <c r="L96" s="702"/>
      <c r="M96" s="702"/>
    </row>
    <row r="97" spans="1:13" s="507" customFormat="1" ht="8.25">
      <c r="A97" s="702"/>
      <c r="B97" s="702"/>
      <c r="C97" s="702"/>
      <c r="D97" s="702"/>
      <c r="E97" s="702"/>
      <c r="F97" s="702"/>
      <c r="G97" s="702"/>
      <c r="H97" s="702"/>
      <c r="I97" s="702"/>
      <c r="J97" s="702"/>
      <c r="K97" s="702"/>
      <c r="L97" s="702"/>
      <c r="M97" s="702"/>
    </row>
    <row r="98" spans="1:13" s="507" customFormat="1" ht="8.25">
      <c r="A98" s="702"/>
      <c r="B98" s="702"/>
      <c r="C98" s="702"/>
      <c r="D98" s="702"/>
      <c r="E98" s="702"/>
      <c r="F98" s="702"/>
      <c r="G98" s="702"/>
      <c r="H98" s="702"/>
      <c r="I98" s="702"/>
      <c r="J98" s="702"/>
      <c r="K98" s="702"/>
      <c r="L98" s="702"/>
      <c r="M98" s="702"/>
    </row>
    <row r="99" spans="1:13" s="507" customFormat="1" ht="8.25">
      <c r="A99" s="702"/>
      <c r="B99" s="702"/>
      <c r="C99" s="702"/>
      <c r="D99" s="702"/>
      <c r="E99" s="702"/>
      <c r="F99" s="702"/>
      <c r="G99" s="702"/>
      <c r="H99" s="702"/>
      <c r="I99" s="702"/>
      <c r="J99" s="702"/>
      <c r="K99" s="702"/>
      <c r="L99" s="702"/>
      <c r="M99" s="702"/>
    </row>
    <row r="100" spans="1:13" s="507" customFormat="1" ht="8.25">
      <c r="A100" s="702"/>
      <c r="B100" s="702"/>
      <c r="C100" s="702"/>
      <c r="D100" s="702"/>
      <c r="E100" s="702"/>
      <c r="F100" s="702"/>
      <c r="G100" s="702"/>
      <c r="H100" s="702"/>
      <c r="I100" s="702"/>
      <c r="J100" s="702"/>
      <c r="K100" s="702"/>
      <c r="L100" s="702"/>
      <c r="M100" s="702"/>
    </row>
    <row r="101" spans="1:13" s="507" customFormat="1" ht="8.25">
      <c r="A101" s="702"/>
      <c r="B101" s="702"/>
      <c r="C101" s="702"/>
      <c r="D101" s="702"/>
      <c r="E101" s="702"/>
      <c r="F101" s="702"/>
      <c r="G101" s="702"/>
      <c r="H101" s="702"/>
      <c r="I101" s="702"/>
      <c r="J101" s="702"/>
      <c r="K101" s="702"/>
      <c r="L101" s="702"/>
      <c r="M101" s="702"/>
    </row>
    <row r="102" spans="1:13" s="507" customFormat="1" ht="8.25">
      <c r="A102" s="702"/>
      <c r="B102" s="702"/>
      <c r="C102" s="702"/>
      <c r="D102" s="702"/>
      <c r="E102" s="702"/>
      <c r="F102" s="702"/>
      <c r="G102" s="702"/>
      <c r="H102" s="702"/>
      <c r="I102" s="702"/>
      <c r="J102" s="702"/>
      <c r="K102" s="702"/>
      <c r="L102" s="702"/>
      <c r="M102" s="702"/>
    </row>
    <row r="103" spans="1:13" s="507" customFormat="1" ht="8.25">
      <c r="A103" s="702"/>
      <c r="B103" s="702"/>
      <c r="C103" s="702"/>
      <c r="D103" s="702"/>
      <c r="E103" s="702"/>
      <c r="F103" s="702"/>
      <c r="G103" s="702"/>
      <c r="H103" s="702"/>
      <c r="I103" s="702"/>
      <c r="J103" s="702"/>
      <c r="K103" s="702"/>
      <c r="L103" s="702"/>
      <c r="M103" s="702"/>
    </row>
    <row r="104" spans="1:13" s="507" customFormat="1" ht="8.25">
      <c r="A104" s="702"/>
      <c r="B104" s="702"/>
      <c r="C104" s="702"/>
      <c r="D104" s="702"/>
      <c r="E104" s="702"/>
      <c r="F104" s="702"/>
      <c r="G104" s="702"/>
      <c r="H104" s="702"/>
      <c r="I104" s="702"/>
      <c r="J104" s="702"/>
      <c r="K104" s="702"/>
      <c r="L104" s="702"/>
      <c r="M104" s="702"/>
    </row>
    <row r="105" spans="1:13" s="507" customFormat="1" ht="8.25">
      <c r="A105" s="702"/>
      <c r="B105" s="702"/>
      <c r="C105" s="702"/>
      <c r="D105" s="702"/>
      <c r="E105" s="702"/>
      <c r="F105" s="702"/>
      <c r="G105" s="702"/>
      <c r="H105" s="702"/>
      <c r="I105" s="702"/>
      <c r="J105" s="702"/>
      <c r="K105" s="702"/>
      <c r="L105" s="702"/>
      <c r="M105" s="702"/>
    </row>
    <row r="106" spans="1:13" s="507" customFormat="1" ht="8.25">
      <c r="A106" s="702"/>
      <c r="B106" s="702"/>
      <c r="C106" s="702"/>
      <c r="D106" s="702"/>
      <c r="E106" s="702"/>
      <c r="F106" s="702"/>
      <c r="G106" s="702"/>
      <c r="H106" s="702"/>
      <c r="I106" s="702"/>
      <c r="J106" s="702"/>
      <c r="K106" s="702"/>
      <c r="L106" s="702"/>
      <c r="M106" s="702"/>
    </row>
    <row r="107" spans="1:13" s="507" customFormat="1" ht="8.25">
      <c r="A107" s="702"/>
      <c r="B107" s="702"/>
      <c r="C107" s="702"/>
      <c r="D107" s="702"/>
      <c r="E107" s="702"/>
      <c r="F107" s="702"/>
      <c r="G107" s="702"/>
      <c r="H107" s="702"/>
      <c r="I107" s="702"/>
      <c r="J107" s="702"/>
      <c r="K107" s="702"/>
      <c r="L107" s="702"/>
      <c r="M107" s="702"/>
    </row>
    <row r="108" spans="1:13" s="507" customFormat="1" ht="8.25">
      <c r="A108" s="702"/>
      <c r="B108" s="702"/>
      <c r="C108" s="702"/>
      <c r="D108" s="702"/>
      <c r="E108" s="702"/>
      <c r="F108" s="702"/>
      <c r="G108" s="702"/>
      <c r="H108" s="702"/>
      <c r="I108" s="702"/>
      <c r="J108" s="702"/>
      <c r="K108" s="702"/>
      <c r="L108" s="702"/>
      <c r="M108" s="702"/>
    </row>
    <row r="109" spans="1:13" s="507" customFormat="1" ht="8.25">
      <c r="A109" s="702"/>
      <c r="B109" s="702"/>
      <c r="C109" s="702"/>
      <c r="D109" s="702"/>
      <c r="E109" s="702"/>
      <c r="F109" s="702"/>
      <c r="G109" s="702"/>
      <c r="H109" s="702"/>
      <c r="I109" s="702"/>
      <c r="J109" s="702"/>
      <c r="K109" s="702"/>
      <c r="L109" s="702"/>
      <c r="M109" s="702"/>
    </row>
    <row r="110" spans="1:13" s="507" customFormat="1" ht="8.25">
      <c r="A110" s="702"/>
      <c r="B110" s="702"/>
      <c r="C110" s="702"/>
      <c r="D110" s="702"/>
      <c r="E110" s="702"/>
      <c r="F110" s="702"/>
      <c r="G110" s="702"/>
      <c r="H110" s="702"/>
      <c r="I110" s="702"/>
      <c r="J110" s="702"/>
      <c r="K110" s="702"/>
      <c r="L110" s="702"/>
      <c r="M110" s="702"/>
    </row>
    <row r="111" spans="1:13" s="507" customFormat="1" ht="8.25">
      <c r="A111" s="702"/>
      <c r="B111" s="702"/>
      <c r="C111" s="702"/>
      <c r="D111" s="702"/>
      <c r="E111" s="702"/>
      <c r="F111" s="702"/>
      <c r="G111" s="702"/>
      <c r="H111" s="702"/>
      <c r="I111" s="702"/>
      <c r="J111" s="702"/>
      <c r="K111" s="702"/>
      <c r="L111" s="702"/>
      <c r="M111" s="702"/>
    </row>
    <row r="112" spans="1:13" s="507" customFormat="1" ht="8.25">
      <c r="A112" s="702"/>
      <c r="B112" s="702"/>
      <c r="C112" s="702"/>
      <c r="D112" s="702"/>
      <c r="E112" s="702"/>
      <c r="F112" s="702"/>
      <c r="G112" s="702"/>
      <c r="H112" s="702"/>
      <c r="I112" s="702"/>
      <c r="J112" s="702"/>
      <c r="K112" s="702"/>
      <c r="L112" s="702"/>
      <c r="M112" s="702"/>
    </row>
    <row r="113" spans="1:13" s="507" customFormat="1" ht="8.25">
      <c r="A113" s="702"/>
      <c r="B113" s="702"/>
      <c r="C113" s="702"/>
      <c r="D113" s="702"/>
      <c r="E113" s="702"/>
      <c r="F113" s="702"/>
      <c r="G113" s="702"/>
      <c r="H113" s="702"/>
      <c r="I113" s="702"/>
      <c r="J113" s="702"/>
      <c r="K113" s="702"/>
      <c r="L113" s="702"/>
      <c r="M113" s="702"/>
    </row>
    <row r="114" spans="1:13" s="507" customFormat="1" ht="8.25">
      <c r="A114" s="702"/>
      <c r="B114" s="702"/>
      <c r="C114" s="702"/>
      <c r="D114" s="702"/>
      <c r="E114" s="702"/>
      <c r="F114" s="702"/>
      <c r="G114" s="702"/>
      <c r="H114" s="702"/>
      <c r="I114" s="702"/>
      <c r="J114" s="702"/>
      <c r="K114" s="702"/>
      <c r="L114" s="702"/>
      <c r="M114" s="702"/>
    </row>
  </sheetData>
  <mergeCells count="3">
    <mergeCell ref="A1:A4"/>
    <mergeCell ref="B1:B4"/>
    <mergeCell ref="C1:F1"/>
  </mergeCells>
  <conditionalFormatting sqref="I5:J70">
    <cfRule type="cellIs" dxfId="4" priority="2" operator="greaterThan">
      <formula>0</formula>
    </cfRule>
    <cfRule type="cellIs" dxfId="3" priority="1" operator="greaterThan">
      <formula>0</formula>
    </cfRule>
  </conditionalFormatting>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6"/>
  <sheetViews>
    <sheetView showGridLines="0" view="pageBreakPreview" topLeftCell="B1" zoomScale="145" zoomScaleNormal="100" zoomScaleSheetLayoutView="145" zoomScalePageLayoutView="130" workbookViewId="0">
      <selection activeCell="M27" sqref="M27"/>
    </sheetView>
  </sheetViews>
  <sheetFormatPr defaultRowHeight="9"/>
  <cols>
    <col min="1" max="1" width="27.6640625" style="392" customWidth="1"/>
    <col min="2" max="2" width="23" style="392" customWidth="1"/>
    <col min="3" max="4" width="17.6640625" style="392" customWidth="1"/>
    <col min="5" max="5" width="15.1640625" style="392" customWidth="1"/>
    <col min="6" max="6" width="13.33203125" style="392" customWidth="1"/>
    <col min="7" max="16384" width="9.33203125" style="393"/>
  </cols>
  <sheetData>
    <row r="1" spans="1:10" s="507" customFormat="1" ht="11.25" customHeight="1">
      <c r="A1" s="991" t="s">
        <v>284</v>
      </c>
      <c r="B1" s="994" t="s">
        <v>57</v>
      </c>
      <c r="C1" s="994" t="s">
        <v>452</v>
      </c>
      <c r="D1" s="994"/>
      <c r="E1" s="994"/>
      <c r="F1" s="997"/>
    </row>
    <row r="2" spans="1:10" s="507" customFormat="1" ht="11.25" customHeight="1">
      <c r="A2" s="992"/>
      <c r="B2" s="995"/>
      <c r="C2" s="833" t="str">
        <f>+'22. ANEXOII-2'!C2</f>
        <v>SETIEMBRE 2018</v>
      </c>
      <c r="D2" s="834" t="str">
        <f>+'22. ANEXOII-2'!D2</f>
        <v>SETIEMBRE 2017</v>
      </c>
      <c r="E2" s="835">
        <v>2018</v>
      </c>
      <c r="F2" s="836" t="s">
        <v>450</v>
      </c>
    </row>
    <row r="3" spans="1:10" s="507" customFormat="1" ht="11.25" customHeight="1">
      <c r="A3" s="992"/>
      <c r="B3" s="995"/>
      <c r="C3" s="837">
        <f>+'8. Max Potencia'!D8</f>
        <v>43369.875</v>
      </c>
      <c r="D3" s="837">
        <f>+'8. Max Potencia'!E8</f>
        <v>42998.78125</v>
      </c>
      <c r="E3" s="837">
        <f>+'8. Max Potencia'!G8</f>
        <v>43214.78125</v>
      </c>
      <c r="F3" s="838" t="s">
        <v>441</v>
      </c>
    </row>
    <row r="4" spans="1:10" s="507" customFormat="1" ht="11.25" customHeight="1">
      <c r="A4" s="993"/>
      <c r="B4" s="996"/>
      <c r="C4" s="839">
        <f>+'8. Max Potencia'!D9</f>
        <v>43369.875</v>
      </c>
      <c r="D4" s="839">
        <f>+'8. Max Potencia'!E9</f>
        <v>42998.78125</v>
      </c>
      <c r="E4" s="839">
        <f>+'8. Max Potencia'!G9</f>
        <v>43214.78125</v>
      </c>
      <c r="F4" s="840" t="s">
        <v>442</v>
      </c>
    </row>
    <row r="5" spans="1:10" s="507" customFormat="1" ht="11.25" customHeight="1">
      <c r="A5" s="731" t="s">
        <v>109</v>
      </c>
      <c r="B5" s="730" t="s">
        <v>64</v>
      </c>
      <c r="C5" s="732">
        <v>0</v>
      </c>
      <c r="D5" s="732">
        <v>3.32057</v>
      </c>
      <c r="E5" s="732">
        <v>18.94304</v>
      </c>
      <c r="F5" s="733">
        <f t="shared" ref="F5:F50" si="0">+IF(D5=0,"",C5/D5-1)</f>
        <v>-1</v>
      </c>
      <c r="I5" s="711"/>
      <c r="J5" s="711"/>
    </row>
    <row r="6" spans="1:10" s="507" customFormat="1" ht="11.25" customHeight="1">
      <c r="A6" s="862" t="s">
        <v>409</v>
      </c>
      <c r="B6" s="863"/>
      <c r="C6" s="864">
        <v>0</v>
      </c>
      <c r="D6" s="864">
        <v>3.32057</v>
      </c>
      <c r="E6" s="864">
        <v>18.94304</v>
      </c>
      <c r="F6" s="865">
        <f t="shared" si="0"/>
        <v>-1</v>
      </c>
      <c r="I6" s="711"/>
      <c r="J6" s="711"/>
    </row>
    <row r="7" spans="1:10" s="507" customFormat="1" ht="11.25" customHeight="1">
      <c r="A7" s="731" t="s">
        <v>276</v>
      </c>
      <c r="B7" s="730" t="s">
        <v>410</v>
      </c>
      <c r="C7" s="732">
        <v>0</v>
      </c>
      <c r="D7" s="732">
        <v>304.78504000000004</v>
      </c>
      <c r="E7" s="732">
        <v>0</v>
      </c>
      <c r="F7" s="733">
        <f t="shared" si="0"/>
        <v>-1</v>
      </c>
      <c r="I7" s="711"/>
      <c r="J7" s="711"/>
    </row>
    <row r="8" spans="1:10" s="507" customFormat="1" ht="11.25" customHeight="1">
      <c r="A8" s="862" t="s">
        <v>411</v>
      </c>
      <c r="B8" s="863"/>
      <c r="C8" s="864">
        <v>0</v>
      </c>
      <c r="D8" s="864">
        <v>304.78504000000004</v>
      </c>
      <c r="E8" s="864">
        <v>0</v>
      </c>
      <c r="F8" s="865">
        <f t="shared" si="0"/>
        <v>-1</v>
      </c>
      <c r="I8" s="711"/>
      <c r="J8" s="711"/>
    </row>
    <row r="9" spans="1:10" s="507" customFormat="1" ht="11.25" customHeight="1">
      <c r="A9" s="731" t="s">
        <v>100</v>
      </c>
      <c r="B9" s="730" t="s">
        <v>412</v>
      </c>
      <c r="C9" s="732">
        <v>90.594169999999991</v>
      </c>
      <c r="D9" s="732">
        <v>98.905059999999992</v>
      </c>
      <c r="E9" s="732">
        <v>110.79231</v>
      </c>
      <c r="F9" s="733">
        <f t="shared" si="0"/>
        <v>-8.4028966768737612E-2</v>
      </c>
      <c r="I9" s="711"/>
      <c r="J9" s="711"/>
    </row>
    <row r="10" spans="1:10" s="507" customFormat="1" ht="11.25" customHeight="1">
      <c r="A10" s="731"/>
      <c r="B10" s="730" t="s">
        <v>448</v>
      </c>
      <c r="C10" s="732"/>
      <c r="D10" s="732">
        <v>0</v>
      </c>
      <c r="E10" s="732"/>
      <c r="F10" s="733" t="str">
        <f t="shared" si="0"/>
        <v/>
      </c>
      <c r="I10" s="711"/>
      <c r="J10" s="711"/>
    </row>
    <row r="11" spans="1:10" s="507" customFormat="1" ht="11.25" customHeight="1">
      <c r="A11" s="862" t="s">
        <v>413</v>
      </c>
      <c r="B11" s="863"/>
      <c r="C11" s="864">
        <v>90.594169999999991</v>
      </c>
      <c r="D11" s="864">
        <v>98.905059999999992</v>
      </c>
      <c r="E11" s="864">
        <v>110.79231</v>
      </c>
      <c r="F11" s="865">
        <f t="shared" si="0"/>
        <v>-8.4028966768737612E-2</v>
      </c>
      <c r="I11" s="711"/>
      <c r="J11" s="711"/>
    </row>
    <row r="12" spans="1:10" s="507" customFormat="1" ht="11.25" customHeight="1">
      <c r="A12" s="731" t="s">
        <v>277</v>
      </c>
      <c r="B12" s="730" t="s">
        <v>68</v>
      </c>
      <c r="C12" s="732">
        <v>1.95509</v>
      </c>
      <c r="D12" s="732">
        <v>2.2755700000000001</v>
      </c>
      <c r="E12" s="732">
        <v>8.5421899999999997</v>
      </c>
      <c r="F12" s="733">
        <f t="shared" si="0"/>
        <v>-0.14083504352755583</v>
      </c>
      <c r="I12" s="711"/>
      <c r="J12" s="711"/>
    </row>
    <row r="13" spans="1:10" s="507" customFormat="1" ht="11.25" customHeight="1">
      <c r="A13" s="731"/>
      <c r="B13" s="730" t="s">
        <v>67</v>
      </c>
      <c r="C13" s="732">
        <v>2.25922</v>
      </c>
      <c r="D13" s="732">
        <v>2.47567</v>
      </c>
      <c r="E13" s="732">
        <v>8.9284199999999991</v>
      </c>
      <c r="F13" s="733">
        <f t="shared" si="0"/>
        <v>-8.7430877297862808E-2</v>
      </c>
      <c r="I13" s="711"/>
      <c r="J13" s="711"/>
    </row>
    <row r="14" spans="1:10" s="507" customFormat="1" ht="11.25" customHeight="1">
      <c r="A14" s="731"/>
      <c r="B14" s="730" t="s">
        <v>71</v>
      </c>
      <c r="C14" s="732">
        <v>1.48316</v>
      </c>
      <c r="D14" s="732">
        <v>1.34798</v>
      </c>
      <c r="E14" s="732">
        <v>4.32423</v>
      </c>
      <c r="F14" s="733">
        <f t="shared" si="0"/>
        <v>0.1002833869938724</v>
      </c>
      <c r="I14" s="711"/>
      <c r="J14" s="711"/>
    </row>
    <row r="15" spans="1:10" s="507" customFormat="1" ht="11.25" customHeight="1">
      <c r="A15" s="731"/>
      <c r="B15" s="730" t="s">
        <v>70</v>
      </c>
      <c r="C15" s="732">
        <v>1.8166500000000001</v>
      </c>
      <c r="D15" s="732">
        <v>1.5761700000000001</v>
      </c>
      <c r="E15" s="732">
        <v>5.0239000000000003</v>
      </c>
      <c r="F15" s="733">
        <f t="shared" si="0"/>
        <v>0.15257237480728603</v>
      </c>
      <c r="I15" s="711"/>
      <c r="J15" s="711"/>
    </row>
    <row r="16" spans="1:10" s="507" customFormat="1" ht="11.25" customHeight="1">
      <c r="A16" s="862" t="s">
        <v>414</v>
      </c>
      <c r="B16" s="863"/>
      <c r="C16" s="864">
        <v>7.5141200000000001</v>
      </c>
      <c r="D16" s="864">
        <v>7.6753900000000002</v>
      </c>
      <c r="E16" s="864">
        <v>26.818740000000002</v>
      </c>
      <c r="F16" s="865">
        <f t="shared" si="0"/>
        <v>-2.1011310174466669E-2</v>
      </c>
      <c r="I16" s="711"/>
      <c r="J16" s="711"/>
    </row>
    <row r="17" spans="1:10" s="507" customFormat="1" ht="11.25" customHeight="1">
      <c r="A17" s="731" t="s">
        <v>107</v>
      </c>
      <c r="B17" s="730" t="s">
        <v>415</v>
      </c>
      <c r="C17" s="732">
        <v>28.01699</v>
      </c>
      <c r="D17" s="732">
        <v>28.146830000000001</v>
      </c>
      <c r="E17" s="732">
        <v>27.351590000000002</v>
      </c>
      <c r="F17" s="733">
        <f t="shared" si="0"/>
        <v>-4.6129528618320537E-3</v>
      </c>
      <c r="I17" s="711"/>
      <c r="J17" s="711"/>
    </row>
    <row r="18" spans="1:10" s="507" customFormat="1" ht="11.25" customHeight="1">
      <c r="A18" s="862" t="s">
        <v>416</v>
      </c>
      <c r="B18" s="863"/>
      <c r="C18" s="864">
        <v>28.01699</v>
      </c>
      <c r="D18" s="864">
        <v>28.146830000000001</v>
      </c>
      <c r="E18" s="864">
        <v>27.351590000000002</v>
      </c>
      <c r="F18" s="865">
        <f t="shared" si="0"/>
        <v>-4.6129528618320537E-3</v>
      </c>
      <c r="I18" s="711"/>
      <c r="J18" s="711"/>
    </row>
    <row r="19" spans="1:10" s="507" customFormat="1" ht="11.25" customHeight="1">
      <c r="A19" s="731" t="s">
        <v>125</v>
      </c>
      <c r="B19" s="730" t="s">
        <v>417</v>
      </c>
      <c r="C19" s="732">
        <v>0</v>
      </c>
      <c r="D19" s="732">
        <v>54.93544</v>
      </c>
      <c r="E19" s="732">
        <v>0</v>
      </c>
      <c r="F19" s="733">
        <f t="shared" si="0"/>
        <v>-1</v>
      </c>
      <c r="I19" s="711"/>
      <c r="J19" s="711"/>
    </row>
    <row r="20" spans="1:10" s="507" customFormat="1" ht="11.25" customHeight="1">
      <c r="A20" s="862" t="s">
        <v>418</v>
      </c>
      <c r="B20" s="863"/>
      <c r="C20" s="864">
        <v>0</v>
      </c>
      <c r="D20" s="864">
        <v>54.93544</v>
      </c>
      <c r="E20" s="864">
        <v>0</v>
      </c>
      <c r="F20" s="865">
        <f t="shared" si="0"/>
        <v>-1</v>
      </c>
      <c r="I20" s="711"/>
      <c r="J20" s="711"/>
    </row>
    <row r="21" spans="1:10" s="507" customFormat="1" ht="11.25" customHeight="1">
      <c r="A21" s="731" t="s">
        <v>118</v>
      </c>
      <c r="B21" s="730" t="s">
        <v>449</v>
      </c>
      <c r="C21" s="732"/>
      <c r="D21" s="732">
        <v>0</v>
      </c>
      <c r="E21" s="732"/>
      <c r="F21" s="733" t="str">
        <f t="shared" si="0"/>
        <v/>
      </c>
      <c r="I21" s="711"/>
      <c r="J21" s="711"/>
    </row>
    <row r="22" spans="1:10" s="507" customFormat="1" ht="11.25" customHeight="1">
      <c r="A22" s="731"/>
      <c r="B22" s="730" t="s">
        <v>72</v>
      </c>
      <c r="C22" s="732">
        <v>3.8841299999999999</v>
      </c>
      <c r="D22" s="732">
        <v>6.2851699999999999</v>
      </c>
      <c r="E22" s="732">
        <v>8.8075100000000006</v>
      </c>
      <c r="F22" s="733">
        <f t="shared" si="0"/>
        <v>-0.38201671553832273</v>
      </c>
      <c r="I22" s="711"/>
      <c r="J22" s="711"/>
    </row>
    <row r="23" spans="1:10" s="507" customFormat="1" ht="11.25" customHeight="1">
      <c r="A23" s="862" t="s">
        <v>419</v>
      </c>
      <c r="B23" s="863"/>
      <c r="C23" s="864">
        <v>3.8841299999999999</v>
      </c>
      <c r="D23" s="864">
        <v>6.2851699999999999</v>
      </c>
      <c r="E23" s="864">
        <v>8.8075100000000006</v>
      </c>
      <c r="F23" s="865">
        <f t="shared" si="0"/>
        <v>-0.38201671553832273</v>
      </c>
      <c r="I23" s="711"/>
      <c r="J23" s="711"/>
    </row>
    <row r="24" spans="1:10" s="507" customFormat="1" ht="11.25" customHeight="1">
      <c r="A24" s="731" t="s">
        <v>95</v>
      </c>
      <c r="B24" s="730" t="s">
        <v>420</v>
      </c>
      <c r="C24" s="732">
        <v>21.174990000000001</v>
      </c>
      <c r="D24" s="732">
        <v>11.859</v>
      </c>
      <c r="E24" s="732">
        <v>43.690919999999998</v>
      </c>
      <c r="F24" s="733">
        <f t="shared" si="0"/>
        <v>0.78556286364786243</v>
      </c>
      <c r="I24" s="711"/>
      <c r="J24" s="711"/>
    </row>
    <row r="25" spans="1:10" s="507" customFormat="1" ht="11.25" customHeight="1">
      <c r="A25" s="731"/>
      <c r="B25" s="730" t="s">
        <v>421</v>
      </c>
      <c r="C25" s="732">
        <v>62.858370000000001</v>
      </c>
      <c r="D25" s="732">
        <v>45.329030000000003</v>
      </c>
      <c r="E25" s="732">
        <v>167.52777</v>
      </c>
      <c r="F25" s="733">
        <f t="shared" si="0"/>
        <v>0.38671332697831828</v>
      </c>
      <c r="I25" s="711"/>
      <c r="J25" s="711"/>
    </row>
    <row r="26" spans="1:10" s="507" customFormat="1" ht="11.25" customHeight="1">
      <c r="A26" s="731"/>
      <c r="B26" s="730" t="s">
        <v>422</v>
      </c>
      <c r="C26" s="732">
        <v>0</v>
      </c>
      <c r="D26" s="732">
        <v>33.127719999999997</v>
      </c>
      <c r="E26" s="732">
        <v>30.279130000000002</v>
      </c>
      <c r="F26" s="733">
        <f t="shared" si="0"/>
        <v>-1</v>
      </c>
      <c r="I26" s="711"/>
      <c r="J26" s="711"/>
    </row>
    <row r="27" spans="1:10" s="507" customFormat="1" ht="11.25" customHeight="1">
      <c r="A27" s="731"/>
      <c r="B27" s="730" t="s">
        <v>423</v>
      </c>
      <c r="C27" s="732">
        <v>0.21</v>
      </c>
      <c r="D27" s="732">
        <v>0</v>
      </c>
      <c r="E27" s="732">
        <v>0</v>
      </c>
      <c r="F27" s="733" t="str">
        <f t="shared" si="0"/>
        <v/>
      </c>
      <c r="I27" s="711"/>
      <c r="J27" s="711"/>
    </row>
    <row r="28" spans="1:10" s="507" customFormat="1" ht="11.25" customHeight="1">
      <c r="A28" s="731"/>
      <c r="B28" s="730" t="s">
        <v>424</v>
      </c>
      <c r="C28" s="732">
        <v>43.93515</v>
      </c>
      <c r="D28" s="732">
        <v>32.890830000000001</v>
      </c>
      <c r="E28" s="732">
        <v>32.940539999999999</v>
      </c>
      <c r="F28" s="733">
        <f t="shared" si="0"/>
        <v>0.33578720877521184</v>
      </c>
      <c r="I28" s="711"/>
      <c r="J28" s="711"/>
    </row>
    <row r="29" spans="1:10" s="507" customFormat="1" ht="11.25" customHeight="1">
      <c r="A29" s="731"/>
      <c r="B29" s="730" t="s">
        <v>425</v>
      </c>
      <c r="C29" s="732">
        <v>3.2831999999999999</v>
      </c>
      <c r="D29" s="732">
        <v>3.78</v>
      </c>
      <c r="E29" s="732">
        <v>3.0095999999999998</v>
      </c>
      <c r="F29" s="733">
        <f t="shared" si="0"/>
        <v>-0.13142857142857145</v>
      </c>
      <c r="I29" s="711"/>
      <c r="J29" s="711"/>
    </row>
    <row r="30" spans="1:10" s="507" customFormat="1" ht="11.25" customHeight="1">
      <c r="A30" s="731"/>
      <c r="B30" s="730" t="s">
        <v>426</v>
      </c>
      <c r="C30" s="732">
        <v>8.4106799999999993</v>
      </c>
      <c r="D30" s="732">
        <v>8.285400000000001</v>
      </c>
      <c r="E30" s="732">
        <v>8.1388800000000003</v>
      </c>
      <c r="F30" s="733">
        <f t="shared" si="0"/>
        <v>1.5120573538996096E-2</v>
      </c>
      <c r="I30" s="711"/>
      <c r="J30" s="711"/>
    </row>
    <row r="31" spans="1:10" s="507" customFormat="1" ht="11.25" customHeight="1">
      <c r="A31" s="731"/>
      <c r="B31" s="730" t="s">
        <v>427</v>
      </c>
      <c r="C31" s="732">
        <v>6.6816800000000001</v>
      </c>
      <c r="D31" s="732">
        <v>7.5556600000000005</v>
      </c>
      <c r="E31" s="732">
        <v>5.7245100000000004</v>
      </c>
      <c r="F31" s="733">
        <f t="shared" si="0"/>
        <v>-0.11567222453101389</v>
      </c>
      <c r="I31" s="711"/>
      <c r="J31" s="711"/>
    </row>
    <row r="32" spans="1:10" s="507" customFormat="1" ht="11.25" customHeight="1">
      <c r="A32" s="731"/>
      <c r="B32" s="730" t="s">
        <v>428</v>
      </c>
      <c r="C32" s="732">
        <v>0</v>
      </c>
      <c r="D32" s="732">
        <v>0.37329000000000001</v>
      </c>
      <c r="E32" s="732">
        <v>4.1269400000000003</v>
      </c>
      <c r="F32" s="733">
        <f t="shared" si="0"/>
        <v>-1</v>
      </c>
      <c r="I32" s="711"/>
      <c r="J32" s="711"/>
    </row>
    <row r="33" spans="1:10" s="507" customFormat="1" ht="11.25" customHeight="1">
      <c r="A33" s="731"/>
      <c r="B33" s="730" t="s">
        <v>429</v>
      </c>
      <c r="C33" s="732">
        <v>0</v>
      </c>
      <c r="D33" s="732">
        <v>0.46731</v>
      </c>
      <c r="E33" s="732">
        <v>0</v>
      </c>
      <c r="F33" s="733">
        <f t="shared" si="0"/>
        <v>-1</v>
      </c>
      <c r="I33" s="711"/>
      <c r="J33" s="711"/>
    </row>
    <row r="34" spans="1:10" s="507" customFormat="1" ht="11.25" customHeight="1">
      <c r="A34" s="731"/>
      <c r="B34" s="730" t="s">
        <v>430</v>
      </c>
      <c r="C34" s="732">
        <v>0</v>
      </c>
      <c r="D34" s="732">
        <v>0.28766999999999998</v>
      </c>
      <c r="E34" s="732">
        <v>0</v>
      </c>
      <c r="F34" s="733">
        <f t="shared" si="0"/>
        <v>-1</v>
      </c>
      <c r="I34" s="711"/>
      <c r="J34" s="711"/>
    </row>
    <row r="35" spans="1:10" s="507" customFormat="1" ht="11.25" customHeight="1">
      <c r="A35" s="731"/>
      <c r="B35" s="730" t="s">
        <v>431</v>
      </c>
      <c r="C35" s="732">
        <v>85.261250000000004</v>
      </c>
      <c r="D35" s="732">
        <v>102.46982</v>
      </c>
      <c r="E35" s="732">
        <v>105.35533</v>
      </c>
      <c r="F35" s="733">
        <f t="shared" si="0"/>
        <v>-0.16793793528670198</v>
      </c>
      <c r="I35" s="711"/>
      <c r="J35" s="711"/>
    </row>
    <row r="36" spans="1:10" s="507" customFormat="1" ht="11.25" customHeight="1">
      <c r="A36" s="862" t="s">
        <v>432</v>
      </c>
      <c r="B36" s="863"/>
      <c r="C36" s="864">
        <v>231.81531999999999</v>
      </c>
      <c r="D36" s="864">
        <v>246.42572999999999</v>
      </c>
      <c r="E36" s="864">
        <v>400.79361999999992</v>
      </c>
      <c r="F36" s="865">
        <f t="shared" si="0"/>
        <v>-5.9289303921307268E-2</v>
      </c>
      <c r="I36" s="711"/>
      <c r="J36" s="711"/>
    </row>
    <row r="37" spans="1:10" s="507" customFormat="1" ht="11.25" customHeight="1">
      <c r="A37" s="731" t="s">
        <v>114</v>
      </c>
      <c r="B37" s="730" t="s">
        <v>261</v>
      </c>
      <c r="C37" s="732">
        <v>0</v>
      </c>
      <c r="D37" s="732">
        <v>0</v>
      </c>
      <c r="E37" s="732">
        <v>0</v>
      </c>
      <c r="F37" s="733" t="str">
        <f t="shared" si="0"/>
        <v/>
      </c>
      <c r="I37" s="711"/>
      <c r="J37" s="711"/>
    </row>
    <row r="38" spans="1:10" s="507" customFormat="1" ht="11.25" customHeight="1">
      <c r="A38" s="862" t="s">
        <v>433</v>
      </c>
      <c r="B38" s="863"/>
      <c r="C38" s="864">
        <v>0</v>
      </c>
      <c r="D38" s="864">
        <v>0</v>
      </c>
      <c r="E38" s="864">
        <v>0</v>
      </c>
      <c r="F38" s="865" t="str">
        <f t="shared" si="0"/>
        <v/>
      </c>
      <c r="I38" s="711"/>
      <c r="J38" s="711"/>
    </row>
    <row r="39" spans="1:10" s="507" customFormat="1" ht="11.25" customHeight="1">
      <c r="A39" s="731" t="s">
        <v>105</v>
      </c>
      <c r="B39" s="730" t="s">
        <v>617</v>
      </c>
      <c r="C39" s="732">
        <v>293.75164000000001</v>
      </c>
      <c r="D39" s="732">
        <v>0</v>
      </c>
      <c r="E39" s="732">
        <v>293.38225</v>
      </c>
      <c r="F39" s="733" t="str">
        <f t="shared" si="0"/>
        <v/>
      </c>
      <c r="I39" s="711"/>
      <c r="J39" s="711"/>
    </row>
    <row r="40" spans="1:10" s="507" customFormat="1" ht="11.25" customHeight="1">
      <c r="A40" s="862" t="s">
        <v>434</v>
      </c>
      <c r="B40" s="863"/>
      <c r="C40" s="864">
        <v>293.75164000000001</v>
      </c>
      <c r="D40" s="864">
        <v>0</v>
      </c>
      <c r="E40" s="864">
        <v>293.38225</v>
      </c>
      <c r="F40" s="865" t="str">
        <f t="shared" si="0"/>
        <v/>
      </c>
      <c r="I40" s="711"/>
      <c r="J40" s="711"/>
    </row>
    <row r="41" spans="1:10" s="507" customFormat="1" ht="11.25" customHeight="1">
      <c r="A41" s="731" t="s">
        <v>110</v>
      </c>
      <c r="B41" s="730" t="s">
        <v>435</v>
      </c>
      <c r="C41" s="732">
        <v>164.32933</v>
      </c>
      <c r="D41" s="732">
        <v>171.26250999999999</v>
      </c>
      <c r="E41" s="732">
        <v>0</v>
      </c>
      <c r="F41" s="733">
        <f t="shared" si="0"/>
        <v>-4.0482765317406577E-2</v>
      </c>
      <c r="I41" s="711"/>
      <c r="J41" s="711"/>
    </row>
    <row r="42" spans="1:10" s="507" customFormat="1" ht="11.25" customHeight="1">
      <c r="A42" s="862" t="s">
        <v>436</v>
      </c>
      <c r="B42" s="863"/>
      <c r="C42" s="864">
        <v>164.32933</v>
      </c>
      <c r="D42" s="864">
        <v>171.26250999999999</v>
      </c>
      <c r="E42" s="864">
        <v>0</v>
      </c>
      <c r="F42" s="865">
        <f t="shared" si="0"/>
        <v>-4.0482765317406577E-2</v>
      </c>
      <c r="I42" s="711"/>
      <c r="J42" s="711"/>
    </row>
    <row r="43" spans="1:10" s="507" customFormat="1" ht="11.25" customHeight="1">
      <c r="A43" s="731" t="s">
        <v>511</v>
      </c>
      <c r="B43" s="730" t="s">
        <v>795</v>
      </c>
      <c r="C43" s="732">
        <v>19.992550000000001</v>
      </c>
      <c r="D43" s="732"/>
      <c r="E43" s="732">
        <v>19.976400000000002</v>
      </c>
      <c r="F43" s="733" t="str">
        <f t="shared" si="0"/>
        <v/>
      </c>
      <c r="I43" s="711"/>
      <c r="J43" s="711"/>
    </row>
    <row r="44" spans="1:10" s="507" customFormat="1" ht="11.25" customHeight="1">
      <c r="A44" s="862" t="s">
        <v>513</v>
      </c>
      <c r="B44" s="863"/>
      <c r="C44" s="864">
        <v>19.992550000000001</v>
      </c>
      <c r="D44" s="864"/>
      <c r="E44" s="864">
        <v>19.976400000000002</v>
      </c>
      <c r="F44" s="865" t="str">
        <f t="shared" si="0"/>
        <v/>
      </c>
      <c r="I44" s="711"/>
      <c r="J44" s="711"/>
    </row>
    <row r="45" spans="1:10" s="507" customFormat="1" ht="11.25" customHeight="1">
      <c r="A45" s="731" t="s">
        <v>586</v>
      </c>
      <c r="B45" s="730" t="s">
        <v>388</v>
      </c>
      <c r="C45" s="732">
        <v>18.52233</v>
      </c>
      <c r="D45" s="732">
        <v>14.92867</v>
      </c>
      <c r="E45" s="732">
        <v>19.575330000000001</v>
      </c>
      <c r="F45" s="733">
        <f t="shared" si="0"/>
        <v>0.24072204690705878</v>
      </c>
      <c r="I45" s="711"/>
      <c r="J45" s="711"/>
    </row>
    <row r="46" spans="1:10" s="507" customFormat="1" ht="11.25" customHeight="1">
      <c r="A46" s="862" t="s">
        <v>536</v>
      </c>
      <c r="B46" s="863"/>
      <c r="C46" s="864">
        <v>18.52233</v>
      </c>
      <c r="D46" s="864">
        <v>14.92867</v>
      </c>
      <c r="E46" s="864">
        <v>19.575330000000001</v>
      </c>
      <c r="F46" s="865">
        <f t="shared" si="0"/>
        <v>0.24072204690705878</v>
      </c>
      <c r="I46" s="711"/>
      <c r="J46" s="711"/>
    </row>
    <row r="47" spans="1:10" s="507" customFormat="1" ht="11.25" customHeight="1">
      <c r="A47" s="731" t="s">
        <v>603</v>
      </c>
      <c r="B47" s="730" t="s">
        <v>797</v>
      </c>
      <c r="C47" s="732">
        <v>0</v>
      </c>
      <c r="D47" s="732"/>
      <c r="E47" s="732"/>
      <c r="F47" s="733" t="str">
        <f t="shared" si="0"/>
        <v/>
      </c>
      <c r="I47" s="711"/>
      <c r="J47" s="711"/>
    </row>
    <row r="48" spans="1:10" s="507" customFormat="1" ht="11.25" customHeight="1">
      <c r="A48" s="862" t="s">
        <v>610</v>
      </c>
      <c r="B48" s="863"/>
      <c r="C48" s="864">
        <v>0</v>
      </c>
      <c r="D48" s="864"/>
      <c r="E48" s="864"/>
      <c r="F48" s="865" t="str">
        <f t="shared" si="0"/>
        <v/>
      </c>
      <c r="I48" s="711"/>
      <c r="J48" s="711"/>
    </row>
    <row r="49" spans="1:13" s="507" customFormat="1" ht="8.25">
      <c r="A49" s="734"/>
      <c r="B49" s="734"/>
      <c r="C49" s="734"/>
      <c r="D49" s="734"/>
      <c r="E49" s="734"/>
      <c r="F49" s="734"/>
    </row>
    <row r="50" spans="1:13" s="507" customFormat="1" ht="10.5" customHeight="1">
      <c r="A50" s="821" t="s">
        <v>514</v>
      </c>
      <c r="B50" s="847"/>
      <c r="C50" s="823">
        <v>6554.1949699999996</v>
      </c>
      <c r="D50" s="823">
        <v>6341.4928699999973</v>
      </c>
      <c r="E50" s="823">
        <v>6710.6748599999992</v>
      </c>
      <c r="F50" s="848">
        <f t="shared" si="0"/>
        <v>3.3541329204396453E-2</v>
      </c>
    </row>
    <row r="51" spans="1:13" s="507" customFormat="1" ht="10.5" customHeight="1">
      <c r="A51" s="824" t="s">
        <v>438</v>
      </c>
      <c r="B51" s="825"/>
      <c r="C51" s="823">
        <f>+'8. Max Potencia'!D16</f>
        <v>0</v>
      </c>
      <c r="D51" s="823">
        <f>+'8. Max Potencia'!E16</f>
        <v>0</v>
      </c>
      <c r="E51" s="828">
        <v>0</v>
      </c>
      <c r="F51" s="849">
        <v>0</v>
      </c>
    </row>
    <row r="52" spans="1:13" s="507" customFormat="1" ht="10.5" customHeight="1">
      <c r="A52" s="829" t="s">
        <v>439</v>
      </c>
      <c r="B52" s="830"/>
      <c r="C52" s="823">
        <f>+'8. Max Potencia'!D17</f>
        <v>0</v>
      </c>
      <c r="D52" s="823">
        <f>+'8. Max Potencia'!E17</f>
        <v>0</v>
      </c>
      <c r="E52" s="828">
        <v>0</v>
      </c>
      <c r="F52" s="849">
        <v>0</v>
      </c>
    </row>
    <row r="54" spans="1:13" ht="12" customHeight="1">
      <c r="A54" s="702" t="s">
        <v>551</v>
      </c>
    </row>
    <row r="55" spans="1:13" s="637" customFormat="1" ht="12" customHeight="1">
      <c r="A55" s="702" t="s">
        <v>578</v>
      </c>
      <c r="B55" s="392"/>
      <c r="C55" s="392"/>
      <c r="D55" s="392"/>
      <c r="E55" s="392"/>
      <c r="F55" s="392"/>
      <c r="G55" s="393"/>
      <c r="H55" s="393"/>
      <c r="I55" s="393"/>
      <c r="J55" s="393"/>
      <c r="K55" s="393"/>
      <c r="L55" s="393"/>
      <c r="M55" s="393"/>
    </row>
    <row r="56" spans="1:13" ht="12" customHeight="1">
      <c r="A56" s="702" t="s">
        <v>579</v>
      </c>
    </row>
    <row r="57" spans="1:13" ht="12" customHeight="1">
      <c r="A57" s="702" t="s">
        <v>580</v>
      </c>
    </row>
    <row r="58" spans="1:13" ht="12" customHeight="1">
      <c r="A58" s="702" t="s">
        <v>581</v>
      </c>
    </row>
    <row r="59" spans="1:13" ht="12" customHeight="1">
      <c r="A59" s="702" t="s">
        <v>582</v>
      </c>
    </row>
    <row r="60" spans="1:13" ht="12" customHeight="1">
      <c r="A60" s="702" t="s">
        <v>583</v>
      </c>
    </row>
    <row r="61" spans="1:13" ht="12" customHeight="1">
      <c r="A61" s="702" t="s">
        <v>584</v>
      </c>
    </row>
    <row r="62" spans="1:13" ht="12" customHeight="1">
      <c r="A62" s="702" t="s">
        <v>585</v>
      </c>
    </row>
    <row r="63" spans="1:13" ht="12" customHeight="1">
      <c r="A63" s="702" t="s">
        <v>611</v>
      </c>
    </row>
    <row r="64" spans="1:13" ht="12" customHeight="1">
      <c r="A64" s="702" t="s">
        <v>612</v>
      </c>
    </row>
    <row r="65" spans="1:1" ht="12" customHeight="1">
      <c r="A65" s="702" t="s">
        <v>613</v>
      </c>
    </row>
    <row r="66" spans="1:1" ht="11.25" customHeight="1">
      <c r="A66" s="702" t="s">
        <v>796</v>
      </c>
    </row>
  </sheetData>
  <mergeCells count="3">
    <mergeCell ref="A1:A4"/>
    <mergeCell ref="B1:B4"/>
    <mergeCell ref="C1:F1"/>
  </mergeCells>
  <conditionalFormatting sqref="I5:J48">
    <cfRule type="cellIs" dxfId="2" priority="2" operator="greaterThan">
      <formula>0</formula>
    </cfRule>
    <cfRule type="cellIs" dxfId="1" priority="3" operator="greaterThan">
      <formula>0</formula>
    </cfRule>
    <cfRule type="cellIs" dxfId="0" priority="1" operator="greaterThan">
      <formula>0</formula>
    </cfRule>
  </conditionalFormatting>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7"/>
  <sheetViews>
    <sheetView showGridLines="0" view="pageBreakPreview" zoomScale="115" zoomScaleNormal="100" zoomScaleSheetLayoutView="115" zoomScalePageLayoutView="145" workbookViewId="0">
      <selection activeCell="M27" sqref="M27"/>
    </sheetView>
  </sheetViews>
  <sheetFormatPr defaultRowHeight="11.25"/>
  <cols>
    <col min="1" max="1" width="9.83203125" style="50" customWidth="1"/>
    <col min="2" max="2" width="6.6640625" style="50" customWidth="1"/>
    <col min="3" max="3" width="10.1640625" style="50" bestFit="1"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403" t="s">
        <v>460</v>
      </c>
      <c r="B3" s="401"/>
    </row>
    <row r="4" spans="1:13" s="50" customFormat="1" ht="11.25" customHeight="1">
      <c r="A4" s="375"/>
      <c r="B4" s="401"/>
    </row>
    <row r="5" spans="1:13" s="50" customFormat="1" ht="11.25" customHeight="1">
      <c r="A5" s="402" t="s">
        <v>587</v>
      </c>
      <c r="C5" s="624" t="s">
        <v>773</v>
      </c>
    </row>
    <row r="6" spans="1:13" s="50" customFormat="1" ht="11.25" customHeight="1">
      <c r="A6" s="402" t="s">
        <v>461</v>
      </c>
      <c r="C6" s="685" t="s">
        <v>767</v>
      </c>
    </row>
    <row r="7" spans="1:13" s="50" customFormat="1" ht="11.25" customHeight="1">
      <c r="A7" s="402" t="s">
        <v>462</v>
      </c>
      <c r="C7" s="686" t="s">
        <v>598</v>
      </c>
    </row>
    <row r="8" spans="1:13" s="50" customFormat="1" ht="11.25" customHeight="1"/>
    <row r="9" spans="1:13" s="50" customFormat="1" ht="14.25" customHeight="1">
      <c r="A9" s="998" t="s">
        <v>453</v>
      </c>
      <c r="B9" s="999" t="s">
        <v>454</v>
      </c>
      <c r="C9" s="999"/>
      <c r="D9" s="999"/>
      <c r="E9" s="999"/>
      <c r="F9" s="999"/>
      <c r="G9" s="999" t="s">
        <v>455</v>
      </c>
      <c r="H9" s="999"/>
      <c r="I9" s="999"/>
      <c r="J9" s="999"/>
      <c r="K9" s="999"/>
    </row>
    <row r="10" spans="1:13" s="50" customFormat="1" ht="26.25" customHeight="1">
      <c r="A10" s="998"/>
      <c r="B10" s="841" t="s">
        <v>456</v>
      </c>
      <c r="C10" s="841" t="s">
        <v>213</v>
      </c>
      <c r="D10" s="841" t="s">
        <v>438</v>
      </c>
      <c r="E10" s="841" t="s">
        <v>439</v>
      </c>
      <c r="F10" s="842" t="s">
        <v>459</v>
      </c>
      <c r="G10" s="841" t="s">
        <v>456</v>
      </c>
      <c r="H10" s="841" t="s">
        <v>213</v>
      </c>
      <c r="I10" s="841" t="s">
        <v>438</v>
      </c>
      <c r="J10" s="841" t="s">
        <v>439</v>
      </c>
      <c r="K10" s="842" t="s">
        <v>459</v>
      </c>
      <c r="L10" s="254"/>
      <c r="M10" s="61"/>
    </row>
    <row r="11" spans="1:13" s="50" customFormat="1" ht="11.25" customHeight="1">
      <c r="A11" s="998"/>
      <c r="B11" s="841" t="s">
        <v>457</v>
      </c>
      <c r="C11" s="841" t="s">
        <v>458</v>
      </c>
      <c r="D11" s="841" t="s">
        <v>458</v>
      </c>
      <c r="E11" s="841" t="s">
        <v>458</v>
      </c>
      <c r="F11" s="841" t="s">
        <v>458</v>
      </c>
      <c r="G11" s="841" t="s">
        <v>457</v>
      </c>
      <c r="H11" s="841" t="s">
        <v>458</v>
      </c>
      <c r="I11" s="841" t="s">
        <v>458</v>
      </c>
      <c r="J11" s="841" t="s">
        <v>458</v>
      </c>
      <c r="K11" s="841" t="s">
        <v>458</v>
      </c>
      <c r="L11" s="254"/>
      <c r="M11" s="61"/>
    </row>
    <row r="12" spans="1:13" s="50" customFormat="1" ht="11.25" customHeight="1">
      <c r="A12" s="518" t="s">
        <v>740</v>
      </c>
      <c r="B12" s="519" t="s">
        <v>591</v>
      </c>
      <c r="C12" s="398">
        <v>6003.2033700000002</v>
      </c>
      <c r="D12" s="398">
        <v>0</v>
      </c>
      <c r="E12" s="398">
        <v>0</v>
      </c>
      <c r="F12" s="398">
        <v>6003.2033700000002</v>
      </c>
      <c r="G12" s="519" t="s">
        <v>523</v>
      </c>
      <c r="H12" s="398">
        <v>6276.4219199999998</v>
      </c>
      <c r="I12" s="398">
        <v>0</v>
      </c>
      <c r="J12" s="398">
        <v>0</v>
      </c>
      <c r="K12" s="398">
        <v>6276.4219199999998</v>
      </c>
      <c r="L12" s="266"/>
      <c r="M12" s="61"/>
    </row>
    <row r="13" spans="1:13" s="50" customFormat="1" ht="11.25" customHeight="1">
      <c r="A13" s="518" t="s">
        <v>741</v>
      </c>
      <c r="B13" s="520" t="s">
        <v>520</v>
      </c>
      <c r="C13" s="399">
        <v>5508.03467</v>
      </c>
      <c r="D13" s="399">
        <v>0</v>
      </c>
      <c r="E13" s="399">
        <v>0</v>
      </c>
      <c r="F13" s="399">
        <v>5508.03467</v>
      </c>
      <c r="G13" s="520" t="s">
        <v>547</v>
      </c>
      <c r="H13" s="399">
        <v>6162.3896199999999</v>
      </c>
      <c r="I13" s="399">
        <v>0</v>
      </c>
      <c r="J13" s="399">
        <v>0</v>
      </c>
      <c r="K13" s="399">
        <v>6162.3896199999999</v>
      </c>
      <c r="L13" s="7"/>
    </row>
    <row r="14" spans="1:13" s="50" customFormat="1" ht="11.25" customHeight="1">
      <c r="A14" s="518" t="s">
        <v>742</v>
      </c>
      <c r="B14" s="520" t="s">
        <v>522</v>
      </c>
      <c r="C14" s="399">
        <v>6220.8038399999996</v>
      </c>
      <c r="D14" s="399">
        <v>0</v>
      </c>
      <c r="E14" s="399">
        <v>0</v>
      </c>
      <c r="F14" s="399">
        <v>6220.8038399999996</v>
      </c>
      <c r="G14" s="520" t="s">
        <v>519</v>
      </c>
      <c r="H14" s="399">
        <v>6445.8859300000004</v>
      </c>
      <c r="I14" s="399">
        <v>0</v>
      </c>
      <c r="J14" s="399">
        <v>0</v>
      </c>
      <c r="K14" s="399">
        <v>6445.8859300000004</v>
      </c>
      <c r="L14" s="20"/>
    </row>
    <row r="15" spans="1:13" s="50" customFormat="1" ht="11.25" customHeight="1">
      <c r="A15" s="518" t="s">
        <v>743</v>
      </c>
      <c r="B15" s="520" t="s">
        <v>524</v>
      </c>
      <c r="C15" s="399">
        <v>6203.7254599999997</v>
      </c>
      <c r="D15" s="399">
        <v>39.53716</v>
      </c>
      <c r="E15" s="399">
        <v>0</v>
      </c>
      <c r="F15" s="399">
        <v>6243.2626200000004</v>
      </c>
      <c r="G15" s="520" t="s">
        <v>521</v>
      </c>
      <c r="H15" s="399">
        <v>6337.8301600000004</v>
      </c>
      <c r="I15" s="399">
        <v>38.315840000000001</v>
      </c>
      <c r="J15" s="399">
        <v>0</v>
      </c>
      <c r="K15" s="399">
        <v>6376.1459999999997</v>
      </c>
      <c r="L15" s="16"/>
    </row>
    <row r="16" spans="1:13" s="50" customFormat="1" ht="11.25" customHeight="1">
      <c r="A16" s="518" t="s">
        <v>744</v>
      </c>
      <c r="B16" s="520" t="s">
        <v>524</v>
      </c>
      <c r="C16" s="399">
        <v>6119.81034</v>
      </c>
      <c r="D16" s="399">
        <v>36.630519999999997</v>
      </c>
      <c r="E16" s="399">
        <v>0</v>
      </c>
      <c r="F16" s="399">
        <v>6156.4408599999997</v>
      </c>
      <c r="G16" s="520" t="s">
        <v>548</v>
      </c>
      <c r="H16" s="399">
        <v>6342.70093</v>
      </c>
      <c r="I16" s="399">
        <v>35.554639999999999</v>
      </c>
      <c r="J16" s="399">
        <v>0</v>
      </c>
      <c r="K16" s="399">
        <v>6378.2555700000003</v>
      </c>
      <c r="L16" s="29"/>
    </row>
    <row r="17" spans="1:12" s="50" customFormat="1" ht="11.25" customHeight="1">
      <c r="A17" s="518" t="s">
        <v>745</v>
      </c>
      <c r="B17" s="520" t="s">
        <v>522</v>
      </c>
      <c r="C17" s="399">
        <v>6107.9048400000001</v>
      </c>
      <c r="D17" s="399">
        <v>35.695480000000003</v>
      </c>
      <c r="E17" s="399">
        <v>0</v>
      </c>
      <c r="F17" s="399">
        <v>6143.6003199999996</v>
      </c>
      <c r="G17" s="520" t="s">
        <v>523</v>
      </c>
      <c r="H17" s="399">
        <v>6363.9231300000001</v>
      </c>
      <c r="I17" s="399">
        <v>37.377800000000001</v>
      </c>
      <c r="J17" s="399">
        <v>0</v>
      </c>
      <c r="K17" s="399">
        <v>6401.3009300000003</v>
      </c>
      <c r="L17" s="29"/>
    </row>
    <row r="18" spans="1:12" s="50" customFormat="1" ht="11.25" customHeight="1">
      <c r="A18" s="518" t="s">
        <v>746</v>
      </c>
      <c r="B18" s="520" t="s">
        <v>600</v>
      </c>
      <c r="C18" s="399">
        <v>6220.4458999999997</v>
      </c>
      <c r="D18" s="399">
        <v>39.175040000000003</v>
      </c>
      <c r="E18" s="399">
        <v>0</v>
      </c>
      <c r="F18" s="399">
        <v>6259.6209399999998</v>
      </c>
      <c r="G18" s="520" t="s">
        <v>553</v>
      </c>
      <c r="H18" s="399">
        <v>6365.3597799999998</v>
      </c>
      <c r="I18" s="399">
        <v>38.164400000000001</v>
      </c>
      <c r="J18" s="399">
        <v>0</v>
      </c>
      <c r="K18" s="399">
        <v>6403.5241800000003</v>
      </c>
      <c r="L18" s="29"/>
    </row>
    <row r="19" spans="1:12" s="50" customFormat="1" ht="11.25" customHeight="1">
      <c r="A19" s="518" t="s">
        <v>747</v>
      </c>
      <c r="B19" s="520" t="s">
        <v>522</v>
      </c>
      <c r="C19" s="399">
        <v>6152.6667100000004</v>
      </c>
      <c r="D19" s="399">
        <v>31.587440000000001</v>
      </c>
      <c r="E19" s="399">
        <v>0</v>
      </c>
      <c r="F19" s="399">
        <v>6184.2541499999998</v>
      </c>
      <c r="G19" s="520" t="s">
        <v>523</v>
      </c>
      <c r="H19" s="399">
        <v>6336.6783599999999</v>
      </c>
      <c r="I19" s="399">
        <v>39.231639999999999</v>
      </c>
      <c r="J19" s="399">
        <v>0</v>
      </c>
      <c r="K19" s="399">
        <v>6375.91</v>
      </c>
      <c r="L19" s="29"/>
    </row>
    <row r="20" spans="1:12" s="50" customFormat="1" ht="11.25" customHeight="1">
      <c r="A20" s="518" t="s">
        <v>748</v>
      </c>
      <c r="B20" s="520" t="s">
        <v>520</v>
      </c>
      <c r="C20" s="615">
        <v>5505.7121299999999</v>
      </c>
      <c r="D20" s="615">
        <v>30.017759999999999</v>
      </c>
      <c r="E20" s="615">
        <v>0</v>
      </c>
      <c r="F20" s="615">
        <v>5535.7298899999996</v>
      </c>
      <c r="G20" s="616" t="s">
        <v>597</v>
      </c>
      <c r="H20" s="615">
        <v>6165.4416300000003</v>
      </c>
      <c r="I20" s="615">
        <v>38.475760000000001</v>
      </c>
      <c r="J20" s="615">
        <v>0</v>
      </c>
      <c r="K20" s="615">
        <v>6203.9173899999996</v>
      </c>
      <c r="L20" s="31"/>
    </row>
    <row r="21" spans="1:12" s="50" customFormat="1" ht="11.25" customHeight="1">
      <c r="A21" s="518" t="s">
        <v>749</v>
      </c>
      <c r="B21" s="520" t="s">
        <v>552</v>
      </c>
      <c r="C21" s="615">
        <v>6292.9651100000001</v>
      </c>
      <c r="D21" s="615">
        <v>36.641480000000001</v>
      </c>
      <c r="E21" s="615">
        <v>0</v>
      </c>
      <c r="F21" s="615">
        <v>6329.6065900000003</v>
      </c>
      <c r="G21" s="616" t="s">
        <v>523</v>
      </c>
      <c r="H21" s="615">
        <v>6479.41464</v>
      </c>
      <c r="I21" s="615">
        <v>42.810160000000003</v>
      </c>
      <c r="J21" s="615">
        <v>0</v>
      </c>
      <c r="K21" s="615">
        <v>6522.2248</v>
      </c>
      <c r="L21" s="29"/>
    </row>
    <row r="22" spans="1:12" s="50" customFormat="1" ht="11.25" customHeight="1">
      <c r="A22" s="518" t="s">
        <v>750</v>
      </c>
      <c r="B22" s="520" t="s">
        <v>751</v>
      </c>
      <c r="C22" s="615">
        <v>6212.2422900000001</v>
      </c>
      <c r="D22" s="615">
        <v>31.563279999999999</v>
      </c>
      <c r="E22" s="615">
        <v>0</v>
      </c>
      <c r="F22" s="615">
        <v>6243.8055700000004</v>
      </c>
      <c r="G22" s="616" t="s">
        <v>598</v>
      </c>
      <c r="H22" s="615">
        <v>6406.3151500000004</v>
      </c>
      <c r="I22" s="615">
        <v>40.805199999999999</v>
      </c>
      <c r="J22" s="615">
        <v>0</v>
      </c>
      <c r="K22" s="615">
        <v>6447.1203500000001</v>
      </c>
      <c r="L22" s="29"/>
    </row>
    <row r="23" spans="1:12" s="50" customFormat="1" ht="11.25" customHeight="1">
      <c r="A23" s="518" t="s">
        <v>752</v>
      </c>
      <c r="B23" s="520" t="s">
        <v>552</v>
      </c>
      <c r="C23" s="615">
        <v>6101.2991099999999</v>
      </c>
      <c r="D23" s="615">
        <v>36.389159999999997</v>
      </c>
      <c r="E23" s="615">
        <v>0</v>
      </c>
      <c r="F23" s="615">
        <v>6137.6882699999996</v>
      </c>
      <c r="G23" s="616" t="s">
        <v>523</v>
      </c>
      <c r="H23" s="615">
        <v>6356.6993599999996</v>
      </c>
      <c r="I23" s="615">
        <v>43.759279999999997</v>
      </c>
      <c r="J23" s="615">
        <v>0</v>
      </c>
      <c r="K23" s="615">
        <v>6400.4586399999998</v>
      </c>
      <c r="L23" s="29"/>
    </row>
    <row r="24" spans="1:12" s="50" customFormat="1" ht="11.25" customHeight="1">
      <c r="A24" s="518" t="s">
        <v>753</v>
      </c>
      <c r="B24" s="520" t="s">
        <v>524</v>
      </c>
      <c r="C24" s="615">
        <v>6206.17461</v>
      </c>
      <c r="D24" s="615">
        <v>33.933239999999998</v>
      </c>
      <c r="E24" s="615">
        <v>0</v>
      </c>
      <c r="F24" s="615">
        <v>6240.1078500000003</v>
      </c>
      <c r="G24" s="616" t="s">
        <v>548</v>
      </c>
      <c r="H24" s="615">
        <v>6445.6364400000002</v>
      </c>
      <c r="I24" s="615">
        <v>0</v>
      </c>
      <c r="J24" s="615">
        <v>0</v>
      </c>
      <c r="K24" s="615">
        <v>6445.6364400000002</v>
      </c>
      <c r="L24" s="29"/>
    </row>
    <row r="25" spans="1:12" s="50" customFormat="1" ht="11.25" customHeight="1">
      <c r="A25" s="518" t="s">
        <v>754</v>
      </c>
      <c r="B25" s="520" t="s">
        <v>751</v>
      </c>
      <c r="C25" s="615">
        <v>6314.87608</v>
      </c>
      <c r="D25" s="615">
        <v>0</v>
      </c>
      <c r="E25" s="615">
        <v>0</v>
      </c>
      <c r="F25" s="615">
        <v>6314.87608</v>
      </c>
      <c r="G25" s="616" t="s">
        <v>523</v>
      </c>
      <c r="H25" s="615">
        <v>6360.1283999999996</v>
      </c>
      <c r="I25" s="615">
        <v>0</v>
      </c>
      <c r="J25" s="615">
        <v>0</v>
      </c>
      <c r="K25" s="615">
        <v>6360.1283999999996</v>
      </c>
      <c r="L25" s="29"/>
    </row>
    <row r="26" spans="1:12" s="50" customFormat="1" ht="11.25" customHeight="1">
      <c r="A26" s="518" t="s">
        <v>755</v>
      </c>
      <c r="B26" s="520" t="s">
        <v>591</v>
      </c>
      <c r="C26" s="615">
        <v>6169.2032600000002</v>
      </c>
      <c r="D26" s="615">
        <v>0</v>
      </c>
      <c r="E26" s="615">
        <v>0</v>
      </c>
      <c r="F26" s="615">
        <v>6169.2032600000002</v>
      </c>
      <c r="G26" s="616" t="s">
        <v>523</v>
      </c>
      <c r="H26" s="615">
        <v>6178.0626000000002</v>
      </c>
      <c r="I26" s="615">
        <v>0</v>
      </c>
      <c r="J26" s="615">
        <v>0</v>
      </c>
      <c r="K26" s="615">
        <v>6178.0626000000002</v>
      </c>
      <c r="L26" s="29"/>
    </row>
    <row r="27" spans="1:12" s="50" customFormat="1" ht="11.25" customHeight="1">
      <c r="A27" s="518" t="s">
        <v>756</v>
      </c>
      <c r="B27" s="520" t="s">
        <v>757</v>
      </c>
      <c r="C27" s="615">
        <v>5529.0258899999999</v>
      </c>
      <c r="D27" s="615">
        <v>0</v>
      </c>
      <c r="E27" s="615">
        <v>0</v>
      </c>
      <c r="F27" s="615">
        <v>5529.0258899999999</v>
      </c>
      <c r="G27" s="616" t="s">
        <v>519</v>
      </c>
      <c r="H27" s="615">
        <v>6191.8061200000002</v>
      </c>
      <c r="I27" s="615">
        <v>0</v>
      </c>
      <c r="J27" s="615">
        <v>0</v>
      </c>
      <c r="K27" s="615">
        <v>6191.8061200000002</v>
      </c>
      <c r="L27" s="29"/>
    </row>
    <row r="28" spans="1:12" s="50" customFormat="1" ht="11.25" customHeight="1">
      <c r="A28" s="518" t="s">
        <v>758</v>
      </c>
      <c r="B28" s="520" t="s">
        <v>522</v>
      </c>
      <c r="C28" s="615">
        <v>6163.4580699999997</v>
      </c>
      <c r="D28" s="615">
        <v>0</v>
      </c>
      <c r="E28" s="615">
        <v>0</v>
      </c>
      <c r="F28" s="615">
        <v>6163.4580699999997</v>
      </c>
      <c r="G28" s="616" t="s">
        <v>548</v>
      </c>
      <c r="H28" s="615">
        <v>6491.7500200000004</v>
      </c>
      <c r="I28" s="615">
        <v>0</v>
      </c>
      <c r="J28" s="615">
        <v>0</v>
      </c>
      <c r="K28" s="615">
        <v>6491.7500200000004</v>
      </c>
      <c r="L28" s="39"/>
    </row>
    <row r="29" spans="1:12" s="50" customFormat="1" ht="11.25" customHeight="1">
      <c r="A29" s="518" t="s">
        <v>759</v>
      </c>
      <c r="B29" s="520" t="s">
        <v>524</v>
      </c>
      <c r="C29" s="615">
        <v>6472.6600500000004</v>
      </c>
      <c r="D29" s="615">
        <v>0</v>
      </c>
      <c r="E29" s="615">
        <v>0</v>
      </c>
      <c r="F29" s="615">
        <v>6472.6600500000004</v>
      </c>
      <c r="G29" s="616" t="s">
        <v>519</v>
      </c>
      <c r="H29" s="615">
        <v>6541.1164200000003</v>
      </c>
      <c r="I29" s="615">
        <v>0</v>
      </c>
      <c r="J29" s="615">
        <v>0</v>
      </c>
      <c r="K29" s="615">
        <v>6541.1164200000003</v>
      </c>
      <c r="L29" s="29"/>
    </row>
    <row r="30" spans="1:12" s="50" customFormat="1" ht="11.25" customHeight="1">
      <c r="A30" s="518" t="s">
        <v>760</v>
      </c>
      <c r="B30" s="520" t="s">
        <v>522</v>
      </c>
      <c r="C30" s="615">
        <v>6437.8066399999998</v>
      </c>
      <c r="D30" s="615">
        <v>0</v>
      </c>
      <c r="E30" s="615">
        <v>0</v>
      </c>
      <c r="F30" s="615">
        <v>6437.8066399999998</v>
      </c>
      <c r="G30" s="616" t="s">
        <v>548</v>
      </c>
      <c r="H30" s="615">
        <v>6510.7485100000004</v>
      </c>
      <c r="I30" s="615">
        <v>0</v>
      </c>
      <c r="J30" s="615">
        <v>0</v>
      </c>
      <c r="K30" s="615">
        <v>6510.7485100000004</v>
      </c>
      <c r="L30" s="29"/>
    </row>
    <row r="31" spans="1:12" s="50" customFormat="1" ht="11.25" customHeight="1">
      <c r="A31" s="518" t="s">
        <v>761</v>
      </c>
      <c r="B31" s="520" t="s">
        <v>522</v>
      </c>
      <c r="C31" s="615">
        <v>6323.9319400000004</v>
      </c>
      <c r="D31" s="615">
        <v>0</v>
      </c>
      <c r="E31" s="615">
        <v>0</v>
      </c>
      <c r="F31" s="615">
        <v>6323.9319400000004</v>
      </c>
      <c r="G31" s="616" t="s">
        <v>523</v>
      </c>
      <c r="H31" s="615">
        <v>6327.4369999999999</v>
      </c>
      <c r="I31" s="615">
        <v>0</v>
      </c>
      <c r="J31" s="615">
        <v>0</v>
      </c>
      <c r="K31" s="615">
        <v>6327.4369999999999</v>
      </c>
      <c r="L31" s="20"/>
    </row>
    <row r="32" spans="1:12" s="50" customFormat="1" ht="11.25" customHeight="1">
      <c r="A32" s="518" t="s">
        <v>762</v>
      </c>
      <c r="B32" s="520" t="s">
        <v>522</v>
      </c>
      <c r="C32" s="615">
        <v>6384.7903500000002</v>
      </c>
      <c r="D32" s="615">
        <v>0</v>
      </c>
      <c r="E32" s="615">
        <v>0</v>
      </c>
      <c r="F32" s="615">
        <v>6384.7903500000002</v>
      </c>
      <c r="G32" s="616" t="s">
        <v>599</v>
      </c>
      <c r="H32" s="615">
        <v>6488.5766899999999</v>
      </c>
      <c r="I32" s="615">
        <v>0</v>
      </c>
      <c r="J32" s="615">
        <v>0</v>
      </c>
      <c r="K32" s="615">
        <v>6488.5766899999999</v>
      </c>
      <c r="L32" s="22"/>
    </row>
    <row r="33" spans="1:12" s="50" customFormat="1" ht="11.25" customHeight="1">
      <c r="A33" s="518" t="s">
        <v>763</v>
      </c>
      <c r="B33" s="520" t="s">
        <v>751</v>
      </c>
      <c r="C33" s="615">
        <v>6308.8720800000001</v>
      </c>
      <c r="D33" s="615">
        <v>0</v>
      </c>
      <c r="E33" s="615">
        <v>0</v>
      </c>
      <c r="F33" s="615">
        <v>6308.8720800000001</v>
      </c>
      <c r="G33" s="616" t="s">
        <v>523</v>
      </c>
      <c r="H33" s="615">
        <v>6523.6045000000004</v>
      </c>
      <c r="I33" s="615">
        <v>0</v>
      </c>
      <c r="J33" s="615">
        <v>0</v>
      </c>
      <c r="K33" s="615">
        <v>6523.6045000000004</v>
      </c>
      <c r="L33" s="20"/>
    </row>
    <row r="34" spans="1:12" s="50" customFormat="1" ht="11.25" customHeight="1">
      <c r="A34" s="518" t="s">
        <v>764</v>
      </c>
      <c r="B34" s="520" t="s">
        <v>520</v>
      </c>
      <c r="C34" s="615">
        <v>5676.6703299999999</v>
      </c>
      <c r="D34" s="615">
        <v>0</v>
      </c>
      <c r="E34" s="615">
        <v>0</v>
      </c>
      <c r="F34" s="615">
        <v>5676.6703299999999</v>
      </c>
      <c r="G34" s="616" t="s">
        <v>523</v>
      </c>
      <c r="H34" s="615">
        <v>6306.9355699999996</v>
      </c>
      <c r="I34" s="615">
        <v>0</v>
      </c>
      <c r="J34" s="615">
        <v>0</v>
      </c>
      <c r="K34" s="615">
        <v>6306.9355699999996</v>
      </c>
      <c r="L34" s="20"/>
    </row>
    <row r="35" spans="1:12" s="50" customFormat="1" ht="11.25" customHeight="1">
      <c r="A35" s="518" t="s">
        <v>765</v>
      </c>
      <c r="B35" s="520" t="s">
        <v>522</v>
      </c>
      <c r="C35" s="615">
        <v>6353.5579600000001</v>
      </c>
      <c r="D35" s="615">
        <v>0</v>
      </c>
      <c r="E35" s="615">
        <v>0</v>
      </c>
      <c r="F35" s="615">
        <v>6353.5579600000001</v>
      </c>
      <c r="G35" s="616" t="s">
        <v>599</v>
      </c>
      <c r="H35" s="615">
        <v>6470.42839</v>
      </c>
      <c r="I35" s="615">
        <v>0</v>
      </c>
      <c r="J35" s="615">
        <v>0</v>
      </c>
      <c r="K35" s="615">
        <v>6470.42839</v>
      </c>
      <c r="L35" s="29"/>
    </row>
    <row r="36" spans="1:12" s="50" customFormat="1" ht="11.25" customHeight="1">
      <c r="A36" s="518" t="s">
        <v>766</v>
      </c>
      <c r="B36" s="652" t="s">
        <v>522</v>
      </c>
      <c r="C36" s="400">
        <v>6508.7009799999996</v>
      </c>
      <c r="D36" s="400">
        <v>0</v>
      </c>
      <c r="E36" s="400">
        <v>0</v>
      </c>
      <c r="F36" s="400">
        <v>6508.7009799999996</v>
      </c>
      <c r="G36" s="616" t="s">
        <v>553</v>
      </c>
      <c r="H36" s="615">
        <v>6545.6402099999996</v>
      </c>
      <c r="I36" s="615">
        <v>0</v>
      </c>
      <c r="J36" s="615">
        <v>0</v>
      </c>
      <c r="K36" s="615">
        <v>6545.6402099999996</v>
      </c>
      <c r="L36" s="29"/>
    </row>
    <row r="37" spans="1:12" s="50" customFormat="1" ht="11.25" customHeight="1">
      <c r="A37" s="518" t="s">
        <v>767</v>
      </c>
      <c r="B37" s="520" t="s">
        <v>524</v>
      </c>
      <c r="C37" s="399">
        <v>6434.5697</v>
      </c>
      <c r="D37" s="399">
        <v>0</v>
      </c>
      <c r="E37" s="399">
        <v>0</v>
      </c>
      <c r="F37" s="399">
        <v>6434.5697</v>
      </c>
      <c r="G37" s="652" t="s">
        <v>598</v>
      </c>
      <c r="H37" s="400">
        <v>6554.1949699999996</v>
      </c>
      <c r="I37" s="400">
        <v>0</v>
      </c>
      <c r="J37" s="400">
        <v>0</v>
      </c>
      <c r="K37" s="400">
        <v>6554.1949699999996</v>
      </c>
      <c r="L37" s="29"/>
    </row>
    <row r="38" spans="1:12" s="50" customFormat="1" ht="11.25" customHeight="1">
      <c r="A38" s="518" t="s">
        <v>768</v>
      </c>
      <c r="B38" s="520" t="s">
        <v>751</v>
      </c>
      <c r="C38" s="399">
        <v>6329.0202499999996</v>
      </c>
      <c r="D38" s="399">
        <v>0</v>
      </c>
      <c r="E38" s="399">
        <v>0</v>
      </c>
      <c r="F38" s="399">
        <v>6329.0202499999996</v>
      </c>
      <c r="G38" s="520" t="s">
        <v>523</v>
      </c>
      <c r="H38" s="399">
        <v>6464.4990600000001</v>
      </c>
      <c r="I38" s="399">
        <v>0</v>
      </c>
      <c r="J38" s="399">
        <v>0</v>
      </c>
      <c r="K38" s="399">
        <v>6464.4990600000001</v>
      </c>
      <c r="L38" s="29"/>
    </row>
    <row r="39" spans="1:12" s="50" customFormat="1" ht="11.25" customHeight="1">
      <c r="A39" s="518" t="s">
        <v>769</v>
      </c>
      <c r="B39" s="520" t="s">
        <v>591</v>
      </c>
      <c r="C39" s="399">
        <v>6393.0109499999999</v>
      </c>
      <c r="D39" s="399">
        <v>0</v>
      </c>
      <c r="E39" s="399">
        <v>0</v>
      </c>
      <c r="F39" s="399">
        <v>6393.0109499999999</v>
      </c>
      <c r="G39" s="520" t="s">
        <v>523</v>
      </c>
      <c r="H39" s="399">
        <v>6454.3747800000001</v>
      </c>
      <c r="I39" s="399">
        <v>0</v>
      </c>
      <c r="J39" s="399">
        <v>0</v>
      </c>
      <c r="K39" s="399">
        <v>6454.3747800000001</v>
      </c>
      <c r="L39" s="29"/>
    </row>
    <row r="40" spans="1:12" s="50" customFormat="1" ht="11.25" customHeight="1">
      <c r="A40" s="518" t="s">
        <v>770</v>
      </c>
      <c r="B40" s="520" t="s">
        <v>771</v>
      </c>
      <c r="C40" s="399">
        <v>6282.7023600000002</v>
      </c>
      <c r="D40" s="399">
        <v>0</v>
      </c>
      <c r="E40" s="399">
        <v>0</v>
      </c>
      <c r="F40" s="399">
        <v>6282.7023600000002</v>
      </c>
      <c r="G40" s="520" t="s">
        <v>548</v>
      </c>
      <c r="H40" s="399">
        <v>6372.9622399999998</v>
      </c>
      <c r="I40" s="399">
        <v>0</v>
      </c>
      <c r="J40" s="399">
        <v>0</v>
      </c>
      <c r="K40" s="399">
        <v>6372.9622399999998</v>
      </c>
      <c r="L40" s="29"/>
    </row>
    <row r="41" spans="1:12" s="50" customFormat="1" ht="11.25" customHeight="1">
      <c r="A41" s="518" t="s">
        <v>772</v>
      </c>
      <c r="B41" s="520" t="s">
        <v>757</v>
      </c>
      <c r="C41" s="399">
        <v>5642.2661600000001</v>
      </c>
      <c r="D41" s="399">
        <v>0</v>
      </c>
      <c r="E41" s="399">
        <v>0</v>
      </c>
      <c r="F41" s="399">
        <v>5642.2661600000001</v>
      </c>
      <c r="G41" s="520" t="s">
        <v>553</v>
      </c>
      <c r="H41" s="399">
        <v>6291.4448400000001</v>
      </c>
      <c r="I41" s="399">
        <v>0</v>
      </c>
      <c r="J41" s="399">
        <v>0</v>
      </c>
      <c r="K41" s="399">
        <v>6291.4448400000001</v>
      </c>
      <c r="L41" s="29"/>
    </row>
    <row r="42" spans="1:12" s="50" customFormat="1" ht="11.25" customHeight="1">
      <c r="A42" s="256"/>
      <c r="B42" s="256"/>
      <c r="C42" s="256"/>
      <c r="D42" s="256"/>
      <c r="E42" s="256"/>
      <c r="F42" s="256"/>
      <c r="G42" s="256"/>
      <c r="H42" s="256"/>
      <c r="I42" s="256"/>
      <c r="J42" s="256"/>
      <c r="K42" s="258"/>
      <c r="L42" s="29"/>
    </row>
    <row r="43" spans="1:12" s="50" customFormat="1" ht="11.25" customHeight="1">
      <c r="A43" s="256"/>
      <c r="B43" s="256"/>
      <c r="C43" s="256"/>
      <c r="D43" s="256"/>
      <c r="E43" s="256"/>
      <c r="F43" s="256"/>
      <c r="G43" s="256"/>
      <c r="H43" s="256"/>
      <c r="I43" s="256"/>
      <c r="J43" s="256"/>
      <c r="K43" s="258"/>
      <c r="L43" s="29"/>
    </row>
    <row r="44" spans="1:12" s="50" customFormat="1" ht="11.25" customHeight="1">
      <c r="A44" s="256"/>
      <c r="B44" s="256"/>
      <c r="C44" s="256"/>
      <c r="D44" s="256"/>
      <c r="E44" s="256"/>
      <c r="F44" s="256"/>
      <c r="G44" s="256"/>
      <c r="H44" s="256"/>
      <c r="I44" s="256"/>
      <c r="J44" s="256"/>
      <c r="K44" s="258"/>
      <c r="L44" s="29"/>
    </row>
    <row r="45" spans="1:12" s="50" customFormat="1" ht="11.25" customHeight="1">
      <c r="A45" s="256"/>
      <c r="B45" s="256"/>
      <c r="C45" s="256"/>
      <c r="D45" s="256"/>
      <c r="E45" s="256"/>
      <c r="F45" s="256"/>
      <c r="G45" s="256"/>
      <c r="H45" s="256"/>
      <c r="I45" s="256"/>
      <c r="J45" s="256"/>
      <c r="K45" s="258"/>
      <c r="L45" s="29"/>
    </row>
    <row r="46" spans="1:12" s="50" customFormat="1" ht="11.25" customHeight="1">
      <c r="A46" s="256"/>
      <c r="B46" s="256"/>
      <c r="C46" s="256"/>
      <c r="D46" s="256"/>
      <c r="E46" s="256"/>
      <c r="F46" s="256"/>
      <c r="G46" s="256"/>
      <c r="H46" s="256"/>
      <c r="I46" s="256"/>
      <c r="J46" s="256"/>
      <c r="K46" s="258"/>
      <c r="L46" s="29"/>
    </row>
    <row r="47" spans="1:12" s="50" customFormat="1" ht="11.25" customHeight="1">
      <c r="A47" s="256"/>
      <c r="B47" s="256"/>
      <c r="C47" s="256"/>
      <c r="D47" s="256"/>
      <c r="E47" s="256"/>
      <c r="F47" s="256"/>
      <c r="G47" s="256"/>
      <c r="H47" s="256"/>
      <c r="I47" s="256"/>
      <c r="J47" s="256"/>
      <c r="K47" s="260"/>
      <c r="L47" s="58"/>
    </row>
    <row r="48" spans="1:12" s="50" customFormat="1" ht="11.25" customHeight="1">
      <c r="A48" s="256"/>
      <c r="B48" s="256"/>
      <c r="C48" s="256"/>
      <c r="D48" s="256"/>
      <c r="E48" s="256"/>
      <c r="F48" s="256"/>
      <c r="G48" s="256"/>
      <c r="H48" s="256"/>
      <c r="I48" s="256"/>
      <c r="J48" s="256"/>
      <c r="K48" s="260"/>
      <c r="L48" s="59"/>
    </row>
    <row r="49" spans="1:12" s="50" customFormat="1" ht="11.25" customHeight="1">
      <c r="A49" s="256"/>
      <c r="B49" s="256"/>
      <c r="C49" s="256"/>
      <c r="D49" s="256"/>
      <c r="E49" s="256"/>
      <c r="F49" s="256"/>
      <c r="G49" s="256"/>
      <c r="H49" s="256"/>
      <c r="I49" s="256"/>
      <c r="J49" s="256"/>
      <c r="K49" s="260"/>
      <c r="L49" s="59"/>
    </row>
    <row r="50" spans="1:12" s="50" customFormat="1" ht="11.25" customHeight="1">
      <c r="A50" s="256"/>
      <c r="B50" s="256"/>
      <c r="C50" s="256"/>
      <c r="D50" s="256"/>
      <c r="E50" s="256"/>
      <c r="F50" s="256"/>
      <c r="G50" s="256"/>
      <c r="H50" s="256"/>
      <c r="I50" s="256"/>
      <c r="J50" s="256"/>
      <c r="K50" s="258"/>
    </row>
    <row r="51" spans="1:12" s="50" customFormat="1" ht="11.25" customHeight="1">
      <c r="A51" s="256"/>
      <c r="B51" s="256"/>
      <c r="C51" s="256"/>
      <c r="D51" s="256"/>
      <c r="E51" s="256"/>
      <c r="F51" s="256"/>
      <c r="G51" s="256"/>
      <c r="H51" s="256"/>
      <c r="I51" s="256"/>
      <c r="J51" s="256"/>
      <c r="K51" s="258"/>
    </row>
    <row r="52" spans="1:12" s="50" customFormat="1" ht="12.75">
      <c r="A52" s="256"/>
      <c r="B52" s="256"/>
      <c r="C52" s="256"/>
      <c r="D52" s="256"/>
      <c r="E52" s="256"/>
      <c r="F52" s="256"/>
      <c r="G52" s="256"/>
      <c r="H52" s="256"/>
      <c r="I52" s="256"/>
      <c r="J52" s="256"/>
      <c r="K52" s="258"/>
    </row>
    <row r="53" spans="1:12" s="50" customFormat="1" ht="12.75">
      <c r="A53" s="256"/>
      <c r="B53" s="256"/>
      <c r="C53" s="256"/>
      <c r="D53" s="256"/>
      <c r="E53" s="256"/>
      <c r="F53" s="256"/>
      <c r="G53" s="256"/>
      <c r="H53" s="256"/>
      <c r="I53" s="256"/>
      <c r="J53" s="256"/>
      <c r="K53" s="258"/>
    </row>
    <row r="54" spans="1:12" s="50" customFormat="1" ht="12.75">
      <c r="A54" s="256"/>
      <c r="B54" s="256"/>
      <c r="C54" s="256"/>
      <c r="D54" s="256"/>
      <c r="E54" s="256"/>
      <c r="F54" s="256"/>
      <c r="G54" s="256"/>
      <c r="H54" s="256"/>
      <c r="I54" s="256"/>
      <c r="J54" s="256"/>
      <c r="K54" s="258"/>
    </row>
    <row r="55" spans="1:12" s="50" customFormat="1" ht="12.75">
      <c r="A55" s="256"/>
      <c r="B55" s="256"/>
      <c r="C55" s="256"/>
      <c r="D55" s="256"/>
      <c r="E55" s="256"/>
      <c r="F55" s="256"/>
      <c r="G55" s="256"/>
      <c r="H55" s="256"/>
      <c r="I55" s="256"/>
      <c r="J55" s="256"/>
      <c r="K55" s="258"/>
    </row>
    <row r="56" spans="1:12" s="50" customFormat="1" ht="12.75">
      <c r="A56" s="256"/>
      <c r="B56" s="256"/>
      <c r="C56" s="256"/>
      <c r="D56" s="256"/>
      <c r="E56" s="256"/>
      <c r="F56" s="256"/>
      <c r="G56" s="256"/>
      <c r="H56" s="256"/>
      <c r="I56" s="256"/>
      <c r="J56" s="256"/>
      <c r="K56" s="258"/>
    </row>
    <row r="57" spans="1:12" s="50" customFormat="1" ht="12.75">
      <c r="A57" s="256"/>
      <c r="B57" s="132"/>
      <c r="C57" s="132"/>
      <c r="D57" s="132"/>
      <c r="E57" s="132"/>
      <c r="F57" s="132"/>
      <c r="G57" s="132"/>
      <c r="H57" s="132"/>
      <c r="I57" s="132"/>
      <c r="J57" s="132"/>
      <c r="K57" s="258"/>
    </row>
    <row r="58" spans="1:12" s="50" customFormat="1" ht="12.75">
      <c r="A58" s="256"/>
      <c r="B58" s="132"/>
      <c r="C58" s="132"/>
      <c r="D58" s="132"/>
      <c r="E58" s="132"/>
      <c r="F58" s="132"/>
      <c r="G58" s="132"/>
      <c r="H58" s="132"/>
      <c r="I58" s="132"/>
      <c r="J58" s="132"/>
      <c r="K58" s="258"/>
    </row>
    <row r="59" spans="1:12" s="50" customFormat="1" ht="12.75">
      <c r="A59" s="256"/>
      <c r="B59" s="132"/>
      <c r="C59" s="132"/>
      <c r="D59" s="132"/>
      <c r="E59" s="132"/>
      <c r="F59" s="132"/>
      <c r="G59" s="132"/>
      <c r="H59" s="132"/>
      <c r="I59" s="132"/>
      <c r="J59" s="132"/>
      <c r="K59" s="258"/>
    </row>
    <row r="60" spans="1:12" s="50" customFormat="1" ht="12.75">
      <c r="A60" s="256"/>
      <c r="B60" s="132"/>
      <c r="C60" s="132"/>
      <c r="D60" s="132"/>
      <c r="E60" s="132"/>
      <c r="F60" s="132"/>
      <c r="G60" s="132"/>
      <c r="H60" s="132"/>
      <c r="I60" s="132"/>
      <c r="J60" s="132"/>
      <c r="K60" s="258"/>
    </row>
    <row r="61" spans="1:12" s="50" customFormat="1" ht="12.75">
      <c r="A61" s="256"/>
      <c r="B61" s="132"/>
      <c r="C61" s="132"/>
      <c r="D61" s="132"/>
      <c r="E61" s="132"/>
      <c r="F61" s="132"/>
      <c r="G61" s="132"/>
      <c r="H61" s="132"/>
      <c r="I61" s="132"/>
      <c r="J61" s="132"/>
      <c r="K61" s="258"/>
    </row>
    <row r="62" spans="1:12" s="50" customFormat="1" ht="12.75">
      <c r="A62" s="256"/>
      <c r="B62" s="257"/>
      <c r="C62" s="257"/>
      <c r="D62" s="257"/>
      <c r="E62" s="257"/>
      <c r="F62" s="257"/>
      <c r="G62" s="257"/>
      <c r="H62" s="257"/>
      <c r="I62" s="257"/>
      <c r="J62" s="257"/>
      <c r="K62" s="258"/>
    </row>
    <row r="63" spans="1:12" s="50" customFormat="1" ht="12.75">
      <c r="A63" s="256"/>
      <c r="B63" s="257"/>
      <c r="C63" s="257"/>
      <c r="D63" s="257"/>
      <c r="E63" s="257"/>
      <c r="F63" s="257"/>
      <c r="G63" s="257"/>
      <c r="H63" s="257"/>
      <c r="I63" s="257"/>
      <c r="J63" s="257"/>
      <c r="K63" s="258"/>
    </row>
    <row r="64" spans="1:12" s="50" customFormat="1" ht="12.75">
      <c r="A64" s="256"/>
      <c r="B64" s="261"/>
      <c r="C64" s="258"/>
      <c r="D64" s="258"/>
      <c r="E64" s="258"/>
      <c r="F64" s="258"/>
      <c r="G64" s="257"/>
      <c r="H64" s="257"/>
      <c r="I64" s="257"/>
      <c r="J64" s="257"/>
      <c r="K64" s="258"/>
    </row>
    <row r="65" spans="1:11" s="50" customFormat="1" ht="12.75">
      <c r="A65" s="262"/>
      <c r="B65" s="263"/>
      <c r="C65" s="263"/>
      <c r="D65" s="263"/>
      <c r="E65" s="263"/>
      <c r="F65" s="263"/>
      <c r="G65" s="263"/>
      <c r="H65" s="257"/>
      <c r="I65" s="257"/>
      <c r="J65" s="257"/>
      <c r="K65" s="258"/>
    </row>
    <row r="66" spans="1:11" s="50" customFormat="1" ht="12.75">
      <c r="A66" s="262"/>
      <c r="B66" s="263"/>
      <c r="C66" s="263"/>
      <c r="D66" s="263"/>
      <c r="E66" s="263"/>
      <c r="F66" s="263"/>
      <c r="G66" s="263"/>
      <c r="H66" s="257"/>
      <c r="I66" s="257"/>
      <c r="J66" s="257"/>
      <c r="K66" s="257"/>
    </row>
    <row r="67" spans="1:11" s="50" customFormat="1" ht="12.75">
      <c r="A67" s="262"/>
      <c r="B67" s="263"/>
      <c r="C67" s="263"/>
      <c r="D67" s="263"/>
      <c r="E67" s="263"/>
      <c r="F67" s="263"/>
      <c r="G67" s="263"/>
      <c r="H67" s="257"/>
      <c r="I67" s="257"/>
      <c r="J67" s="257"/>
      <c r="K67" s="257"/>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60"/>
  <sheetViews>
    <sheetView showGridLines="0" view="pageBreakPreview" zoomScale="145" zoomScaleNormal="100" zoomScaleSheetLayoutView="145" zoomScalePageLayoutView="130" workbookViewId="0">
      <selection activeCell="M27" sqref="M27"/>
    </sheetView>
  </sheetViews>
  <sheetFormatPr defaultRowHeight="9"/>
  <cols>
    <col min="1" max="1" width="16.1640625" style="406" customWidth="1"/>
    <col min="2" max="2" width="19.6640625" style="406" customWidth="1"/>
    <col min="3" max="3" width="12.1640625" style="406" bestFit="1" customWidth="1"/>
    <col min="4" max="4" width="47.1640625" style="406" customWidth="1"/>
    <col min="5" max="5" width="11.5" style="406" customWidth="1"/>
    <col min="6" max="6" width="10.5" style="406" customWidth="1"/>
    <col min="7" max="8" width="9.33203125" style="406" customWidth="1"/>
    <col min="9" max="10" width="9.33203125" style="406"/>
    <col min="11" max="16384" width="9.33203125" style="415"/>
  </cols>
  <sheetData>
    <row r="1" spans="1:9" s="406" customFormat="1" ht="11.25" customHeight="1">
      <c r="A1" s="404" t="s">
        <v>463</v>
      </c>
      <c r="B1" s="405"/>
      <c r="C1" s="405"/>
      <c r="D1" s="405"/>
      <c r="E1" s="405"/>
      <c r="F1" s="405"/>
    </row>
    <row r="2" spans="1:9" s="406" customFormat="1" ht="30" customHeight="1">
      <c r="A2" s="843" t="s">
        <v>284</v>
      </c>
      <c r="B2" s="844" t="s">
        <v>464</v>
      </c>
      <c r="C2" s="843" t="s">
        <v>453</v>
      </c>
      <c r="D2" s="845" t="s">
        <v>465</v>
      </c>
      <c r="E2" s="846" t="s">
        <v>466</v>
      </c>
      <c r="F2" s="846" t="s">
        <v>467</v>
      </c>
      <c r="G2" s="396"/>
      <c r="H2" s="407"/>
      <c r="I2" s="394"/>
    </row>
    <row r="3" spans="1:9" s="406" customFormat="1" ht="84" customHeight="1">
      <c r="A3" s="551" t="s">
        <v>593</v>
      </c>
      <c r="B3" s="551" t="s">
        <v>651</v>
      </c>
      <c r="C3" s="552">
        <v>43344.70416666667</v>
      </c>
      <c r="D3" s="553" t="s">
        <v>652</v>
      </c>
      <c r="E3" s="554">
        <v>1.8</v>
      </c>
      <c r="F3" s="554"/>
      <c r="H3" s="396"/>
      <c r="I3" s="394"/>
    </row>
    <row r="4" spans="1:9" s="406" customFormat="1" ht="111" customHeight="1">
      <c r="A4" s="551" t="s">
        <v>596</v>
      </c>
      <c r="B4" s="551" t="s">
        <v>653</v>
      </c>
      <c r="C4" s="552">
        <v>43346.246527777781</v>
      </c>
      <c r="D4" s="553" t="s">
        <v>654</v>
      </c>
      <c r="E4" s="554">
        <v>4.22</v>
      </c>
      <c r="F4" s="554"/>
      <c r="G4" s="395"/>
      <c r="H4" s="395"/>
      <c r="I4" s="408"/>
    </row>
    <row r="5" spans="1:9" s="406" customFormat="1" ht="81" customHeight="1">
      <c r="A5" s="555" t="s">
        <v>655</v>
      </c>
      <c r="B5" s="555" t="s">
        <v>656</v>
      </c>
      <c r="C5" s="556">
        <v>43347.622916666667</v>
      </c>
      <c r="D5" s="557" t="s">
        <v>657</v>
      </c>
      <c r="E5" s="558">
        <v>44.92</v>
      </c>
      <c r="F5" s="558"/>
      <c r="G5" s="395"/>
      <c r="H5" s="395"/>
      <c r="I5" s="409"/>
    </row>
    <row r="6" spans="1:9" s="406" customFormat="1" ht="93" customHeight="1">
      <c r="A6" s="555" t="s">
        <v>658</v>
      </c>
      <c r="B6" s="555" t="s">
        <v>659</v>
      </c>
      <c r="C6" s="556">
        <v>43348.28125</v>
      </c>
      <c r="D6" s="557" t="s">
        <v>660</v>
      </c>
      <c r="E6" s="558"/>
      <c r="F6" s="558">
        <v>0.73</v>
      </c>
      <c r="G6" s="395"/>
      <c r="H6" s="395"/>
      <c r="I6" s="410"/>
    </row>
    <row r="7" spans="1:9" s="406" customFormat="1" ht="87" customHeight="1">
      <c r="A7" s="555" t="s">
        <v>470</v>
      </c>
      <c r="B7" s="555" t="s">
        <v>661</v>
      </c>
      <c r="C7" s="556">
        <v>43348.54583333333</v>
      </c>
      <c r="D7" s="557" t="s">
        <v>662</v>
      </c>
      <c r="E7" s="558">
        <v>22.07</v>
      </c>
      <c r="F7" s="558"/>
      <c r="G7" s="395"/>
      <c r="H7" s="395"/>
      <c r="I7" s="411"/>
    </row>
    <row r="8" spans="1:9" s="406" customFormat="1" ht="76.5" customHeight="1">
      <c r="A8" s="555" t="s">
        <v>470</v>
      </c>
      <c r="B8" s="555" t="s">
        <v>663</v>
      </c>
      <c r="C8" s="556">
        <v>43348.546527777777</v>
      </c>
      <c r="D8" s="557" t="s">
        <v>664</v>
      </c>
      <c r="E8" s="558">
        <v>10.9</v>
      </c>
      <c r="F8" s="558"/>
      <c r="G8" s="395"/>
      <c r="H8" s="395"/>
      <c r="I8" s="410"/>
    </row>
    <row r="9" spans="1:9" s="406" customFormat="1" ht="75" customHeight="1">
      <c r="A9" s="555" t="s">
        <v>470</v>
      </c>
      <c r="B9" s="555" t="s">
        <v>661</v>
      </c>
      <c r="C9" s="556">
        <v>43348.668055555558</v>
      </c>
      <c r="D9" s="557" t="s">
        <v>665</v>
      </c>
      <c r="E9" s="558">
        <v>12.12</v>
      </c>
      <c r="F9" s="558"/>
      <c r="G9" s="395"/>
      <c r="H9" s="395"/>
      <c r="I9" s="410"/>
    </row>
    <row r="10" spans="1:9" ht="82.5" customHeight="1">
      <c r="A10" s="555" t="s">
        <v>470</v>
      </c>
      <c r="B10" s="555" t="s">
        <v>666</v>
      </c>
      <c r="C10" s="556">
        <v>43350.779861111114</v>
      </c>
      <c r="D10" s="557" t="s">
        <v>667</v>
      </c>
      <c r="E10" s="558">
        <v>21.11</v>
      </c>
      <c r="F10" s="558">
        <v>4.7699999999999996</v>
      </c>
    </row>
    <row r="11" spans="1:9">
      <c r="E11" s="416"/>
      <c r="F11" s="416"/>
    </row>
    <row r="12" spans="1:9">
      <c r="E12" s="416"/>
      <c r="F12" s="416"/>
    </row>
    <row r="13" spans="1:9">
      <c r="E13" s="416"/>
      <c r="F13" s="416"/>
    </row>
    <row r="14" spans="1:9">
      <c r="E14" s="416"/>
      <c r="F14" s="416"/>
    </row>
    <row r="15" spans="1:9">
      <c r="E15" s="416"/>
      <c r="F15" s="416"/>
    </row>
    <row r="16" spans="1:9">
      <c r="E16" s="416"/>
      <c r="F16" s="416"/>
    </row>
    <row r="17" spans="5:6">
      <c r="E17" s="416"/>
      <c r="F17" s="416"/>
    </row>
    <row r="18" spans="5:6">
      <c r="E18" s="416"/>
      <c r="F18" s="416"/>
    </row>
    <row r="19" spans="5:6">
      <c r="E19" s="416"/>
      <c r="F19" s="416"/>
    </row>
    <row r="20" spans="5:6">
      <c r="E20" s="416"/>
      <c r="F20" s="416"/>
    </row>
    <row r="21" spans="5:6">
      <c r="E21" s="416"/>
      <c r="F21" s="416"/>
    </row>
    <row r="22" spans="5:6">
      <c r="E22" s="416"/>
      <c r="F22" s="416"/>
    </row>
    <row r="23" spans="5:6">
      <c r="E23" s="416"/>
      <c r="F23" s="416"/>
    </row>
    <row r="24" spans="5:6">
      <c r="E24" s="416"/>
      <c r="F24" s="416"/>
    </row>
    <row r="25" spans="5:6">
      <c r="E25" s="416"/>
      <c r="F25" s="416"/>
    </row>
    <row r="26" spans="5:6">
      <c r="E26" s="416"/>
      <c r="F26" s="416"/>
    </row>
    <row r="27" spans="5:6">
      <c r="E27" s="416"/>
      <c r="F27" s="416"/>
    </row>
    <row r="28" spans="5:6">
      <c r="E28" s="416"/>
      <c r="F28" s="416"/>
    </row>
    <row r="29" spans="5:6">
      <c r="E29" s="416"/>
      <c r="F29" s="416"/>
    </row>
    <row r="30" spans="5:6">
      <c r="E30" s="416"/>
      <c r="F30" s="416"/>
    </row>
    <row r="31" spans="5:6">
      <c r="E31" s="416"/>
      <c r="F31" s="416"/>
    </row>
    <row r="32" spans="5:6">
      <c r="E32" s="416"/>
      <c r="F32" s="416"/>
    </row>
    <row r="33" spans="5:6">
      <c r="E33" s="416"/>
      <c r="F33" s="416"/>
    </row>
    <row r="34" spans="5:6">
      <c r="E34" s="416"/>
      <c r="F34" s="416"/>
    </row>
    <row r="35" spans="5:6">
      <c r="E35" s="416"/>
      <c r="F35" s="416"/>
    </row>
    <row r="36" spans="5:6">
      <c r="E36" s="416"/>
      <c r="F36" s="416"/>
    </row>
    <row r="37" spans="5:6">
      <c r="E37" s="416"/>
      <c r="F37" s="416"/>
    </row>
    <row r="38" spans="5:6">
      <c r="E38" s="416"/>
      <c r="F38" s="416"/>
    </row>
    <row r="39" spans="5:6">
      <c r="E39" s="416"/>
      <c r="F39" s="416"/>
    </row>
    <row r="40" spans="5:6">
      <c r="E40" s="416"/>
      <c r="F40" s="416"/>
    </row>
    <row r="41" spans="5:6">
      <c r="E41" s="416"/>
      <c r="F41" s="416"/>
    </row>
    <row r="42" spans="5:6">
      <c r="E42" s="416"/>
      <c r="F42" s="416"/>
    </row>
    <row r="43" spans="5:6">
      <c r="E43" s="416"/>
      <c r="F43" s="416"/>
    </row>
    <row r="44" spans="5:6">
      <c r="E44" s="416"/>
      <c r="F44" s="416"/>
    </row>
    <row r="45" spans="5:6">
      <c r="E45" s="416"/>
      <c r="F45" s="416"/>
    </row>
    <row r="46" spans="5:6">
      <c r="E46" s="416"/>
      <c r="F46" s="416"/>
    </row>
    <row r="47" spans="5:6">
      <c r="E47" s="416"/>
      <c r="F47" s="416"/>
    </row>
    <row r="48" spans="5:6">
      <c r="E48" s="416"/>
      <c r="F48" s="416"/>
    </row>
    <row r="49" spans="5:6">
      <c r="E49" s="416"/>
      <c r="F49" s="416"/>
    </row>
    <row r="50" spans="5:6">
      <c r="E50" s="416"/>
      <c r="F50" s="416"/>
    </row>
    <row r="51" spans="5:6">
      <c r="E51" s="416"/>
      <c r="F51" s="416"/>
    </row>
    <row r="52" spans="5:6">
      <c r="E52" s="416"/>
      <c r="F52" s="416"/>
    </row>
    <row r="53" spans="5:6">
      <c r="E53" s="416"/>
      <c r="F53" s="416"/>
    </row>
    <row r="54" spans="5:6">
      <c r="E54" s="416"/>
      <c r="F54" s="416"/>
    </row>
    <row r="55" spans="5:6">
      <c r="E55" s="416"/>
      <c r="F55" s="416"/>
    </row>
    <row r="56" spans="5:6">
      <c r="E56" s="416"/>
      <c r="F56" s="416"/>
    </row>
    <row r="57" spans="5:6">
      <c r="E57" s="416"/>
      <c r="F57" s="416"/>
    </row>
    <row r="58" spans="5:6">
      <c r="E58" s="416"/>
      <c r="F58" s="416"/>
    </row>
    <row r="59" spans="5:6">
      <c r="E59" s="416"/>
      <c r="F59" s="416"/>
    </row>
    <row r="60" spans="5:6">
      <c r="E60" s="416"/>
      <c r="F60" s="416"/>
    </row>
    <row r="61" spans="5:6">
      <c r="E61" s="416"/>
      <c r="F61" s="416"/>
    </row>
    <row r="62" spans="5:6">
      <c r="E62" s="416"/>
      <c r="F62" s="416"/>
    </row>
    <row r="63" spans="5:6">
      <c r="E63" s="416"/>
      <c r="F63" s="416"/>
    </row>
    <row r="64" spans="5:6">
      <c r="E64" s="416"/>
      <c r="F64" s="416"/>
    </row>
    <row r="65" spans="5:6">
      <c r="E65" s="416"/>
      <c r="F65" s="416"/>
    </row>
    <row r="66" spans="5:6">
      <c r="E66" s="416"/>
      <c r="F66" s="416"/>
    </row>
    <row r="67" spans="5:6">
      <c r="E67" s="416"/>
      <c r="F67" s="416"/>
    </row>
    <row r="68" spans="5:6">
      <c r="E68" s="416"/>
      <c r="F68" s="416"/>
    </row>
    <row r="69" spans="5:6">
      <c r="E69" s="416"/>
      <c r="F69" s="416"/>
    </row>
    <row r="70" spans="5:6">
      <c r="E70" s="416"/>
      <c r="F70" s="416"/>
    </row>
    <row r="71" spans="5:6">
      <c r="E71" s="416"/>
      <c r="F71" s="416"/>
    </row>
    <row r="72" spans="5:6">
      <c r="E72" s="416"/>
      <c r="F72" s="416"/>
    </row>
    <row r="73" spans="5:6">
      <c r="E73" s="416"/>
      <c r="F73" s="416"/>
    </row>
    <row r="74" spans="5:6">
      <c r="E74" s="416"/>
      <c r="F74" s="416"/>
    </row>
    <row r="75" spans="5:6">
      <c r="E75" s="416"/>
      <c r="F75" s="416"/>
    </row>
    <row r="76" spans="5:6">
      <c r="E76" s="416"/>
      <c r="F76" s="416"/>
    </row>
    <row r="77" spans="5:6">
      <c r="E77" s="416"/>
      <c r="F77" s="416"/>
    </row>
    <row r="78" spans="5:6">
      <c r="E78" s="416"/>
      <c r="F78" s="416"/>
    </row>
    <row r="79" spans="5:6">
      <c r="E79" s="416"/>
      <c r="F79" s="416"/>
    </row>
    <row r="80" spans="5:6">
      <c r="E80" s="416"/>
      <c r="F80" s="416"/>
    </row>
    <row r="81" spans="5:6">
      <c r="E81" s="416"/>
      <c r="F81" s="416"/>
    </row>
    <row r="82" spans="5:6">
      <c r="E82" s="416"/>
      <c r="F82" s="416"/>
    </row>
    <row r="83" spans="5:6">
      <c r="E83" s="416"/>
      <c r="F83" s="416"/>
    </row>
    <row r="84" spans="5:6">
      <c r="E84" s="416"/>
      <c r="F84" s="416"/>
    </row>
    <row r="85" spans="5:6">
      <c r="E85" s="416"/>
      <c r="F85" s="416"/>
    </row>
    <row r="86" spans="5:6">
      <c r="E86" s="416"/>
      <c r="F86" s="416"/>
    </row>
    <row r="87" spans="5:6">
      <c r="E87" s="416"/>
      <c r="F87" s="416"/>
    </row>
    <row r="88" spans="5:6">
      <c r="E88" s="416"/>
      <c r="F88" s="416"/>
    </row>
    <row r="89" spans="5:6">
      <c r="E89" s="416"/>
      <c r="F89" s="416"/>
    </row>
    <row r="90" spans="5:6">
      <c r="E90" s="416"/>
      <c r="F90" s="416"/>
    </row>
    <row r="91" spans="5:6">
      <c r="E91" s="416"/>
      <c r="F91" s="416"/>
    </row>
    <row r="92" spans="5:6">
      <c r="E92" s="416"/>
      <c r="F92" s="416"/>
    </row>
    <row r="93" spans="5:6">
      <c r="E93" s="416"/>
      <c r="F93" s="416"/>
    </row>
    <row r="94" spans="5:6">
      <c r="E94" s="416"/>
      <c r="F94" s="416"/>
    </row>
    <row r="95" spans="5:6">
      <c r="E95" s="416"/>
      <c r="F95" s="416"/>
    </row>
    <row r="96" spans="5:6">
      <c r="E96" s="416"/>
      <c r="F96" s="416"/>
    </row>
    <row r="97" spans="5:6">
      <c r="E97" s="416"/>
      <c r="F97" s="416"/>
    </row>
    <row r="98" spans="5:6">
      <c r="E98" s="416"/>
      <c r="F98" s="416"/>
    </row>
    <row r="99" spans="5:6">
      <c r="E99" s="416"/>
      <c r="F99" s="416"/>
    </row>
    <row r="100" spans="5:6">
      <c r="E100" s="416"/>
      <c r="F100" s="416"/>
    </row>
    <row r="101" spans="5:6">
      <c r="E101" s="416"/>
      <c r="F101" s="416"/>
    </row>
    <row r="102" spans="5:6">
      <c r="E102" s="416"/>
      <c r="F102" s="416"/>
    </row>
    <row r="103" spans="5:6">
      <c r="E103" s="416"/>
      <c r="F103" s="416"/>
    </row>
    <row r="104" spans="5:6">
      <c r="E104" s="416"/>
      <c r="F104" s="416"/>
    </row>
    <row r="105" spans="5:6">
      <c r="E105" s="416"/>
      <c r="F105" s="416"/>
    </row>
    <row r="106" spans="5:6">
      <c r="E106" s="416"/>
      <c r="F106" s="416"/>
    </row>
    <row r="107" spans="5:6">
      <c r="E107" s="416"/>
      <c r="F107" s="416"/>
    </row>
    <row r="108" spans="5:6">
      <c r="E108" s="416"/>
      <c r="F108" s="416"/>
    </row>
    <row r="109" spans="5:6">
      <c r="E109" s="416"/>
      <c r="F109" s="416"/>
    </row>
    <row r="110" spans="5:6">
      <c r="E110" s="416"/>
      <c r="F110" s="416"/>
    </row>
    <row r="111" spans="5:6">
      <c r="E111" s="416"/>
      <c r="F111" s="416"/>
    </row>
    <row r="112" spans="5:6">
      <c r="E112" s="416"/>
      <c r="F112" s="416"/>
    </row>
    <row r="113" spans="5:6">
      <c r="E113" s="416"/>
      <c r="F113" s="416"/>
    </row>
    <row r="114" spans="5:6">
      <c r="E114" s="416"/>
      <c r="F114" s="416"/>
    </row>
    <row r="115" spans="5:6">
      <c r="E115" s="416"/>
      <c r="F115" s="416"/>
    </row>
    <row r="116" spans="5:6">
      <c r="E116" s="416"/>
      <c r="F116" s="416"/>
    </row>
    <row r="117" spans="5:6">
      <c r="E117" s="416"/>
      <c r="F117" s="416"/>
    </row>
    <row r="118" spans="5:6">
      <c r="E118" s="416"/>
      <c r="F118" s="416"/>
    </row>
    <row r="119" spans="5:6">
      <c r="E119" s="416"/>
      <c r="F119" s="416"/>
    </row>
    <row r="120" spans="5:6">
      <c r="E120" s="416"/>
      <c r="F120" s="416"/>
    </row>
    <row r="121" spans="5:6">
      <c r="E121" s="416"/>
      <c r="F121" s="416"/>
    </row>
    <row r="122" spans="5:6">
      <c r="E122" s="416"/>
      <c r="F122" s="416"/>
    </row>
    <row r="123" spans="5:6">
      <c r="E123" s="416"/>
      <c r="F123" s="416"/>
    </row>
    <row r="124" spans="5:6">
      <c r="E124" s="416"/>
      <c r="F124" s="416"/>
    </row>
    <row r="125" spans="5:6">
      <c r="E125" s="416"/>
      <c r="F125" s="416"/>
    </row>
    <row r="126" spans="5:6">
      <c r="E126" s="416"/>
      <c r="F126" s="416"/>
    </row>
    <row r="127" spans="5:6">
      <c r="E127" s="416"/>
      <c r="F127" s="416"/>
    </row>
    <row r="128" spans="5:6">
      <c r="E128" s="416"/>
      <c r="F128" s="416"/>
    </row>
    <row r="129" spans="5:6">
      <c r="E129" s="416"/>
      <c r="F129" s="416"/>
    </row>
    <row r="130" spans="5:6">
      <c r="E130" s="416"/>
      <c r="F130" s="416"/>
    </row>
    <row r="131" spans="5:6">
      <c r="E131" s="416"/>
      <c r="F131" s="416"/>
    </row>
    <row r="132" spans="5:6">
      <c r="E132" s="416"/>
      <c r="F132" s="416"/>
    </row>
    <row r="133" spans="5:6">
      <c r="E133" s="416"/>
      <c r="F133" s="416"/>
    </row>
    <row r="134" spans="5:6">
      <c r="E134" s="416"/>
      <c r="F134" s="416"/>
    </row>
    <row r="135" spans="5:6">
      <c r="E135" s="416"/>
      <c r="F135" s="416"/>
    </row>
    <row r="136" spans="5:6">
      <c r="E136" s="416"/>
      <c r="F136" s="416"/>
    </row>
    <row r="137" spans="5:6">
      <c r="E137" s="416"/>
      <c r="F137" s="416"/>
    </row>
    <row r="138" spans="5:6">
      <c r="E138" s="416"/>
      <c r="F138" s="416"/>
    </row>
    <row r="139" spans="5:6">
      <c r="E139" s="416"/>
      <c r="F139" s="416"/>
    </row>
    <row r="140" spans="5:6">
      <c r="E140" s="416"/>
      <c r="F140" s="416"/>
    </row>
    <row r="141" spans="5:6">
      <c r="E141" s="416"/>
      <c r="F141" s="416"/>
    </row>
    <row r="142" spans="5:6">
      <c r="E142" s="416"/>
      <c r="F142" s="416"/>
    </row>
    <row r="143" spans="5:6">
      <c r="E143" s="416"/>
      <c r="F143" s="416"/>
    </row>
    <row r="144" spans="5:6">
      <c r="E144" s="416"/>
      <c r="F144" s="416"/>
    </row>
    <row r="145" spans="5:6">
      <c r="E145" s="416"/>
      <c r="F145" s="416"/>
    </row>
    <row r="146" spans="5:6">
      <c r="E146" s="416"/>
      <c r="F146" s="416"/>
    </row>
    <row r="147" spans="5:6">
      <c r="E147" s="416"/>
      <c r="F147" s="416"/>
    </row>
    <row r="148" spans="5:6">
      <c r="E148" s="416"/>
      <c r="F148" s="416"/>
    </row>
    <row r="149" spans="5:6">
      <c r="E149" s="416"/>
      <c r="F149" s="416"/>
    </row>
    <row r="150" spans="5:6">
      <c r="E150" s="416"/>
      <c r="F150" s="416"/>
    </row>
    <row r="151" spans="5:6">
      <c r="E151" s="416"/>
      <c r="F151" s="416"/>
    </row>
    <row r="152" spans="5:6">
      <c r="E152" s="416"/>
      <c r="F152" s="416"/>
    </row>
    <row r="153" spans="5:6">
      <c r="E153" s="416"/>
      <c r="F153" s="416"/>
    </row>
    <row r="154" spans="5:6">
      <c r="E154" s="416"/>
      <c r="F154" s="416"/>
    </row>
    <row r="155" spans="5:6">
      <c r="E155" s="416"/>
      <c r="F155" s="416"/>
    </row>
    <row r="156" spans="5:6">
      <c r="E156" s="416"/>
      <c r="F156" s="416"/>
    </row>
    <row r="157" spans="5:6">
      <c r="E157" s="416"/>
      <c r="F157" s="416"/>
    </row>
    <row r="158" spans="5:6">
      <c r="E158" s="416"/>
      <c r="F158" s="416"/>
    </row>
    <row r="159" spans="5:6">
      <c r="E159" s="416"/>
      <c r="F159" s="416"/>
    </row>
    <row r="160" spans="5:6">
      <c r="E160" s="416"/>
      <c r="F160" s="416"/>
    </row>
  </sheetData>
  <pageMargins left="0.7" right="0.51432291666666663" top="0.86956521739130432" bottom="0.61458333333333337" header="0.3" footer="0.3"/>
  <pageSetup orientation="portrait" r:id="rId1"/>
  <headerFooter>
    <oddHeader>&amp;R&amp;7Informe de la Operación Mensual - Setiembre 2018
INFSGI-MES-09-2018
11/10/2018
Versión: 01</oddHeader>
    <oddFooter>&amp;L&amp;7COES, 2018&amp;C25&amp;R&amp;7Dirección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6"/>
  <sheetViews>
    <sheetView showGridLines="0" view="pageBreakPreview" zoomScale="145" zoomScaleNormal="100" zoomScaleSheetLayoutView="145" zoomScalePageLayoutView="145" workbookViewId="0">
      <selection activeCell="M27" sqref="M27"/>
    </sheetView>
  </sheetViews>
  <sheetFormatPr defaultRowHeight="9"/>
  <cols>
    <col min="1" max="1" width="16.1640625" style="406" customWidth="1"/>
    <col min="2" max="2" width="19.6640625" style="406" customWidth="1"/>
    <col min="3" max="3" width="12.1640625" style="406" bestFit="1" customWidth="1"/>
    <col min="4" max="4" width="47.1640625" style="406" customWidth="1"/>
    <col min="5" max="5" width="11.5" style="406" customWidth="1"/>
    <col min="6" max="6" width="10.5" style="406" customWidth="1"/>
    <col min="7" max="8" width="9.33203125" style="406" customWidth="1"/>
    <col min="9" max="10" width="9.33203125" style="406"/>
    <col min="11" max="16384" width="9.33203125" style="415"/>
  </cols>
  <sheetData>
    <row r="1" spans="1:9" s="406" customFormat="1" ht="30" customHeight="1">
      <c r="A1" s="843" t="s">
        <v>284</v>
      </c>
      <c r="B1" s="844" t="s">
        <v>464</v>
      </c>
      <c r="C1" s="843" t="s">
        <v>453</v>
      </c>
      <c r="D1" s="845" t="s">
        <v>465</v>
      </c>
      <c r="E1" s="846" t="s">
        <v>466</v>
      </c>
      <c r="F1" s="846" t="s">
        <v>467</v>
      </c>
      <c r="G1" s="396"/>
      <c r="H1" s="407"/>
      <c r="I1" s="394"/>
    </row>
    <row r="2" spans="1:9" s="406" customFormat="1" ht="100.5" customHeight="1">
      <c r="A2" s="421" t="s">
        <v>470</v>
      </c>
      <c r="B2" s="421" t="s">
        <v>666</v>
      </c>
      <c r="C2" s="422">
        <v>43350.800694444442</v>
      </c>
      <c r="D2" s="557" t="s">
        <v>668</v>
      </c>
      <c r="E2" s="423">
        <v>16</v>
      </c>
      <c r="F2" s="423"/>
      <c r="G2" s="395"/>
      <c r="H2" s="395"/>
      <c r="I2" s="410"/>
    </row>
    <row r="3" spans="1:9" s="406" customFormat="1" ht="115.5" customHeight="1">
      <c r="A3" s="421" t="s">
        <v>96</v>
      </c>
      <c r="B3" s="421" t="s">
        <v>669</v>
      </c>
      <c r="C3" s="422">
        <v>43350.805555555555</v>
      </c>
      <c r="D3" s="557" t="s">
        <v>670</v>
      </c>
      <c r="E3" s="423">
        <v>39.840000000000003</v>
      </c>
      <c r="F3" s="423"/>
      <c r="G3" s="395"/>
      <c r="H3" s="395"/>
      <c r="I3" s="410"/>
    </row>
    <row r="4" spans="1:9" s="406" customFormat="1" ht="137.25" customHeight="1">
      <c r="A4" s="421" t="s">
        <v>468</v>
      </c>
      <c r="B4" s="421" t="s">
        <v>671</v>
      </c>
      <c r="C4" s="422">
        <v>43350.819444444445</v>
      </c>
      <c r="D4" s="557" t="s">
        <v>672</v>
      </c>
      <c r="E4" s="423">
        <v>10.02</v>
      </c>
      <c r="F4" s="423"/>
      <c r="G4" s="395"/>
      <c r="H4" s="395"/>
      <c r="I4" s="410"/>
    </row>
    <row r="5" spans="1:9" s="406" customFormat="1" ht="75.75" customHeight="1">
      <c r="A5" s="421" t="s">
        <v>593</v>
      </c>
      <c r="B5" s="421" t="s">
        <v>651</v>
      </c>
      <c r="C5" s="422">
        <v>43351.681944444441</v>
      </c>
      <c r="D5" s="557" t="s">
        <v>673</v>
      </c>
      <c r="E5" s="423">
        <v>2.2999999999999998</v>
      </c>
      <c r="F5" s="423"/>
      <c r="G5" s="395"/>
      <c r="H5" s="395"/>
      <c r="I5" s="411"/>
    </row>
    <row r="6" spans="1:9" s="406" customFormat="1" ht="74.25" customHeight="1">
      <c r="A6" s="421" t="s">
        <v>469</v>
      </c>
      <c r="B6" s="421" t="s">
        <v>674</v>
      </c>
      <c r="C6" s="422">
        <v>43351.74722222222</v>
      </c>
      <c r="D6" s="557" t="s">
        <v>675</v>
      </c>
      <c r="E6" s="423">
        <v>1.26</v>
      </c>
      <c r="F6" s="423"/>
      <c r="G6" s="395"/>
      <c r="H6" s="395"/>
      <c r="I6" s="410"/>
    </row>
    <row r="7" spans="1:9" s="406" customFormat="1" ht="69" customHeight="1">
      <c r="A7" s="421" t="s">
        <v>676</v>
      </c>
      <c r="B7" s="421" t="s">
        <v>677</v>
      </c>
      <c r="C7" s="422">
        <v>43352.281944444447</v>
      </c>
      <c r="D7" s="557" t="s">
        <v>678</v>
      </c>
      <c r="E7" s="423"/>
      <c r="F7" s="423">
        <v>5.99</v>
      </c>
      <c r="G7" s="395"/>
      <c r="H7" s="395"/>
      <c r="I7" s="410"/>
    </row>
    <row r="8" spans="1:9" s="406" customFormat="1" ht="121.5" customHeight="1">
      <c r="A8" s="421" t="s">
        <v>679</v>
      </c>
      <c r="B8" s="421" t="s">
        <v>680</v>
      </c>
      <c r="C8" s="422">
        <v>43352.583333333336</v>
      </c>
      <c r="D8" s="557" t="s">
        <v>681</v>
      </c>
      <c r="E8" s="423">
        <v>21.65</v>
      </c>
      <c r="F8" s="423"/>
      <c r="G8" s="395"/>
      <c r="H8" s="395"/>
      <c r="I8" s="410"/>
    </row>
    <row r="9" spans="1:9" ht="80.25" customHeight="1">
      <c r="A9" s="609"/>
      <c r="B9" s="609"/>
      <c r="C9" s="610"/>
      <c r="D9" s="611"/>
      <c r="E9" s="612"/>
      <c r="F9" s="612"/>
    </row>
    <row r="10" spans="1:9">
      <c r="A10" s="414"/>
      <c r="B10" s="414"/>
      <c r="C10" s="414"/>
      <c r="D10" s="414"/>
      <c r="E10" s="413"/>
      <c r="F10" s="413"/>
    </row>
    <row r="11" spans="1:9">
      <c r="A11" s="414"/>
      <c r="B11" s="414"/>
      <c r="C11" s="414"/>
      <c r="D11" s="414"/>
      <c r="E11" s="413"/>
      <c r="F11" s="413"/>
    </row>
    <row r="12" spans="1:9">
      <c r="A12" s="414"/>
      <c r="B12" s="414"/>
      <c r="C12" s="414"/>
      <c r="D12" s="414"/>
      <c r="E12" s="413"/>
      <c r="F12" s="413"/>
    </row>
    <row r="13" spans="1:9">
      <c r="A13" s="414"/>
      <c r="B13" s="414"/>
      <c r="C13" s="414"/>
      <c r="D13" s="414"/>
      <c r="E13" s="413"/>
      <c r="F13" s="413"/>
    </row>
    <row r="14" spans="1:9">
      <c r="E14" s="416"/>
      <c r="F14" s="416"/>
    </row>
    <row r="15" spans="1:9">
      <c r="E15" s="416"/>
      <c r="F15" s="416"/>
    </row>
    <row r="16" spans="1:9">
      <c r="E16" s="416"/>
      <c r="F16" s="416"/>
    </row>
    <row r="17" spans="5:6">
      <c r="E17" s="416"/>
      <c r="F17" s="416"/>
    </row>
    <row r="18" spans="5:6">
      <c r="E18" s="416"/>
      <c r="F18" s="416"/>
    </row>
    <row r="19" spans="5:6">
      <c r="E19" s="416"/>
      <c r="F19" s="416"/>
    </row>
    <row r="20" spans="5:6">
      <c r="E20" s="416"/>
      <c r="F20" s="416"/>
    </row>
    <row r="21" spans="5:6">
      <c r="E21" s="416"/>
      <c r="F21" s="416"/>
    </row>
    <row r="22" spans="5:6">
      <c r="E22" s="416"/>
      <c r="F22" s="416"/>
    </row>
    <row r="23" spans="5:6">
      <c r="E23" s="416"/>
      <c r="F23" s="416"/>
    </row>
    <row r="24" spans="5:6">
      <c r="E24" s="416"/>
      <c r="F24" s="416"/>
    </row>
    <row r="25" spans="5:6">
      <c r="E25" s="416"/>
      <c r="F25" s="416"/>
    </row>
    <row r="26" spans="5:6">
      <c r="E26" s="416"/>
      <c r="F26" s="416"/>
    </row>
    <row r="27" spans="5:6">
      <c r="E27" s="416"/>
      <c r="F27" s="416"/>
    </row>
    <row r="28" spans="5:6">
      <c r="E28" s="416"/>
      <c r="F28" s="416"/>
    </row>
    <row r="29" spans="5:6">
      <c r="E29" s="416"/>
      <c r="F29" s="416"/>
    </row>
    <row r="30" spans="5:6">
      <c r="E30" s="416"/>
      <c r="F30" s="416"/>
    </row>
    <row r="31" spans="5:6">
      <c r="E31" s="416"/>
      <c r="F31" s="416"/>
    </row>
    <row r="32" spans="5:6">
      <c r="E32" s="416"/>
      <c r="F32" s="416"/>
    </row>
    <row r="33" spans="5:6">
      <c r="E33" s="416"/>
      <c r="F33" s="416"/>
    </row>
    <row r="34" spans="5:6">
      <c r="E34" s="416"/>
      <c r="F34" s="416"/>
    </row>
    <row r="35" spans="5:6">
      <c r="E35" s="416"/>
      <c r="F35" s="416"/>
    </row>
    <row r="36" spans="5:6">
      <c r="E36" s="416"/>
      <c r="F36" s="416"/>
    </row>
    <row r="37" spans="5:6">
      <c r="E37" s="416"/>
      <c r="F37" s="416"/>
    </row>
    <row r="38" spans="5:6">
      <c r="E38" s="416"/>
      <c r="F38" s="416"/>
    </row>
    <row r="39" spans="5:6">
      <c r="E39" s="416"/>
      <c r="F39" s="416"/>
    </row>
    <row r="40" spans="5:6">
      <c r="E40" s="416"/>
      <c r="F40" s="416"/>
    </row>
    <row r="41" spans="5:6">
      <c r="E41" s="416"/>
      <c r="F41" s="416"/>
    </row>
    <row r="42" spans="5:6">
      <c r="E42" s="416"/>
      <c r="F42" s="416"/>
    </row>
    <row r="43" spans="5:6">
      <c r="E43" s="416"/>
      <c r="F43" s="416"/>
    </row>
    <row r="44" spans="5:6">
      <c r="E44" s="416"/>
      <c r="F44" s="416"/>
    </row>
    <row r="45" spans="5:6">
      <c r="E45" s="416"/>
      <c r="F45" s="416"/>
    </row>
    <row r="46" spans="5:6">
      <c r="E46" s="416"/>
      <c r="F46" s="416"/>
    </row>
    <row r="47" spans="5:6">
      <c r="E47" s="416"/>
      <c r="F47" s="416"/>
    </row>
    <row r="48" spans="5:6">
      <c r="E48" s="416"/>
      <c r="F48" s="416"/>
    </row>
    <row r="49" spans="5:6">
      <c r="E49" s="416"/>
      <c r="F49" s="416"/>
    </row>
    <row r="50" spans="5:6">
      <c r="E50" s="416"/>
      <c r="F50" s="416"/>
    </row>
    <row r="51" spans="5:6">
      <c r="E51" s="416"/>
      <c r="F51" s="416"/>
    </row>
    <row r="52" spans="5:6">
      <c r="E52" s="416"/>
      <c r="F52" s="416"/>
    </row>
    <row r="53" spans="5:6">
      <c r="E53" s="416"/>
      <c r="F53" s="416"/>
    </row>
    <row r="54" spans="5:6">
      <c r="E54" s="416"/>
      <c r="F54" s="416"/>
    </row>
    <row r="55" spans="5:6">
      <c r="E55" s="416"/>
      <c r="F55" s="416"/>
    </row>
    <row r="56" spans="5:6">
      <c r="E56" s="416"/>
      <c r="F56" s="416"/>
    </row>
    <row r="57" spans="5:6">
      <c r="E57" s="416"/>
      <c r="F57" s="416"/>
    </row>
    <row r="58" spans="5:6">
      <c r="E58" s="416"/>
      <c r="F58" s="416"/>
    </row>
    <row r="59" spans="5:6">
      <c r="E59" s="416"/>
      <c r="F59" s="416"/>
    </row>
    <row r="60" spans="5:6">
      <c r="E60" s="416"/>
      <c r="F60" s="416"/>
    </row>
    <row r="61" spans="5:6">
      <c r="E61" s="416"/>
      <c r="F61" s="416"/>
    </row>
    <row r="62" spans="5:6">
      <c r="E62" s="416"/>
      <c r="F62" s="416"/>
    </row>
    <row r="63" spans="5:6">
      <c r="E63" s="416"/>
      <c r="F63" s="416"/>
    </row>
    <row r="64" spans="5:6">
      <c r="E64" s="416"/>
      <c r="F64" s="416"/>
    </row>
    <row r="65" spans="5:6">
      <c r="E65" s="416"/>
      <c r="F65" s="416"/>
    </row>
    <row r="66" spans="5:6">
      <c r="E66" s="416"/>
      <c r="F66" s="416"/>
    </row>
    <row r="67" spans="5:6">
      <c r="E67" s="416"/>
      <c r="F67" s="416"/>
    </row>
    <row r="68" spans="5:6">
      <c r="E68" s="416"/>
      <c r="F68" s="416"/>
    </row>
    <row r="69" spans="5:6">
      <c r="E69" s="416"/>
      <c r="F69" s="416"/>
    </row>
    <row r="70" spans="5:6">
      <c r="E70" s="416"/>
      <c r="F70" s="416"/>
    </row>
    <row r="71" spans="5:6">
      <c r="E71" s="416"/>
      <c r="F71" s="416"/>
    </row>
    <row r="72" spans="5:6">
      <c r="E72" s="416"/>
      <c r="F72" s="416"/>
    </row>
    <row r="73" spans="5:6">
      <c r="E73" s="416"/>
      <c r="F73" s="416"/>
    </row>
    <row r="74" spans="5:6">
      <c r="E74" s="416"/>
      <c r="F74" s="416"/>
    </row>
    <row r="75" spans="5:6">
      <c r="E75" s="416"/>
      <c r="F75" s="416"/>
    </row>
    <row r="76" spans="5:6">
      <c r="E76" s="416"/>
      <c r="F76" s="416"/>
    </row>
    <row r="77" spans="5:6">
      <c r="E77" s="416"/>
      <c r="F77" s="416"/>
    </row>
    <row r="78" spans="5:6">
      <c r="E78" s="416"/>
      <c r="F78" s="416"/>
    </row>
    <row r="79" spans="5:6">
      <c r="E79" s="416"/>
      <c r="F79" s="416"/>
    </row>
    <row r="80" spans="5:6">
      <c r="E80" s="416"/>
      <c r="F80" s="416"/>
    </row>
    <row r="81" spans="5:6">
      <c r="E81" s="416"/>
      <c r="F81" s="416"/>
    </row>
    <row r="82" spans="5:6">
      <c r="E82" s="416"/>
      <c r="F82" s="416"/>
    </row>
    <row r="83" spans="5:6">
      <c r="E83" s="416"/>
      <c r="F83" s="416"/>
    </row>
    <row r="84" spans="5:6">
      <c r="E84" s="416"/>
      <c r="F84" s="416"/>
    </row>
    <row r="85" spans="5:6">
      <c r="E85" s="416"/>
      <c r="F85" s="416"/>
    </row>
    <row r="86" spans="5:6">
      <c r="E86" s="416"/>
      <c r="F86" s="416"/>
    </row>
    <row r="87" spans="5:6">
      <c r="E87" s="416"/>
      <c r="F87" s="416"/>
    </row>
    <row r="88" spans="5:6">
      <c r="E88" s="416"/>
      <c r="F88" s="416"/>
    </row>
    <row r="89" spans="5:6">
      <c r="E89" s="416"/>
      <c r="F89" s="416"/>
    </row>
    <row r="90" spans="5:6">
      <c r="E90" s="416"/>
      <c r="F90" s="416"/>
    </row>
    <row r="91" spans="5:6">
      <c r="E91" s="416"/>
      <c r="F91" s="416"/>
    </row>
    <row r="92" spans="5:6">
      <c r="E92" s="416"/>
      <c r="F92" s="416"/>
    </row>
    <row r="93" spans="5:6">
      <c r="E93" s="416"/>
      <c r="F93" s="416"/>
    </row>
    <row r="94" spans="5:6">
      <c r="E94" s="416"/>
      <c r="F94" s="416"/>
    </row>
    <row r="95" spans="5:6">
      <c r="E95" s="416"/>
      <c r="F95" s="416"/>
    </row>
    <row r="96" spans="5:6">
      <c r="E96" s="416"/>
      <c r="F96" s="416"/>
    </row>
    <row r="97" spans="5:6">
      <c r="E97" s="416"/>
      <c r="F97" s="416"/>
    </row>
    <row r="98" spans="5:6">
      <c r="E98" s="416"/>
      <c r="F98" s="416"/>
    </row>
    <row r="99" spans="5:6">
      <c r="E99" s="416"/>
      <c r="F99" s="416"/>
    </row>
    <row r="100" spans="5:6">
      <c r="E100" s="416"/>
      <c r="F100" s="416"/>
    </row>
    <row r="101" spans="5:6">
      <c r="E101" s="416"/>
      <c r="F101" s="416"/>
    </row>
    <row r="102" spans="5:6">
      <c r="E102" s="416"/>
      <c r="F102" s="416"/>
    </row>
    <row r="103" spans="5:6">
      <c r="E103" s="416"/>
      <c r="F103" s="416"/>
    </row>
    <row r="104" spans="5:6">
      <c r="E104" s="416"/>
      <c r="F104" s="416"/>
    </row>
    <row r="105" spans="5:6">
      <c r="E105" s="416"/>
      <c r="F105" s="416"/>
    </row>
    <row r="106" spans="5:6">
      <c r="E106" s="416"/>
      <c r="F106" s="416"/>
    </row>
    <row r="107" spans="5:6">
      <c r="E107" s="416"/>
      <c r="F107" s="416"/>
    </row>
    <row r="108" spans="5:6">
      <c r="E108" s="416"/>
      <c r="F108" s="416"/>
    </row>
    <row r="109" spans="5:6">
      <c r="E109" s="416"/>
      <c r="F109" s="416"/>
    </row>
    <row r="110" spans="5:6">
      <c r="E110" s="416"/>
      <c r="F110" s="416"/>
    </row>
    <row r="111" spans="5:6">
      <c r="E111" s="416"/>
      <c r="F111" s="416"/>
    </row>
    <row r="112" spans="5:6">
      <c r="E112" s="416"/>
      <c r="F112" s="416"/>
    </row>
    <row r="113" spans="5:6">
      <c r="E113" s="416"/>
      <c r="F113" s="416"/>
    </row>
    <row r="114" spans="5:6">
      <c r="E114" s="416"/>
      <c r="F114" s="416"/>
    </row>
    <row r="115" spans="5:6">
      <c r="E115" s="416"/>
      <c r="F115" s="416"/>
    </row>
    <row r="116" spans="5:6">
      <c r="E116" s="416"/>
      <c r="F116" s="416"/>
    </row>
    <row r="117" spans="5:6">
      <c r="E117" s="416"/>
      <c r="F117" s="416"/>
    </row>
    <row r="118" spans="5:6">
      <c r="E118" s="416"/>
      <c r="F118" s="416"/>
    </row>
    <row r="119" spans="5:6">
      <c r="E119" s="416"/>
      <c r="F119" s="416"/>
    </row>
    <row r="120" spans="5:6">
      <c r="E120" s="416"/>
      <c r="F120" s="416"/>
    </row>
    <row r="121" spans="5:6">
      <c r="E121" s="416"/>
      <c r="F121" s="416"/>
    </row>
    <row r="122" spans="5:6">
      <c r="E122" s="416"/>
      <c r="F122" s="416"/>
    </row>
    <row r="123" spans="5:6">
      <c r="E123" s="416"/>
      <c r="F123" s="416"/>
    </row>
    <row r="124" spans="5:6">
      <c r="E124" s="416"/>
      <c r="F124" s="416"/>
    </row>
    <row r="125" spans="5:6">
      <c r="E125" s="416"/>
      <c r="F125" s="416"/>
    </row>
    <row r="126" spans="5:6">
      <c r="E126" s="416"/>
      <c r="F126" s="416"/>
    </row>
    <row r="127" spans="5:6">
      <c r="E127" s="416"/>
      <c r="F127" s="416"/>
    </row>
    <row r="128" spans="5:6">
      <c r="E128" s="416"/>
      <c r="F128" s="416"/>
    </row>
    <row r="129" spans="5:6">
      <c r="E129" s="416"/>
      <c r="F129" s="416"/>
    </row>
    <row r="130" spans="5:6">
      <c r="E130" s="416"/>
      <c r="F130" s="416"/>
    </row>
    <row r="131" spans="5:6">
      <c r="E131" s="416"/>
      <c r="F131" s="416"/>
    </row>
    <row r="132" spans="5:6">
      <c r="E132" s="416"/>
      <c r="F132" s="416"/>
    </row>
    <row r="133" spans="5:6">
      <c r="E133" s="416"/>
      <c r="F133" s="416"/>
    </row>
    <row r="134" spans="5:6">
      <c r="E134" s="416"/>
      <c r="F134" s="416"/>
    </row>
    <row r="135" spans="5:6">
      <c r="E135" s="416"/>
      <c r="F135" s="416"/>
    </row>
    <row r="136" spans="5:6">
      <c r="E136" s="416"/>
      <c r="F136" s="416"/>
    </row>
  </sheetData>
  <pageMargins left="0.7" right="0.51432291666666663" top="0.86956521739130432" bottom="0.61458333333333337" header="0.3" footer="0.3"/>
  <pageSetup orientation="portrait" r:id="rId1"/>
  <headerFooter>
    <oddHeader>&amp;R&amp;7Informe de la Operación Mensual - Setiembre 2018
INFSGI-MES-09-2018
11/10/2018
Versión: 01</oddHeader>
    <oddFooter>&amp;L&amp;7COES, 2018&amp;C26&amp;R&amp;7Dirección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18"/>
  <sheetViews>
    <sheetView showGridLines="0" view="pageBreakPreview" zoomScale="160" zoomScaleNormal="100" zoomScaleSheetLayoutView="160" zoomScalePageLayoutView="145" workbookViewId="0">
      <selection activeCell="M27" sqref="M27"/>
    </sheetView>
  </sheetViews>
  <sheetFormatPr defaultRowHeight="9"/>
  <cols>
    <col min="1" max="1" width="16.1640625" style="406" customWidth="1"/>
    <col min="2" max="2" width="19.6640625" style="406" customWidth="1"/>
    <col min="3" max="3" width="12.1640625" style="406" bestFit="1" customWidth="1"/>
    <col min="4" max="4" width="47.1640625" style="406" customWidth="1"/>
    <col min="5" max="5" width="11.5" style="406" customWidth="1"/>
    <col min="6" max="6" width="10.5" style="406" customWidth="1"/>
    <col min="7" max="8" width="9.33203125" style="406" customWidth="1"/>
    <col min="9" max="10" width="9.33203125" style="406"/>
    <col min="11" max="16384" width="9.33203125" style="415"/>
  </cols>
  <sheetData>
    <row r="1" spans="1:9" s="406" customFormat="1" ht="30" customHeight="1">
      <c r="A1" s="843" t="s">
        <v>284</v>
      </c>
      <c r="B1" s="844" t="s">
        <v>464</v>
      </c>
      <c r="C1" s="843" t="s">
        <v>453</v>
      </c>
      <c r="D1" s="845" t="s">
        <v>465</v>
      </c>
      <c r="E1" s="846" t="s">
        <v>466</v>
      </c>
      <c r="F1" s="846" t="s">
        <v>467</v>
      </c>
      <c r="G1" s="396"/>
      <c r="H1" s="407"/>
      <c r="I1" s="394"/>
    </row>
    <row r="2" spans="1:9" s="406" customFormat="1" ht="78" customHeight="1">
      <c r="A2" s="421" t="s">
        <v>593</v>
      </c>
      <c r="B2" s="421" t="s">
        <v>651</v>
      </c>
      <c r="C2" s="422">
        <v>43352.60833333333</v>
      </c>
      <c r="D2" s="557" t="s">
        <v>682</v>
      </c>
      <c r="E2" s="423">
        <v>1.91</v>
      </c>
      <c r="F2" s="423"/>
      <c r="G2" s="395"/>
      <c r="H2" s="395"/>
      <c r="I2" s="410"/>
    </row>
    <row r="3" spans="1:9" s="406" customFormat="1" ht="72.75" customHeight="1">
      <c r="A3" s="421" t="s">
        <v>469</v>
      </c>
      <c r="B3" s="421" t="s">
        <v>683</v>
      </c>
      <c r="C3" s="422">
        <v>43352.627083333333</v>
      </c>
      <c r="D3" s="557" t="s">
        <v>684</v>
      </c>
      <c r="E3" s="423">
        <v>4.7699999999999996</v>
      </c>
      <c r="F3" s="423"/>
      <c r="G3" s="395"/>
      <c r="H3" s="395"/>
      <c r="I3" s="410"/>
    </row>
    <row r="4" spans="1:9" s="406" customFormat="1" ht="69" customHeight="1">
      <c r="A4" s="421" t="s">
        <v>685</v>
      </c>
      <c r="B4" s="421" t="s">
        <v>686</v>
      </c>
      <c r="C4" s="422">
        <v>43353.636111111111</v>
      </c>
      <c r="D4" s="557" t="s">
        <v>687</v>
      </c>
      <c r="E4" s="423">
        <v>5.76</v>
      </c>
      <c r="F4" s="423"/>
      <c r="G4" s="395"/>
      <c r="H4" s="395"/>
      <c r="I4" s="410"/>
    </row>
    <row r="5" spans="1:9" s="406" customFormat="1" ht="76.5" customHeight="1">
      <c r="A5" s="421" t="s">
        <v>685</v>
      </c>
      <c r="B5" s="421" t="s">
        <v>686</v>
      </c>
      <c r="C5" s="422">
        <v>43354.616666666669</v>
      </c>
      <c r="D5" s="557" t="s">
        <v>688</v>
      </c>
      <c r="E5" s="423">
        <v>6.3</v>
      </c>
      <c r="F5" s="423"/>
      <c r="G5" s="395"/>
      <c r="H5" s="395"/>
      <c r="I5" s="410"/>
    </row>
    <row r="6" spans="1:9" s="406" customFormat="1" ht="94.5" customHeight="1">
      <c r="A6" s="421" t="s">
        <v>470</v>
      </c>
      <c r="B6" s="421" t="s">
        <v>689</v>
      </c>
      <c r="C6" s="422">
        <v>43355.250694444447</v>
      </c>
      <c r="D6" s="557" t="s">
        <v>690</v>
      </c>
      <c r="E6" s="423">
        <v>4.8</v>
      </c>
      <c r="F6" s="423"/>
      <c r="G6" s="395"/>
      <c r="H6" s="395"/>
      <c r="I6" s="412"/>
    </row>
    <row r="7" spans="1:9" s="406" customFormat="1" ht="78.75" customHeight="1">
      <c r="A7" s="421" t="s">
        <v>691</v>
      </c>
      <c r="B7" s="421" t="s">
        <v>692</v>
      </c>
      <c r="C7" s="422">
        <v>43356.334722222222</v>
      </c>
      <c r="D7" s="557" t="s">
        <v>693</v>
      </c>
      <c r="E7" s="423">
        <v>1.9</v>
      </c>
      <c r="F7" s="423"/>
      <c r="G7" s="395"/>
      <c r="H7" s="395"/>
      <c r="I7" s="410"/>
    </row>
    <row r="8" spans="1:9" ht="118.5" customHeight="1">
      <c r="A8" s="421" t="s">
        <v>593</v>
      </c>
      <c r="B8" s="421" t="s">
        <v>694</v>
      </c>
      <c r="C8" s="422">
        <v>43357.368750000001</v>
      </c>
      <c r="D8" s="557" t="s">
        <v>695</v>
      </c>
      <c r="E8" s="423">
        <v>15.68</v>
      </c>
      <c r="F8" s="423"/>
    </row>
    <row r="9" spans="1:9" ht="121.5" customHeight="1">
      <c r="A9" s="421" t="s">
        <v>593</v>
      </c>
      <c r="B9" s="421" t="s">
        <v>694</v>
      </c>
      <c r="C9" s="422">
        <v>43357.603472222225</v>
      </c>
      <c r="D9" s="557" t="s">
        <v>696</v>
      </c>
      <c r="E9" s="423">
        <v>16.82</v>
      </c>
      <c r="F9" s="423"/>
    </row>
    <row r="10" spans="1:9">
      <c r="E10" s="416"/>
      <c r="F10" s="416"/>
    </row>
    <row r="11" spans="1:9">
      <c r="E11" s="416"/>
      <c r="F11" s="416"/>
    </row>
    <row r="12" spans="1:9">
      <c r="E12" s="416"/>
      <c r="F12" s="416"/>
    </row>
    <row r="13" spans="1:9">
      <c r="E13" s="416"/>
      <c r="F13" s="416"/>
    </row>
    <row r="14" spans="1:9">
      <c r="E14" s="416"/>
      <c r="F14" s="416"/>
    </row>
    <row r="15" spans="1:9">
      <c r="E15" s="416"/>
      <c r="F15" s="416"/>
    </row>
    <row r="16" spans="1:9">
      <c r="E16" s="416"/>
      <c r="F16" s="416"/>
    </row>
    <row r="17" spans="5:6">
      <c r="E17" s="416"/>
      <c r="F17" s="416"/>
    </row>
    <row r="18" spans="5:6">
      <c r="E18" s="416"/>
      <c r="F18" s="416"/>
    </row>
    <row r="19" spans="5:6">
      <c r="E19" s="416"/>
      <c r="F19" s="416"/>
    </row>
    <row r="20" spans="5:6">
      <c r="E20" s="416"/>
      <c r="F20" s="416"/>
    </row>
    <row r="21" spans="5:6">
      <c r="E21" s="416"/>
      <c r="F21" s="416"/>
    </row>
    <row r="22" spans="5:6">
      <c r="E22" s="416"/>
      <c r="F22" s="416"/>
    </row>
    <row r="23" spans="5:6">
      <c r="E23" s="416"/>
      <c r="F23" s="416"/>
    </row>
    <row r="24" spans="5:6">
      <c r="E24" s="416"/>
      <c r="F24" s="416"/>
    </row>
    <row r="25" spans="5:6">
      <c r="E25" s="416"/>
      <c r="F25" s="416"/>
    </row>
    <row r="26" spans="5:6">
      <c r="E26" s="416"/>
      <c r="F26" s="416"/>
    </row>
    <row r="27" spans="5:6">
      <c r="E27" s="416"/>
      <c r="F27" s="416"/>
    </row>
    <row r="28" spans="5:6">
      <c r="E28" s="416"/>
      <c r="F28" s="416"/>
    </row>
    <row r="29" spans="5:6">
      <c r="E29" s="416"/>
      <c r="F29" s="416"/>
    </row>
    <row r="30" spans="5:6">
      <c r="E30" s="416"/>
      <c r="F30" s="416"/>
    </row>
    <row r="31" spans="5:6">
      <c r="E31" s="416"/>
      <c r="F31" s="416"/>
    </row>
    <row r="32" spans="5:6">
      <c r="E32" s="416"/>
      <c r="F32" s="416"/>
    </row>
    <row r="33" spans="5:6">
      <c r="E33" s="416"/>
      <c r="F33" s="416"/>
    </row>
    <row r="34" spans="5:6">
      <c r="E34" s="416"/>
      <c r="F34" s="416"/>
    </row>
    <row r="35" spans="5:6">
      <c r="E35" s="416"/>
      <c r="F35" s="416"/>
    </row>
    <row r="36" spans="5:6">
      <c r="E36" s="416"/>
      <c r="F36" s="416"/>
    </row>
    <row r="37" spans="5:6">
      <c r="E37" s="416"/>
      <c r="F37" s="416"/>
    </row>
    <row r="38" spans="5:6">
      <c r="E38" s="416"/>
      <c r="F38" s="416"/>
    </row>
    <row r="39" spans="5:6">
      <c r="E39" s="416"/>
      <c r="F39" s="416"/>
    </row>
    <row r="40" spans="5:6">
      <c r="E40" s="416"/>
      <c r="F40" s="416"/>
    </row>
    <row r="41" spans="5:6">
      <c r="E41" s="416"/>
      <c r="F41" s="416"/>
    </row>
    <row r="42" spans="5:6">
      <c r="E42" s="416"/>
      <c r="F42" s="416"/>
    </row>
    <row r="43" spans="5:6">
      <c r="E43" s="416"/>
      <c r="F43" s="416"/>
    </row>
    <row r="44" spans="5:6">
      <c r="E44" s="416"/>
      <c r="F44" s="416"/>
    </row>
    <row r="45" spans="5:6">
      <c r="E45" s="416"/>
      <c r="F45" s="416"/>
    </row>
    <row r="46" spans="5:6">
      <c r="E46" s="416"/>
      <c r="F46" s="416"/>
    </row>
    <row r="47" spans="5:6">
      <c r="E47" s="416"/>
      <c r="F47" s="416"/>
    </row>
    <row r="48" spans="5:6">
      <c r="E48" s="416"/>
      <c r="F48" s="416"/>
    </row>
    <row r="49" spans="5:6">
      <c r="E49" s="416"/>
      <c r="F49" s="416"/>
    </row>
    <row r="50" spans="5:6">
      <c r="E50" s="416"/>
      <c r="F50" s="416"/>
    </row>
    <row r="51" spans="5:6">
      <c r="E51" s="416"/>
      <c r="F51" s="416"/>
    </row>
    <row r="52" spans="5:6">
      <c r="E52" s="416"/>
      <c r="F52" s="416"/>
    </row>
    <row r="53" spans="5:6">
      <c r="E53" s="416"/>
      <c r="F53" s="416"/>
    </row>
    <row r="54" spans="5:6">
      <c r="E54" s="416"/>
      <c r="F54" s="416"/>
    </row>
    <row r="55" spans="5:6">
      <c r="E55" s="416"/>
      <c r="F55" s="416"/>
    </row>
    <row r="56" spans="5:6">
      <c r="E56" s="416"/>
      <c r="F56" s="416"/>
    </row>
    <row r="57" spans="5:6">
      <c r="E57" s="416"/>
      <c r="F57" s="416"/>
    </row>
    <row r="58" spans="5:6">
      <c r="E58" s="416"/>
      <c r="F58" s="416"/>
    </row>
    <row r="59" spans="5:6">
      <c r="E59" s="416"/>
      <c r="F59" s="416"/>
    </row>
    <row r="60" spans="5:6">
      <c r="E60" s="416"/>
      <c r="F60" s="416"/>
    </row>
    <row r="61" spans="5:6">
      <c r="E61" s="416"/>
      <c r="F61" s="416"/>
    </row>
    <row r="62" spans="5:6">
      <c r="E62" s="416"/>
      <c r="F62" s="416"/>
    </row>
    <row r="63" spans="5:6">
      <c r="E63" s="416"/>
      <c r="F63" s="416"/>
    </row>
    <row r="64" spans="5:6">
      <c r="E64" s="416"/>
      <c r="F64" s="416"/>
    </row>
    <row r="65" spans="5:6">
      <c r="E65" s="416"/>
      <c r="F65" s="416"/>
    </row>
    <row r="66" spans="5:6">
      <c r="E66" s="416"/>
      <c r="F66" s="416"/>
    </row>
    <row r="67" spans="5:6">
      <c r="E67" s="416"/>
      <c r="F67" s="416"/>
    </row>
    <row r="68" spans="5:6">
      <c r="E68" s="416"/>
      <c r="F68" s="416"/>
    </row>
    <row r="69" spans="5:6">
      <c r="E69" s="416"/>
      <c r="F69" s="416"/>
    </row>
    <row r="70" spans="5:6">
      <c r="E70" s="416"/>
      <c r="F70" s="416"/>
    </row>
    <row r="71" spans="5:6">
      <c r="E71" s="416"/>
      <c r="F71" s="416"/>
    </row>
    <row r="72" spans="5:6">
      <c r="E72" s="416"/>
      <c r="F72" s="416"/>
    </row>
    <row r="73" spans="5:6">
      <c r="E73" s="416"/>
      <c r="F73" s="416"/>
    </row>
    <row r="74" spans="5:6">
      <c r="E74" s="416"/>
      <c r="F74" s="416"/>
    </row>
    <row r="75" spans="5:6">
      <c r="E75" s="416"/>
      <c r="F75" s="416"/>
    </row>
    <row r="76" spans="5:6">
      <c r="E76" s="416"/>
      <c r="F76" s="416"/>
    </row>
    <row r="77" spans="5:6">
      <c r="E77" s="416"/>
      <c r="F77" s="416"/>
    </row>
    <row r="78" spans="5:6">
      <c r="E78" s="416"/>
      <c r="F78" s="416"/>
    </row>
    <row r="79" spans="5:6">
      <c r="E79" s="416"/>
      <c r="F79" s="416"/>
    </row>
    <row r="80" spans="5:6">
      <c r="E80" s="416"/>
      <c r="F80" s="416"/>
    </row>
    <row r="81" spans="5:6">
      <c r="E81" s="416"/>
      <c r="F81" s="416"/>
    </row>
    <row r="82" spans="5:6">
      <c r="E82" s="416"/>
      <c r="F82" s="416"/>
    </row>
    <row r="83" spans="5:6">
      <c r="E83" s="416"/>
      <c r="F83" s="416"/>
    </row>
    <row r="84" spans="5:6">
      <c r="E84" s="416"/>
      <c r="F84" s="416"/>
    </row>
    <row r="85" spans="5:6">
      <c r="E85" s="416"/>
      <c r="F85" s="416"/>
    </row>
    <row r="86" spans="5:6">
      <c r="E86" s="416"/>
      <c r="F86" s="416"/>
    </row>
    <row r="87" spans="5:6">
      <c r="E87" s="416"/>
      <c r="F87" s="416"/>
    </row>
    <row r="88" spans="5:6">
      <c r="E88" s="416"/>
      <c r="F88" s="416"/>
    </row>
    <row r="89" spans="5:6">
      <c r="E89" s="416"/>
      <c r="F89" s="416"/>
    </row>
    <row r="90" spans="5:6">
      <c r="E90" s="416"/>
      <c r="F90" s="416"/>
    </row>
    <row r="91" spans="5:6">
      <c r="E91" s="416"/>
      <c r="F91" s="416"/>
    </row>
    <row r="92" spans="5:6">
      <c r="E92" s="416"/>
      <c r="F92" s="416"/>
    </row>
    <row r="93" spans="5:6">
      <c r="E93" s="416"/>
      <c r="F93" s="416"/>
    </row>
    <row r="94" spans="5:6">
      <c r="E94" s="416"/>
      <c r="F94" s="416"/>
    </row>
    <row r="95" spans="5:6">
      <c r="E95" s="416"/>
      <c r="F95" s="416"/>
    </row>
    <row r="96" spans="5:6">
      <c r="E96" s="416"/>
      <c r="F96" s="416"/>
    </row>
    <row r="97" spans="5:6">
      <c r="E97" s="416"/>
      <c r="F97" s="416"/>
    </row>
    <row r="98" spans="5:6">
      <c r="E98" s="416"/>
      <c r="F98" s="416"/>
    </row>
    <row r="99" spans="5:6">
      <c r="E99" s="416"/>
      <c r="F99" s="416"/>
    </row>
    <row r="100" spans="5:6">
      <c r="E100" s="416"/>
      <c r="F100" s="416"/>
    </row>
    <row r="101" spans="5:6">
      <c r="E101" s="416"/>
      <c r="F101" s="416"/>
    </row>
    <row r="102" spans="5:6">
      <c r="E102" s="416"/>
      <c r="F102" s="416"/>
    </row>
    <row r="103" spans="5:6">
      <c r="E103" s="416"/>
      <c r="F103" s="416"/>
    </row>
    <row r="104" spans="5:6">
      <c r="E104" s="416"/>
      <c r="F104" s="416"/>
    </row>
    <row r="105" spans="5:6">
      <c r="E105" s="416"/>
      <c r="F105" s="416"/>
    </row>
    <row r="106" spans="5:6">
      <c r="E106" s="416"/>
      <c r="F106" s="416"/>
    </row>
    <row r="107" spans="5:6">
      <c r="E107" s="416"/>
      <c r="F107" s="416"/>
    </row>
    <row r="108" spans="5:6">
      <c r="E108" s="416"/>
      <c r="F108" s="416"/>
    </row>
    <row r="109" spans="5:6">
      <c r="E109" s="416"/>
      <c r="F109" s="416"/>
    </row>
    <row r="110" spans="5:6">
      <c r="E110" s="416"/>
      <c r="F110" s="416"/>
    </row>
    <row r="111" spans="5:6">
      <c r="E111" s="416"/>
      <c r="F111" s="416"/>
    </row>
    <row r="112" spans="5:6">
      <c r="E112" s="416"/>
      <c r="F112" s="416"/>
    </row>
    <row r="113" spans="5:6">
      <c r="E113" s="416"/>
      <c r="F113" s="416"/>
    </row>
    <row r="114" spans="5:6">
      <c r="E114" s="416"/>
      <c r="F114" s="416"/>
    </row>
    <row r="115" spans="5:6">
      <c r="E115" s="416"/>
      <c r="F115" s="416"/>
    </row>
    <row r="116" spans="5:6">
      <c r="E116" s="416"/>
      <c r="F116" s="416"/>
    </row>
    <row r="117" spans="5:6">
      <c r="E117" s="416"/>
      <c r="F117" s="416"/>
    </row>
    <row r="118" spans="5:6">
      <c r="E118" s="416"/>
      <c r="F118" s="416"/>
    </row>
  </sheetData>
  <pageMargins left="0.7" right="0.51432291666666663" top="0.86956521739130432" bottom="0.61458333333333337" header="0.3" footer="0.3"/>
  <pageSetup orientation="portrait" r:id="rId1"/>
  <headerFooter>
    <oddHeader>&amp;R&amp;7Informe de la Operación Mensual - Setiembre 2018
INFSGI-MES-09-2018
11/10/2018
Versión: 01</oddHeader>
    <oddFooter>&amp;L&amp;7COES, 2018&amp;C27&amp;R&amp;7Dirección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topLeftCell="A2" zoomScale="115" zoomScaleNormal="100" zoomScaleSheetLayoutView="115" zoomScalePageLayoutView="145" workbookViewId="0">
      <selection activeCell="M27" sqref="M27"/>
    </sheetView>
  </sheetViews>
  <sheetFormatPr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428"/>
    <col min="15" max="16" width="10.1640625" style="474" bestFit="1" customWidth="1"/>
    <col min="17" max="17" width="11.5" style="474" customWidth="1"/>
    <col min="18" max="23" width="9.33203125" style="474"/>
    <col min="24" max="16384" width="9.33203125" style="61"/>
  </cols>
  <sheetData>
    <row r="1" spans="1:20" ht="27.75" customHeight="1">
      <c r="A1" s="879" t="s">
        <v>22</v>
      </c>
      <c r="B1" s="879"/>
      <c r="C1" s="879"/>
      <c r="D1" s="879"/>
      <c r="E1" s="879"/>
      <c r="F1" s="879"/>
      <c r="G1" s="879"/>
      <c r="H1" s="879"/>
      <c r="I1" s="879"/>
      <c r="J1" s="879"/>
      <c r="K1" s="879"/>
      <c r="L1" s="879"/>
      <c r="M1" s="879"/>
      <c r="N1" s="427"/>
      <c r="O1" s="473"/>
      <c r="P1" s="473"/>
      <c r="Q1" s="473"/>
    </row>
    <row r="2" spans="1:20" ht="11.25" customHeight="1">
      <c r="A2" s="52"/>
      <c r="B2" s="53"/>
      <c r="C2" s="82"/>
      <c r="D2" s="82"/>
      <c r="E2" s="82"/>
      <c r="F2" s="82"/>
      <c r="G2" s="82"/>
      <c r="H2" s="82"/>
      <c r="I2" s="82"/>
      <c r="J2" s="82"/>
      <c r="K2" s="53"/>
      <c r="L2" s="53"/>
      <c r="M2" s="53"/>
      <c r="N2" s="429"/>
      <c r="O2" s="475"/>
      <c r="P2" s="475"/>
      <c r="Q2" s="475"/>
    </row>
    <row r="3" spans="1:20" ht="21.75" customHeight="1">
      <c r="A3" s="53"/>
      <c r="B3" s="54"/>
      <c r="C3" s="887" t="str">
        <f>+UPPER(Q4)&amp;" "&amp;Q5</f>
        <v>SETIEMBRE 2018</v>
      </c>
      <c r="D3" s="879"/>
      <c r="E3" s="879"/>
      <c r="F3" s="879"/>
      <c r="G3" s="879"/>
      <c r="H3" s="879"/>
      <c r="I3" s="879"/>
      <c r="J3" s="879"/>
      <c r="K3" s="53"/>
      <c r="L3" s="53"/>
      <c r="M3" s="53"/>
      <c r="N3" s="429"/>
      <c r="O3" s="475"/>
      <c r="P3" s="475"/>
      <c r="Q3" s="475"/>
      <c r="R3" s="476"/>
      <c r="S3" s="476"/>
      <c r="T3" s="476"/>
    </row>
    <row r="4" spans="1:20" ht="11.25" customHeight="1">
      <c r="A4" s="51"/>
      <c r="B4" s="54"/>
      <c r="C4" s="51"/>
      <c r="D4" s="51"/>
      <c r="E4" s="51"/>
      <c r="F4" s="51"/>
      <c r="G4" s="51"/>
      <c r="H4" s="51"/>
      <c r="I4" s="51"/>
      <c r="J4" s="51"/>
      <c r="K4" s="51"/>
      <c r="L4" s="51"/>
      <c r="M4" s="51"/>
      <c r="N4" s="430"/>
      <c r="O4" s="477"/>
      <c r="P4" s="473" t="s">
        <v>226</v>
      </c>
      <c r="Q4" s="478" t="s">
        <v>739</v>
      </c>
      <c r="R4" s="476"/>
      <c r="S4" s="476"/>
      <c r="T4" s="476"/>
    </row>
    <row r="5" spans="1:20" ht="11.25" customHeight="1">
      <c r="A5" s="62"/>
      <c r="B5" s="63"/>
      <c r="C5" s="64"/>
      <c r="D5" s="64"/>
      <c r="E5" s="64"/>
      <c r="F5" s="64"/>
      <c r="G5" s="64"/>
      <c r="H5" s="64"/>
      <c r="I5" s="64"/>
      <c r="J5" s="64"/>
      <c r="K5" s="64"/>
      <c r="L5" s="64"/>
      <c r="M5" s="51"/>
      <c r="N5" s="430"/>
      <c r="O5" s="477"/>
      <c r="P5" s="473" t="s">
        <v>227</v>
      </c>
      <c r="Q5" s="477">
        <v>2018</v>
      </c>
      <c r="R5" s="476"/>
      <c r="S5" s="476"/>
      <c r="T5" s="476"/>
    </row>
    <row r="6" spans="1:20" ht="17.25" customHeight="1">
      <c r="A6" s="77" t="s">
        <v>509</v>
      </c>
      <c r="B6" s="51"/>
      <c r="C6" s="51"/>
      <c r="D6" s="51"/>
      <c r="E6" s="51"/>
      <c r="F6" s="51"/>
      <c r="G6" s="51"/>
      <c r="H6" s="51"/>
      <c r="I6" s="51"/>
      <c r="J6" s="51"/>
      <c r="K6" s="51"/>
      <c r="L6" s="51"/>
      <c r="M6" s="51"/>
      <c r="N6" s="427"/>
      <c r="O6" s="473"/>
      <c r="P6" s="473"/>
      <c r="Q6" s="487">
        <v>43344</v>
      </c>
      <c r="R6" s="476"/>
      <c r="S6" s="476"/>
      <c r="T6" s="476"/>
    </row>
    <row r="7" spans="1:20" ht="11.25" customHeight="1">
      <c r="A7" s="51"/>
      <c r="B7" s="51"/>
      <c r="C7" s="51"/>
      <c r="D7" s="51"/>
      <c r="E7" s="51"/>
      <c r="F7" s="51"/>
      <c r="G7" s="51"/>
      <c r="H7" s="51"/>
      <c r="I7" s="51"/>
      <c r="J7" s="51"/>
      <c r="K7" s="51"/>
      <c r="L7" s="51"/>
      <c r="M7" s="51"/>
      <c r="N7" s="427"/>
      <c r="O7" s="473"/>
      <c r="P7" s="473"/>
      <c r="Q7" s="473">
        <v>30</v>
      </c>
      <c r="R7" s="476"/>
      <c r="S7" s="476"/>
      <c r="T7" s="476"/>
    </row>
    <row r="8" spans="1:20" ht="11.25" customHeight="1">
      <c r="A8" s="55"/>
      <c r="B8" s="55"/>
      <c r="C8" s="55"/>
      <c r="D8" s="55"/>
      <c r="E8" s="55"/>
      <c r="F8" s="55"/>
      <c r="G8" s="55"/>
      <c r="H8" s="55"/>
      <c r="I8" s="55"/>
      <c r="J8" s="55"/>
      <c r="K8" s="55"/>
      <c r="L8" s="55"/>
      <c r="M8" s="55"/>
      <c r="N8" s="431"/>
      <c r="O8" s="479"/>
      <c r="P8" s="479"/>
      <c r="Q8" s="479"/>
      <c r="R8" s="476"/>
      <c r="S8" s="476"/>
      <c r="T8" s="476"/>
    </row>
    <row r="9" spans="1:20" ht="11.25" customHeight="1">
      <c r="A9" s="53" t="str">
        <f>"1.1. Producción de energía eléctrica en "&amp;LOWER(Q4)&amp;" "&amp;Q5&amp;" en comparación al mismo mes del año anterior"</f>
        <v>1.1. Producción de energía eléctrica en setiembre 2018 en comparación al mismo mes del año anterior</v>
      </c>
      <c r="B9" s="53"/>
      <c r="C9" s="53"/>
      <c r="D9" s="53"/>
      <c r="E9" s="53"/>
      <c r="F9" s="53"/>
      <c r="G9" s="53"/>
      <c r="H9" s="53"/>
      <c r="I9" s="53"/>
      <c r="J9" s="53"/>
      <c r="K9" s="53"/>
      <c r="L9" s="53"/>
      <c r="M9" s="53"/>
      <c r="N9" s="429"/>
      <c r="O9" s="475"/>
      <c r="P9" s="475"/>
      <c r="Q9" s="475"/>
      <c r="R9" s="476"/>
      <c r="S9" s="476"/>
      <c r="T9" s="476"/>
    </row>
    <row r="10" spans="1:20" ht="11.25" customHeight="1">
      <c r="A10" s="62"/>
      <c r="B10" s="56"/>
      <c r="C10" s="56"/>
      <c r="D10" s="56"/>
      <c r="E10" s="56"/>
      <c r="F10" s="56"/>
      <c r="G10" s="56"/>
      <c r="H10" s="56"/>
      <c r="I10" s="56"/>
      <c r="J10" s="56"/>
      <c r="K10" s="56"/>
      <c r="L10" s="56"/>
      <c r="M10" s="56"/>
      <c r="N10" s="430"/>
      <c r="O10" s="477"/>
      <c r="P10" s="477"/>
      <c r="Q10" s="477"/>
      <c r="R10" s="476"/>
      <c r="S10" s="476"/>
      <c r="T10" s="476"/>
    </row>
    <row r="11" spans="1:20" ht="11.25" customHeight="1">
      <c r="A11" s="65"/>
      <c r="B11" s="65"/>
      <c r="C11" s="65"/>
      <c r="D11" s="65"/>
      <c r="E11" s="65"/>
      <c r="F11" s="65"/>
      <c r="G11" s="65"/>
      <c r="H11" s="65"/>
      <c r="I11" s="65"/>
      <c r="J11" s="65"/>
      <c r="K11" s="65"/>
      <c r="L11" s="65"/>
      <c r="M11" s="65"/>
      <c r="N11" s="432"/>
      <c r="O11" s="480"/>
      <c r="P11" s="480"/>
      <c r="Q11" s="480"/>
    </row>
    <row r="12" spans="1:20" ht="26.25" customHeight="1">
      <c r="A12" s="79" t="s">
        <v>23</v>
      </c>
      <c r="B12" s="886" t="s">
        <v>786</v>
      </c>
      <c r="C12" s="886"/>
      <c r="D12" s="886"/>
      <c r="E12" s="886"/>
      <c r="F12" s="886"/>
      <c r="G12" s="886"/>
      <c r="H12" s="886"/>
      <c r="I12" s="886"/>
      <c r="J12" s="886"/>
      <c r="K12" s="886"/>
      <c r="L12" s="886"/>
      <c r="M12" s="886"/>
      <c r="N12" s="430"/>
      <c r="O12" s="477"/>
      <c r="P12" s="477"/>
      <c r="Q12" s="477"/>
    </row>
    <row r="13" spans="1:20" ht="12.75" customHeight="1">
      <c r="A13" s="51"/>
      <c r="B13" s="81"/>
      <c r="C13" s="81"/>
      <c r="D13" s="81"/>
      <c r="E13" s="81"/>
      <c r="F13" s="81"/>
      <c r="G13" s="81"/>
      <c r="H13" s="81"/>
      <c r="I13" s="81"/>
      <c r="J13" s="81"/>
      <c r="K13" s="81"/>
      <c r="L13" s="81"/>
      <c r="M13" s="56"/>
      <c r="N13" s="430"/>
      <c r="O13" s="477"/>
      <c r="P13" s="477"/>
      <c r="Q13" s="477"/>
    </row>
    <row r="14" spans="1:20" ht="28.5" customHeight="1">
      <c r="A14" s="79" t="s">
        <v>23</v>
      </c>
      <c r="B14" s="886" t="s">
        <v>787</v>
      </c>
      <c r="C14" s="886"/>
      <c r="D14" s="886"/>
      <c r="E14" s="886"/>
      <c r="F14" s="886"/>
      <c r="G14" s="886"/>
      <c r="H14" s="886"/>
      <c r="I14" s="886"/>
      <c r="J14" s="886"/>
      <c r="K14" s="886"/>
      <c r="L14" s="886"/>
      <c r="M14" s="886"/>
      <c r="N14" s="430"/>
      <c r="O14" s="477"/>
      <c r="P14" s="477"/>
      <c r="Q14" s="477"/>
    </row>
    <row r="15" spans="1:20" ht="15" customHeight="1">
      <c r="A15" s="80"/>
      <c r="B15" s="81"/>
      <c r="C15" s="81"/>
      <c r="D15" s="81"/>
      <c r="E15" s="81"/>
      <c r="F15" s="81"/>
      <c r="G15" s="81"/>
      <c r="H15" s="81"/>
      <c r="I15" s="81"/>
      <c r="J15" s="81"/>
      <c r="K15" s="81"/>
      <c r="L15" s="81"/>
      <c r="M15" s="56"/>
      <c r="N15" s="430"/>
      <c r="O15" s="477"/>
      <c r="P15" s="477"/>
      <c r="Q15" s="477"/>
    </row>
    <row r="16" spans="1:20" ht="59.25" customHeight="1">
      <c r="A16" s="79" t="s">
        <v>23</v>
      </c>
      <c r="B16" s="886" t="s">
        <v>788</v>
      </c>
      <c r="C16" s="886"/>
      <c r="D16" s="886"/>
      <c r="E16" s="886"/>
      <c r="F16" s="886"/>
      <c r="G16" s="886"/>
      <c r="H16" s="886"/>
      <c r="I16" s="886"/>
      <c r="J16" s="886"/>
      <c r="K16" s="886"/>
      <c r="L16" s="886"/>
      <c r="M16" s="886"/>
      <c r="N16" s="430"/>
      <c r="O16" s="477"/>
      <c r="P16" s="477"/>
      <c r="Q16" s="477"/>
    </row>
    <row r="17" spans="1:18" ht="17.25" customHeight="1">
      <c r="A17" s="56"/>
      <c r="B17" s="56"/>
      <c r="C17" s="56"/>
      <c r="D17" s="56"/>
      <c r="E17" s="56"/>
      <c r="F17" s="56"/>
      <c r="G17" s="56"/>
      <c r="H17" s="56"/>
      <c r="I17" s="56"/>
      <c r="J17" s="56"/>
      <c r="K17" s="56"/>
      <c r="L17" s="56"/>
      <c r="M17" s="56"/>
      <c r="N17" s="430"/>
      <c r="O17" s="477"/>
      <c r="P17" s="477"/>
      <c r="Q17" s="477"/>
    </row>
    <row r="18" spans="1:18" ht="25.5" customHeight="1">
      <c r="A18" s="78" t="s">
        <v>23</v>
      </c>
      <c r="B18" s="885" t="s">
        <v>801</v>
      </c>
      <c r="C18" s="885"/>
      <c r="D18" s="885"/>
      <c r="E18" s="885"/>
      <c r="F18" s="885"/>
      <c r="G18" s="885"/>
      <c r="H18" s="885"/>
      <c r="I18" s="885"/>
      <c r="J18" s="885"/>
      <c r="K18" s="885"/>
      <c r="L18" s="885"/>
      <c r="M18" s="885"/>
      <c r="N18" s="430"/>
      <c r="O18" s="477"/>
      <c r="P18" s="477"/>
      <c r="Q18" s="477"/>
    </row>
    <row r="19" spans="1:18" ht="11.25" customHeight="1">
      <c r="A19" s="56"/>
      <c r="B19" s="56"/>
      <c r="C19" s="56"/>
      <c r="D19" s="56"/>
      <c r="E19" s="56"/>
      <c r="F19" s="56"/>
      <c r="G19" s="56"/>
      <c r="H19" s="56"/>
      <c r="I19" s="56"/>
      <c r="J19" s="56"/>
      <c r="K19" s="56"/>
      <c r="L19" s="56"/>
      <c r="M19" s="56"/>
      <c r="N19" s="430"/>
      <c r="O19" s="477"/>
      <c r="P19" s="477"/>
      <c r="Q19" s="477"/>
    </row>
    <row r="20" spans="1:18" ht="15.75" customHeight="1">
      <c r="A20" s="56"/>
      <c r="B20" s="56"/>
      <c r="C20" s="881" t="str">
        <f>+UPPER(Q4)&amp;" "&amp;Q5</f>
        <v>SETIEMBRE 2018</v>
      </c>
      <c r="D20" s="882"/>
      <c r="E20" s="51"/>
      <c r="F20" s="51"/>
      <c r="G20" s="51"/>
      <c r="H20" s="51"/>
      <c r="I20" s="881" t="str">
        <f>+UPPER(Q4)&amp;" "&amp;Q5-1</f>
        <v>SETIEMBRE 2017</v>
      </c>
      <c r="J20" s="881"/>
      <c r="K20" s="881"/>
      <c r="L20" s="56"/>
      <c r="M20" s="56"/>
      <c r="Q20" s="477"/>
    </row>
    <row r="21" spans="1:18" ht="11.25" customHeight="1">
      <c r="A21" s="56"/>
      <c r="B21" s="56"/>
      <c r="C21" s="56"/>
      <c r="D21" s="56"/>
      <c r="E21" s="56"/>
      <c r="F21" s="56"/>
      <c r="G21" s="56"/>
      <c r="H21" s="56"/>
      <c r="I21" s="56"/>
      <c r="J21" s="56"/>
      <c r="K21" s="56"/>
      <c r="L21" s="56"/>
      <c r="M21" s="56"/>
      <c r="Q21" s="477"/>
    </row>
    <row r="22" spans="1:18" ht="11.25" customHeight="1">
      <c r="A22" s="66"/>
      <c r="B22" s="67"/>
      <c r="C22" s="67"/>
      <c r="D22" s="67"/>
      <c r="E22" s="67"/>
      <c r="F22" s="67"/>
      <c r="G22" s="67"/>
      <c r="H22" s="67"/>
      <c r="I22" s="67"/>
      <c r="J22" s="67"/>
      <c r="K22" s="67"/>
      <c r="L22" s="67"/>
      <c r="M22" s="67"/>
      <c r="N22" s="521" t="s">
        <v>31</v>
      </c>
      <c r="O22" s="481">
        <v>43282</v>
      </c>
      <c r="P22" s="481">
        <v>42917</v>
      </c>
    </row>
    <row r="23" spans="1:18" ht="11.25" customHeight="1">
      <c r="A23" s="66"/>
      <c r="B23" s="67"/>
      <c r="C23" s="67"/>
      <c r="D23" s="67"/>
      <c r="E23" s="67"/>
      <c r="F23" s="67"/>
      <c r="G23" s="67"/>
      <c r="H23" s="67"/>
      <c r="I23" s="67"/>
      <c r="J23" s="67"/>
      <c r="K23" s="67"/>
      <c r="L23" s="67"/>
      <c r="M23" s="67"/>
      <c r="N23" s="521" t="s">
        <v>24</v>
      </c>
      <c r="O23" s="482">
        <v>1656.4380512150008</v>
      </c>
      <c r="P23" s="482">
        <v>1850.3046790381316</v>
      </c>
      <c r="Q23" s="483"/>
    </row>
    <row r="24" spans="1:18" ht="11.25" customHeight="1">
      <c r="A24" s="56"/>
      <c r="B24" s="56"/>
      <c r="C24" s="56"/>
      <c r="D24" s="56"/>
      <c r="E24" s="60"/>
      <c r="F24" s="68"/>
      <c r="G24" s="68"/>
      <c r="H24" s="68"/>
      <c r="I24" s="68"/>
      <c r="J24" s="68"/>
      <c r="K24" s="68"/>
      <c r="L24" s="68"/>
      <c r="M24" s="60"/>
      <c r="N24" s="522" t="s">
        <v>25</v>
      </c>
      <c r="O24" s="484">
        <v>2253.6528189324995</v>
      </c>
      <c r="P24" s="484">
        <v>1759.508976627091</v>
      </c>
      <c r="Q24" s="482"/>
      <c r="R24" s="482"/>
    </row>
    <row r="25" spans="1:18" ht="11.25" customHeight="1">
      <c r="A25" s="56"/>
      <c r="B25" s="56"/>
      <c r="C25" s="56"/>
      <c r="D25" s="56"/>
      <c r="E25" s="56"/>
      <c r="F25" s="56"/>
      <c r="G25" s="56"/>
      <c r="H25" s="56"/>
      <c r="I25" s="56"/>
      <c r="J25" s="69"/>
      <c r="K25" s="69"/>
      <c r="L25" s="56"/>
      <c r="M25" s="56"/>
      <c r="N25" s="522" t="s">
        <v>26</v>
      </c>
      <c r="O25" s="484">
        <v>0</v>
      </c>
      <c r="P25" s="484">
        <v>90.171078251284897</v>
      </c>
      <c r="Q25" s="485"/>
    </row>
    <row r="26" spans="1:18" ht="11.25" customHeight="1">
      <c r="A26" s="56"/>
      <c r="B26" s="56"/>
      <c r="C26" s="56"/>
      <c r="D26" s="56"/>
      <c r="E26" s="56"/>
      <c r="F26" s="56"/>
      <c r="G26" s="56"/>
      <c r="H26" s="56"/>
      <c r="I26" s="56"/>
      <c r="J26" s="69"/>
      <c r="K26" s="69"/>
      <c r="L26" s="56"/>
      <c r="M26" s="56"/>
      <c r="N26" s="523" t="s">
        <v>27</v>
      </c>
      <c r="O26" s="482">
        <v>6.3454784125000003</v>
      </c>
      <c r="P26" s="482">
        <v>172.25136026758244</v>
      </c>
      <c r="Q26" s="485"/>
    </row>
    <row r="27" spans="1:18" ht="11.25" customHeight="1">
      <c r="A27" s="56"/>
      <c r="B27" s="56"/>
      <c r="C27" s="56"/>
      <c r="D27" s="56"/>
      <c r="E27" s="56"/>
      <c r="F27" s="56"/>
      <c r="G27" s="56"/>
      <c r="H27" s="56"/>
      <c r="I27" s="56"/>
      <c r="J27" s="69"/>
      <c r="K27" s="56"/>
      <c r="L27" s="56"/>
      <c r="M27" s="56"/>
      <c r="N27" s="521" t="s">
        <v>28</v>
      </c>
      <c r="O27" s="482">
        <v>13.548058922500001</v>
      </c>
      <c r="P27" s="482">
        <v>9.6040142675609239</v>
      </c>
      <c r="Q27" s="485"/>
    </row>
    <row r="28" spans="1:18" ht="11.25" customHeight="1">
      <c r="A28" s="56"/>
      <c r="B28" s="56"/>
      <c r="C28" s="69"/>
      <c r="D28" s="69"/>
      <c r="E28" s="69"/>
      <c r="F28" s="69"/>
      <c r="G28" s="69"/>
      <c r="H28" s="69"/>
      <c r="I28" s="69"/>
      <c r="J28" s="69"/>
      <c r="K28" s="69"/>
      <c r="L28" s="56"/>
      <c r="M28" s="56"/>
      <c r="N28" s="521" t="s">
        <v>29</v>
      </c>
      <c r="O28" s="482">
        <v>141.62182448750002</v>
      </c>
      <c r="P28" s="482">
        <v>112.36269788254573</v>
      </c>
      <c r="Q28" s="485"/>
    </row>
    <row r="29" spans="1:18" ht="11.25" customHeight="1">
      <c r="A29" s="56"/>
      <c r="B29" s="56"/>
      <c r="C29" s="69"/>
      <c r="D29" s="69"/>
      <c r="E29" s="69"/>
      <c r="F29" s="69"/>
      <c r="G29" s="69"/>
      <c r="H29" s="69"/>
      <c r="I29" s="69"/>
      <c r="J29" s="69"/>
      <c r="K29" s="69"/>
      <c r="L29" s="56"/>
      <c r="M29" s="56"/>
      <c r="N29" s="521" t="s">
        <v>30</v>
      </c>
      <c r="O29" s="482">
        <v>71.752520337500002</v>
      </c>
      <c r="P29" s="482">
        <v>18.929945049992501</v>
      </c>
      <c r="Q29" s="485"/>
    </row>
    <row r="30" spans="1:18" ht="11.25" customHeight="1">
      <c r="A30" s="56"/>
      <c r="B30" s="56"/>
      <c r="C30" s="69"/>
      <c r="D30" s="69"/>
      <c r="E30" s="69"/>
      <c r="F30" s="69"/>
      <c r="G30" s="69"/>
      <c r="H30" s="69"/>
      <c r="I30" s="69"/>
      <c r="J30" s="69"/>
      <c r="K30" s="69"/>
      <c r="L30" s="56"/>
      <c r="M30" s="56"/>
      <c r="N30" s="524"/>
      <c r="O30" s="486"/>
      <c r="P30" s="486"/>
      <c r="Q30" s="485"/>
    </row>
    <row r="31" spans="1:18" ht="11.25" customHeight="1">
      <c r="A31" s="56"/>
      <c r="B31" s="56"/>
      <c r="C31" s="69"/>
      <c r="D31" s="69"/>
      <c r="E31" s="69"/>
      <c r="F31" s="69"/>
      <c r="G31" s="69"/>
      <c r="H31" s="69"/>
      <c r="I31" s="69"/>
      <c r="J31" s="69"/>
      <c r="K31" s="69"/>
      <c r="L31" s="56"/>
      <c r="M31" s="56"/>
      <c r="O31" s="549"/>
      <c r="P31" s="549"/>
      <c r="Q31" s="550"/>
    </row>
    <row r="32" spans="1:18" ht="11.25" customHeight="1">
      <c r="A32" s="56"/>
      <c r="B32" s="56"/>
      <c r="C32" s="69"/>
      <c r="D32" s="69"/>
      <c r="E32" s="69"/>
      <c r="F32" s="69"/>
      <c r="G32" s="69"/>
      <c r="H32" s="69"/>
      <c r="I32" s="69"/>
      <c r="J32" s="69"/>
      <c r="K32" s="69"/>
      <c r="L32" s="56"/>
      <c r="M32" s="56"/>
      <c r="Q32" s="477"/>
    </row>
    <row r="33" spans="1:17" ht="11.25" customHeight="1">
      <c r="A33" s="56"/>
      <c r="B33" s="56"/>
      <c r="C33" s="69"/>
      <c r="D33" s="69"/>
      <c r="E33" s="69"/>
      <c r="F33" s="69"/>
      <c r="G33" s="69"/>
      <c r="H33" s="69"/>
      <c r="I33" s="69"/>
      <c r="J33" s="69"/>
      <c r="K33" s="69"/>
      <c r="L33" s="56"/>
      <c r="M33" s="56"/>
      <c r="Q33" s="477"/>
    </row>
    <row r="34" spans="1:17" ht="11.25" customHeight="1">
      <c r="A34" s="56"/>
      <c r="B34" s="56"/>
      <c r="C34" s="69"/>
      <c r="D34" s="69"/>
      <c r="E34" s="69"/>
      <c r="F34" s="69"/>
      <c r="G34" s="69"/>
      <c r="H34" s="69"/>
      <c r="I34" s="69"/>
      <c r="J34" s="69"/>
      <c r="K34" s="69"/>
      <c r="L34" s="56"/>
      <c r="M34" s="56"/>
      <c r="Q34" s="477"/>
    </row>
    <row r="35" spans="1:17" ht="11.25" customHeight="1">
      <c r="A35" s="70"/>
      <c r="B35" s="70"/>
      <c r="C35" s="71"/>
      <c r="D35" s="71"/>
      <c r="E35" s="71"/>
      <c r="F35" s="71"/>
      <c r="G35" s="71"/>
      <c r="H35" s="71"/>
      <c r="I35" s="71"/>
      <c r="J35" s="70"/>
      <c r="K35" s="70"/>
      <c r="L35" s="70"/>
      <c r="M35" s="70"/>
      <c r="Q35" s="477"/>
    </row>
    <row r="36" spans="1:17" ht="11.25" customHeight="1">
      <c r="A36" s="70"/>
      <c r="B36" s="70"/>
      <c r="C36" s="71"/>
      <c r="D36" s="71"/>
      <c r="E36" s="71"/>
      <c r="F36" s="71"/>
      <c r="G36" s="71"/>
      <c r="H36" s="71"/>
      <c r="I36" s="71"/>
      <c r="J36" s="70"/>
      <c r="K36" s="70"/>
      <c r="L36" s="70"/>
      <c r="M36" s="70"/>
      <c r="Q36" s="477"/>
    </row>
    <row r="37" spans="1:17" ht="11.25" customHeight="1">
      <c r="A37" s="70"/>
      <c r="B37" s="70"/>
      <c r="C37" s="71"/>
      <c r="D37" s="71"/>
      <c r="E37" s="71"/>
      <c r="F37" s="71"/>
      <c r="G37" s="71"/>
      <c r="H37" s="71"/>
      <c r="I37" s="71"/>
      <c r="J37" s="70"/>
      <c r="K37" s="70"/>
      <c r="L37" s="70"/>
      <c r="M37" s="70"/>
      <c r="N37" s="430"/>
      <c r="O37" s="477"/>
      <c r="P37" s="477"/>
      <c r="Q37" s="477"/>
    </row>
    <row r="38" spans="1:17" ht="11.25" customHeight="1">
      <c r="A38" s="70"/>
      <c r="B38" s="70"/>
      <c r="C38" s="71"/>
      <c r="D38" s="71"/>
      <c r="E38" s="71"/>
      <c r="F38" s="71"/>
      <c r="G38" s="71"/>
      <c r="H38" s="71"/>
      <c r="I38" s="71"/>
      <c r="J38" s="70"/>
      <c r="K38" s="70"/>
      <c r="L38" s="70"/>
      <c r="M38" s="70"/>
      <c r="N38" s="430"/>
      <c r="O38" s="477"/>
      <c r="P38" s="477"/>
      <c r="Q38" s="477"/>
    </row>
    <row r="39" spans="1:17" ht="11.25" customHeight="1">
      <c r="A39" s="70"/>
      <c r="B39" s="70"/>
      <c r="C39" s="71"/>
      <c r="D39" s="71"/>
      <c r="E39" s="71"/>
      <c r="F39" s="71"/>
      <c r="G39" s="71"/>
      <c r="H39" s="71"/>
      <c r="I39" s="71"/>
      <c r="J39" s="70"/>
      <c r="K39" s="70"/>
      <c r="L39" s="70"/>
      <c r="M39" s="70"/>
      <c r="N39" s="430"/>
      <c r="O39" s="477"/>
      <c r="P39" s="477"/>
      <c r="Q39" s="477"/>
    </row>
    <row r="40" spans="1:17" ht="11.25" customHeight="1">
      <c r="A40" s="70"/>
      <c r="B40" s="70"/>
      <c r="C40" s="71"/>
      <c r="D40" s="71"/>
      <c r="E40" s="71"/>
      <c r="F40" s="71"/>
      <c r="G40" s="71"/>
      <c r="H40" s="71"/>
      <c r="I40" s="71"/>
      <c r="J40" s="70"/>
      <c r="K40" s="70"/>
      <c r="L40" s="70"/>
      <c r="M40" s="70"/>
      <c r="N40" s="430"/>
      <c r="O40" s="477"/>
      <c r="P40" s="477"/>
      <c r="Q40" s="477"/>
    </row>
    <row r="41" spans="1:17" ht="11.25" customHeight="1">
      <c r="A41" s="70"/>
      <c r="B41" s="70"/>
      <c r="C41" s="70"/>
      <c r="D41" s="71"/>
      <c r="E41" s="71"/>
      <c r="F41" s="71"/>
      <c r="G41" s="71"/>
      <c r="H41" s="70"/>
      <c r="I41" s="70"/>
      <c r="J41" s="70"/>
      <c r="K41" s="70"/>
      <c r="L41" s="70"/>
      <c r="M41" s="70"/>
      <c r="N41" s="430"/>
      <c r="O41" s="477"/>
      <c r="P41" s="477"/>
      <c r="Q41" s="477"/>
    </row>
    <row r="42" spans="1:17" ht="11.25" customHeight="1">
      <c r="A42" s="70"/>
      <c r="B42" s="70"/>
      <c r="C42" s="71"/>
      <c r="D42" s="71"/>
      <c r="E42" s="71"/>
      <c r="F42" s="71"/>
      <c r="G42" s="71"/>
      <c r="H42" s="71"/>
      <c r="I42" s="71"/>
      <c r="J42" s="70"/>
      <c r="K42" s="70"/>
      <c r="L42" s="70"/>
      <c r="M42" s="70"/>
      <c r="N42" s="430"/>
      <c r="O42" s="477"/>
      <c r="P42" s="477"/>
      <c r="Q42" s="477"/>
    </row>
    <row r="43" spans="1:17" ht="11.25" customHeight="1">
      <c r="A43" s="70"/>
      <c r="B43" s="70"/>
      <c r="C43" s="71"/>
      <c r="D43" s="71"/>
      <c r="E43" s="71"/>
      <c r="F43" s="71"/>
      <c r="G43" s="71"/>
      <c r="H43" s="71"/>
      <c r="I43" s="71"/>
      <c r="J43" s="70"/>
      <c r="K43" s="70"/>
      <c r="L43" s="70"/>
      <c r="M43" s="70"/>
      <c r="N43" s="430"/>
      <c r="O43" s="477"/>
      <c r="P43" s="477"/>
      <c r="Q43" s="477"/>
    </row>
    <row r="44" spans="1:17" ht="11.25" customHeight="1">
      <c r="A44" s="70"/>
      <c r="B44" s="70"/>
      <c r="C44" s="71"/>
      <c r="D44" s="71"/>
      <c r="E44" s="71"/>
      <c r="F44" s="71"/>
      <c r="G44" s="71"/>
      <c r="H44" s="71"/>
      <c r="I44" s="71"/>
      <c r="J44" s="70"/>
      <c r="K44" s="70"/>
      <c r="L44" s="70"/>
      <c r="M44" s="70"/>
      <c r="N44" s="430"/>
      <c r="O44" s="477"/>
      <c r="P44" s="477"/>
      <c r="Q44" s="477"/>
    </row>
    <row r="45" spans="1:17" ht="11.25" customHeight="1">
      <c r="A45" s="70"/>
      <c r="B45" s="70"/>
      <c r="C45" s="71"/>
      <c r="D45" s="71"/>
      <c r="E45" s="71"/>
      <c r="F45" s="71"/>
      <c r="G45" s="71"/>
      <c r="H45" s="71"/>
      <c r="I45" s="71"/>
      <c r="J45" s="70"/>
      <c r="K45" s="70"/>
      <c r="L45" s="70"/>
      <c r="M45" s="70"/>
      <c r="N45" s="430"/>
      <c r="O45" s="477"/>
      <c r="P45" s="477"/>
      <c r="Q45" s="477"/>
    </row>
    <row r="46" spans="1:17" ht="11.25" customHeight="1">
      <c r="A46" s="70"/>
      <c r="B46" s="70"/>
      <c r="C46" s="70"/>
      <c r="D46" s="70"/>
      <c r="E46" s="70"/>
      <c r="F46" s="70"/>
      <c r="G46" s="70"/>
      <c r="H46" s="70"/>
      <c r="I46" s="70"/>
      <c r="J46" s="70"/>
      <c r="K46" s="70"/>
      <c r="L46" s="70"/>
      <c r="M46" s="70"/>
      <c r="N46" s="430"/>
      <c r="O46" s="477"/>
      <c r="P46" s="477"/>
      <c r="Q46" s="477"/>
    </row>
    <row r="47" spans="1:17" ht="16.5" customHeight="1">
      <c r="A47" s="70"/>
      <c r="B47" s="884" t="str">
        <f>"Total = "&amp;TEXT(ROUND(SUM(O23:O29),2),"0 000,00")&amp;" GWh"</f>
        <v>Total = 4 143,36 GWh</v>
      </c>
      <c r="C47" s="884"/>
      <c r="D47" s="884"/>
      <c r="E47" s="884"/>
      <c r="F47" s="70"/>
      <c r="G47" s="70"/>
      <c r="H47" s="883" t="str">
        <f>"Total = "&amp;TEXT(ROUND(SUM(P23:P29),2),"0 000,00")&amp;" GWh"</f>
        <v>Total = 4 013,13 GWh</v>
      </c>
      <c r="I47" s="883"/>
      <c r="J47" s="883"/>
      <c r="K47" s="883"/>
      <c r="L47" s="70"/>
      <c r="M47" s="70"/>
      <c r="N47" s="430"/>
      <c r="O47" s="477"/>
      <c r="P47" s="477"/>
      <c r="Q47" s="477"/>
    </row>
    <row r="48" spans="1:17" ht="11.25" customHeight="1">
      <c r="H48" s="70"/>
      <c r="I48" s="70"/>
      <c r="J48" s="70"/>
      <c r="K48" s="70"/>
      <c r="L48" s="70"/>
      <c r="M48" s="70"/>
      <c r="N48" s="430"/>
      <c r="O48" s="477"/>
      <c r="P48" s="477"/>
      <c r="Q48" s="477"/>
    </row>
    <row r="49" spans="1:17" ht="11.25" customHeight="1">
      <c r="B49" s="880" t="str">
        <f>"Gráfico 1: Comparación de producción mensual de electricidad en "&amp;Q4&amp;" por tipo de recurso energético."</f>
        <v>Gráfico 1: Comparación de producción mensual de electricidad en setiembre por tipo de recurso energético.</v>
      </c>
      <c r="C49" s="880"/>
      <c r="D49" s="880"/>
      <c r="E49" s="880"/>
      <c r="F49" s="880"/>
      <c r="G49" s="880"/>
      <c r="H49" s="880"/>
      <c r="I49" s="880"/>
      <c r="J49" s="880"/>
      <c r="K49" s="880"/>
      <c r="L49" s="880"/>
      <c r="M49" s="317"/>
      <c r="N49" s="433"/>
      <c r="O49" s="477"/>
      <c r="P49" s="477"/>
      <c r="Q49" s="477"/>
    </row>
    <row r="50" spans="1:17" ht="11.25" customHeight="1">
      <c r="A50" s="70"/>
      <c r="B50" s="70"/>
      <c r="C50" s="57"/>
      <c r="D50" s="57"/>
      <c r="E50" s="70"/>
      <c r="F50" s="70"/>
      <c r="G50" s="70"/>
      <c r="H50" s="70"/>
      <c r="I50" s="70"/>
      <c r="J50" s="70"/>
      <c r="K50" s="70"/>
      <c r="L50" s="70"/>
      <c r="M50" s="70"/>
      <c r="N50" s="430"/>
      <c r="O50" s="477"/>
      <c r="P50" s="477"/>
      <c r="Q50" s="477"/>
    </row>
    <row r="51" spans="1:17" ht="11.25" customHeight="1">
      <c r="A51" s="70"/>
      <c r="B51" s="70"/>
      <c r="C51" s="70"/>
      <c r="D51" s="70"/>
      <c r="E51" s="70"/>
      <c r="F51" s="70"/>
      <c r="G51" s="70"/>
      <c r="H51" s="70"/>
      <c r="I51" s="70"/>
      <c r="J51" s="70"/>
      <c r="K51" s="70"/>
      <c r="L51" s="70"/>
      <c r="M51" s="70"/>
      <c r="N51" s="430"/>
      <c r="O51" s="477"/>
      <c r="P51" s="477"/>
      <c r="Q51" s="477"/>
    </row>
    <row r="52" spans="1:17" ht="11.25" customHeight="1">
      <c r="A52" s="70"/>
      <c r="B52" s="70"/>
      <c r="C52" s="70"/>
      <c r="D52" s="70"/>
      <c r="E52" s="70"/>
      <c r="F52" s="70"/>
      <c r="G52" s="70"/>
      <c r="H52" s="70"/>
      <c r="I52" s="70"/>
      <c r="J52" s="70"/>
      <c r="K52" s="70"/>
      <c r="L52" s="70"/>
      <c r="M52" s="70"/>
      <c r="N52" s="430"/>
      <c r="O52" s="477"/>
      <c r="P52" s="477"/>
      <c r="Q52" s="477"/>
    </row>
    <row r="53" spans="1:17" ht="11.25" customHeight="1">
      <c r="A53" s="70"/>
      <c r="B53" s="70"/>
      <c r="C53" s="70"/>
      <c r="D53" s="70"/>
      <c r="E53" s="70"/>
      <c r="F53" s="70"/>
      <c r="G53" s="70"/>
      <c r="H53" s="70"/>
      <c r="I53" s="70"/>
      <c r="J53" s="70"/>
      <c r="K53" s="70"/>
      <c r="L53" s="70"/>
      <c r="M53" s="70"/>
      <c r="N53" s="430"/>
      <c r="O53" s="477"/>
      <c r="P53" s="477"/>
      <c r="Q53" s="477"/>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Setiembre 2018
INFSGI-MES-09-2018
11/10/2018
Versión: 01</oddHeader>
    <oddFooter>&amp;LCOES,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43"/>
  <sheetViews>
    <sheetView showGridLines="0" view="pageBreakPreview" zoomScale="145" zoomScaleNormal="100" zoomScaleSheetLayoutView="145" zoomScalePageLayoutView="145" workbookViewId="0">
      <selection activeCell="M27" sqref="M27"/>
    </sheetView>
  </sheetViews>
  <sheetFormatPr defaultRowHeight="9"/>
  <cols>
    <col min="1" max="1" width="16.1640625" style="406" customWidth="1"/>
    <col min="2" max="2" width="19.6640625" style="406" customWidth="1"/>
    <col min="3" max="3" width="12.1640625" style="406" bestFit="1" customWidth="1"/>
    <col min="4" max="4" width="47.1640625" style="406" customWidth="1"/>
    <col min="5" max="5" width="11.5" style="406" customWidth="1"/>
    <col min="6" max="6" width="10.5" style="406" customWidth="1"/>
    <col min="7" max="8" width="9.33203125" style="406" customWidth="1"/>
    <col min="9" max="10" width="9.33203125" style="406"/>
    <col min="11" max="16384" width="9.33203125" style="415"/>
  </cols>
  <sheetData>
    <row r="1" spans="1:9" s="406" customFormat="1" ht="30" customHeight="1">
      <c r="A1" s="843" t="s">
        <v>284</v>
      </c>
      <c r="B1" s="844" t="s">
        <v>464</v>
      </c>
      <c r="C1" s="843" t="s">
        <v>453</v>
      </c>
      <c r="D1" s="845" t="s">
        <v>465</v>
      </c>
      <c r="E1" s="846" t="s">
        <v>466</v>
      </c>
      <c r="F1" s="846" t="s">
        <v>467</v>
      </c>
      <c r="G1" s="396"/>
      <c r="H1" s="407"/>
      <c r="I1" s="394"/>
    </row>
    <row r="2" spans="1:9" s="406" customFormat="1" ht="102.75" customHeight="1">
      <c r="A2" s="421" t="s">
        <v>594</v>
      </c>
      <c r="B2" s="421" t="s">
        <v>697</v>
      </c>
      <c r="C2" s="422">
        <v>43358.472916666666</v>
      </c>
      <c r="D2" s="557" t="s">
        <v>698</v>
      </c>
      <c r="E2" s="423">
        <v>42.43</v>
      </c>
      <c r="F2" s="423"/>
      <c r="G2" s="395"/>
      <c r="H2" s="395"/>
      <c r="I2" s="412"/>
    </row>
    <row r="3" spans="1:9" s="406" customFormat="1" ht="86.25" customHeight="1">
      <c r="A3" s="421" t="s">
        <v>470</v>
      </c>
      <c r="B3" s="421" t="s">
        <v>699</v>
      </c>
      <c r="C3" s="422">
        <v>43358.557638888888</v>
      </c>
      <c r="D3" s="557" t="s">
        <v>700</v>
      </c>
      <c r="E3" s="423">
        <v>1.27</v>
      </c>
      <c r="F3" s="423"/>
      <c r="G3" s="395"/>
      <c r="H3" s="395"/>
      <c r="I3" s="410"/>
    </row>
    <row r="4" spans="1:9" s="406" customFormat="1" ht="77.25" customHeight="1">
      <c r="A4" s="421" t="s">
        <v>469</v>
      </c>
      <c r="B4" s="421" t="s">
        <v>683</v>
      </c>
      <c r="C4" s="422">
        <v>43358.686111111114</v>
      </c>
      <c r="D4" s="557" t="s">
        <v>701</v>
      </c>
      <c r="E4" s="423">
        <v>5.37</v>
      </c>
      <c r="F4" s="423"/>
      <c r="G4" s="395"/>
      <c r="H4" s="395"/>
      <c r="I4" s="410"/>
    </row>
    <row r="5" spans="1:9" s="406" customFormat="1" ht="82.5" customHeight="1">
      <c r="A5" s="421" t="s">
        <v>469</v>
      </c>
      <c r="B5" s="421" t="s">
        <v>683</v>
      </c>
      <c r="C5" s="422">
        <v>43358.741666666669</v>
      </c>
      <c r="D5" s="557" t="s">
        <v>702</v>
      </c>
      <c r="E5" s="423">
        <v>3.59</v>
      </c>
      <c r="F5" s="423"/>
      <c r="G5" s="395"/>
      <c r="H5" s="395"/>
      <c r="I5" s="410"/>
    </row>
    <row r="6" spans="1:9" s="406" customFormat="1" ht="88.5" customHeight="1">
      <c r="A6" s="421" t="s">
        <v>469</v>
      </c>
      <c r="B6" s="421" t="s">
        <v>703</v>
      </c>
      <c r="C6" s="422">
        <v>43358.825694444444</v>
      </c>
      <c r="D6" s="557" t="s">
        <v>704</v>
      </c>
      <c r="E6" s="423">
        <v>5.76</v>
      </c>
      <c r="F6" s="423"/>
      <c r="G6" s="395"/>
      <c r="H6" s="395"/>
      <c r="I6" s="410"/>
    </row>
    <row r="7" spans="1:9" s="406" customFormat="1" ht="114" customHeight="1">
      <c r="A7" s="421" t="s">
        <v>595</v>
      </c>
      <c r="B7" s="421" t="s">
        <v>705</v>
      </c>
      <c r="C7" s="422">
        <v>43359.829861111109</v>
      </c>
      <c r="D7" s="557" t="s">
        <v>706</v>
      </c>
      <c r="E7" s="423">
        <v>71.760000000000005</v>
      </c>
      <c r="F7" s="423"/>
      <c r="G7" s="395"/>
      <c r="H7" s="397"/>
      <c r="I7" s="410"/>
    </row>
    <row r="8" spans="1:9" ht="70.5" customHeight="1">
      <c r="A8" s="421" t="s">
        <v>707</v>
      </c>
      <c r="B8" s="421" t="s">
        <v>708</v>
      </c>
      <c r="C8" s="422">
        <v>43359.829861111109</v>
      </c>
      <c r="D8" s="557" t="s">
        <v>709</v>
      </c>
      <c r="E8" s="423">
        <v>64</v>
      </c>
      <c r="F8" s="423"/>
    </row>
    <row r="9" spans="1:9" ht="85.5" customHeight="1">
      <c r="A9" s="421" t="s">
        <v>95</v>
      </c>
      <c r="B9" s="421" t="s">
        <v>710</v>
      </c>
      <c r="C9" s="422">
        <v>43360.73541666667</v>
      </c>
      <c r="D9" s="557" t="s">
        <v>711</v>
      </c>
      <c r="E9" s="423">
        <v>2.5</v>
      </c>
      <c r="F9" s="423"/>
    </row>
    <row r="10" spans="1:9">
      <c r="E10" s="416"/>
      <c r="F10" s="416"/>
    </row>
    <row r="11" spans="1:9">
      <c r="E11" s="416"/>
      <c r="F11" s="416"/>
    </row>
    <row r="12" spans="1:9">
      <c r="E12" s="416"/>
      <c r="F12" s="416"/>
    </row>
    <row r="13" spans="1:9">
      <c r="E13" s="416"/>
      <c r="F13" s="416"/>
    </row>
    <row r="14" spans="1:9">
      <c r="E14" s="416"/>
      <c r="F14" s="416"/>
    </row>
    <row r="15" spans="1:9">
      <c r="E15" s="416"/>
      <c r="F15" s="416"/>
    </row>
    <row r="16" spans="1:9">
      <c r="E16" s="416"/>
      <c r="F16" s="416"/>
    </row>
    <row r="17" spans="5:6">
      <c r="E17" s="416"/>
      <c r="F17" s="416"/>
    </row>
    <row r="18" spans="5:6">
      <c r="E18" s="416"/>
      <c r="F18" s="416"/>
    </row>
    <row r="19" spans="5:6">
      <c r="E19" s="416"/>
      <c r="F19" s="416"/>
    </row>
    <row r="20" spans="5:6">
      <c r="E20" s="416"/>
      <c r="F20" s="416"/>
    </row>
    <row r="21" spans="5:6">
      <c r="E21" s="416"/>
      <c r="F21" s="416"/>
    </row>
    <row r="22" spans="5:6">
      <c r="E22" s="416"/>
      <c r="F22" s="416"/>
    </row>
    <row r="23" spans="5:6">
      <c r="E23" s="416"/>
      <c r="F23" s="416"/>
    </row>
    <row r="24" spans="5:6">
      <c r="E24" s="416"/>
      <c r="F24" s="416"/>
    </row>
    <row r="25" spans="5:6">
      <c r="E25" s="416"/>
      <c r="F25" s="416"/>
    </row>
    <row r="26" spans="5:6">
      <c r="E26" s="416"/>
      <c r="F26" s="416"/>
    </row>
    <row r="27" spans="5:6">
      <c r="E27" s="416"/>
      <c r="F27" s="416"/>
    </row>
    <row r="28" spans="5:6">
      <c r="E28" s="416"/>
      <c r="F28" s="416"/>
    </row>
    <row r="29" spans="5:6">
      <c r="E29" s="416"/>
      <c r="F29" s="416"/>
    </row>
    <row r="30" spans="5:6">
      <c r="E30" s="416"/>
      <c r="F30" s="416"/>
    </row>
    <row r="31" spans="5:6">
      <c r="E31" s="416"/>
      <c r="F31" s="416"/>
    </row>
    <row r="32" spans="5:6">
      <c r="E32" s="416"/>
      <c r="F32" s="416"/>
    </row>
    <row r="33" spans="5:6">
      <c r="E33" s="416"/>
      <c r="F33" s="416"/>
    </row>
    <row r="34" spans="5:6">
      <c r="E34" s="416"/>
      <c r="F34" s="416"/>
    </row>
    <row r="35" spans="5:6">
      <c r="E35" s="416"/>
      <c r="F35" s="416"/>
    </row>
    <row r="36" spans="5:6">
      <c r="E36" s="416"/>
      <c r="F36" s="416"/>
    </row>
    <row r="37" spans="5:6">
      <c r="E37" s="416"/>
      <c r="F37" s="416"/>
    </row>
    <row r="38" spans="5:6">
      <c r="E38" s="416"/>
      <c r="F38" s="416"/>
    </row>
    <row r="39" spans="5:6">
      <c r="E39" s="416"/>
      <c r="F39" s="416"/>
    </row>
    <row r="40" spans="5:6">
      <c r="E40" s="416"/>
      <c r="F40" s="416"/>
    </row>
    <row r="41" spans="5:6">
      <c r="E41" s="416"/>
      <c r="F41" s="416"/>
    </row>
    <row r="42" spans="5:6">
      <c r="E42" s="416"/>
      <c r="F42" s="416"/>
    </row>
    <row r="43" spans="5:6">
      <c r="E43" s="416"/>
      <c r="F43" s="416"/>
    </row>
    <row r="44" spans="5:6">
      <c r="E44" s="416"/>
      <c r="F44" s="416"/>
    </row>
    <row r="45" spans="5:6">
      <c r="E45" s="416"/>
      <c r="F45" s="416"/>
    </row>
    <row r="46" spans="5:6">
      <c r="E46" s="416"/>
      <c r="F46" s="416"/>
    </row>
    <row r="47" spans="5:6">
      <c r="E47" s="416"/>
      <c r="F47" s="416"/>
    </row>
    <row r="48" spans="5:6">
      <c r="E48" s="416"/>
      <c r="F48" s="416"/>
    </row>
    <row r="49" spans="5:6">
      <c r="E49" s="416"/>
      <c r="F49" s="416"/>
    </row>
    <row r="50" spans="5:6">
      <c r="E50" s="416"/>
      <c r="F50" s="416"/>
    </row>
    <row r="51" spans="5:6">
      <c r="E51" s="416"/>
      <c r="F51" s="416"/>
    </row>
    <row r="52" spans="5:6">
      <c r="E52" s="416"/>
      <c r="F52" s="416"/>
    </row>
    <row r="53" spans="5:6">
      <c r="E53" s="416"/>
      <c r="F53" s="416"/>
    </row>
    <row r="54" spans="5:6">
      <c r="E54" s="416"/>
      <c r="F54" s="416"/>
    </row>
    <row r="55" spans="5:6">
      <c r="E55" s="416"/>
      <c r="F55" s="416"/>
    </row>
    <row r="56" spans="5:6">
      <c r="E56" s="416"/>
      <c r="F56" s="416"/>
    </row>
    <row r="57" spans="5:6">
      <c r="E57" s="416"/>
      <c r="F57" s="416"/>
    </row>
    <row r="58" spans="5:6">
      <c r="E58" s="416"/>
      <c r="F58" s="416"/>
    </row>
    <row r="59" spans="5:6">
      <c r="E59" s="416"/>
      <c r="F59" s="416"/>
    </row>
    <row r="60" spans="5:6">
      <c r="E60" s="416"/>
      <c r="F60" s="416"/>
    </row>
    <row r="61" spans="5:6">
      <c r="E61" s="416"/>
      <c r="F61" s="416"/>
    </row>
    <row r="62" spans="5:6">
      <c r="E62" s="416"/>
      <c r="F62" s="416"/>
    </row>
    <row r="63" spans="5:6">
      <c r="E63" s="416"/>
      <c r="F63" s="416"/>
    </row>
    <row r="64" spans="5:6">
      <c r="E64" s="416"/>
      <c r="F64" s="416"/>
    </row>
    <row r="65" spans="5:6">
      <c r="E65" s="416"/>
      <c r="F65" s="416"/>
    </row>
    <row r="66" spans="5:6">
      <c r="E66" s="416"/>
      <c r="F66" s="416"/>
    </row>
    <row r="67" spans="5:6">
      <c r="E67" s="416"/>
      <c r="F67" s="416"/>
    </row>
    <row r="68" spans="5:6">
      <c r="E68" s="416"/>
      <c r="F68" s="416"/>
    </row>
    <row r="69" spans="5:6">
      <c r="E69" s="416"/>
      <c r="F69" s="416"/>
    </row>
    <row r="70" spans="5:6">
      <c r="E70" s="416"/>
      <c r="F70" s="416"/>
    </row>
    <row r="71" spans="5:6">
      <c r="E71" s="416"/>
      <c r="F71" s="416"/>
    </row>
    <row r="72" spans="5:6">
      <c r="E72" s="416"/>
      <c r="F72" s="416"/>
    </row>
    <row r="73" spans="5:6">
      <c r="E73" s="416"/>
      <c r="F73" s="416"/>
    </row>
    <row r="74" spans="5:6">
      <c r="E74" s="416"/>
      <c r="F74" s="416"/>
    </row>
    <row r="75" spans="5:6">
      <c r="E75" s="416"/>
      <c r="F75" s="416"/>
    </row>
    <row r="76" spans="5:6">
      <c r="E76" s="416"/>
      <c r="F76" s="416"/>
    </row>
    <row r="77" spans="5:6">
      <c r="E77" s="416"/>
      <c r="F77" s="416"/>
    </row>
    <row r="78" spans="5:6">
      <c r="E78" s="416"/>
      <c r="F78" s="416"/>
    </row>
    <row r="79" spans="5:6">
      <c r="E79" s="416"/>
      <c r="F79" s="416"/>
    </row>
    <row r="80" spans="5:6">
      <c r="E80" s="416"/>
      <c r="F80" s="416"/>
    </row>
    <row r="81" spans="5:6">
      <c r="E81" s="416"/>
      <c r="F81" s="416"/>
    </row>
    <row r="82" spans="5:6">
      <c r="E82" s="416"/>
      <c r="F82" s="416"/>
    </row>
    <row r="83" spans="5:6">
      <c r="E83" s="416"/>
      <c r="F83" s="416"/>
    </row>
    <row r="84" spans="5:6">
      <c r="E84" s="416"/>
      <c r="F84" s="416"/>
    </row>
    <row r="85" spans="5:6">
      <c r="E85" s="416"/>
      <c r="F85" s="416"/>
    </row>
    <row r="86" spans="5:6">
      <c r="E86" s="416"/>
      <c r="F86" s="416"/>
    </row>
    <row r="87" spans="5:6">
      <c r="E87" s="416"/>
      <c r="F87" s="416"/>
    </row>
    <row r="88" spans="5:6">
      <c r="E88" s="416"/>
      <c r="F88" s="416"/>
    </row>
    <row r="89" spans="5:6">
      <c r="E89" s="416"/>
      <c r="F89" s="416"/>
    </row>
    <row r="90" spans="5:6">
      <c r="E90" s="416"/>
      <c r="F90" s="416"/>
    </row>
    <row r="91" spans="5:6">
      <c r="E91" s="416"/>
      <c r="F91" s="416"/>
    </row>
    <row r="92" spans="5:6">
      <c r="E92" s="416"/>
      <c r="F92" s="416"/>
    </row>
    <row r="93" spans="5:6">
      <c r="E93" s="416"/>
      <c r="F93" s="416"/>
    </row>
    <row r="94" spans="5:6">
      <c r="E94" s="416"/>
      <c r="F94" s="416"/>
    </row>
    <row r="95" spans="5:6">
      <c r="E95" s="416"/>
      <c r="F95" s="416"/>
    </row>
    <row r="96" spans="5:6">
      <c r="E96" s="416"/>
      <c r="F96" s="416"/>
    </row>
    <row r="97" spans="5:6">
      <c r="E97" s="416"/>
      <c r="F97" s="416"/>
    </row>
    <row r="98" spans="5:6">
      <c r="E98" s="416"/>
      <c r="F98" s="416"/>
    </row>
    <row r="99" spans="5:6">
      <c r="E99" s="416"/>
      <c r="F99" s="416"/>
    </row>
    <row r="100" spans="5:6">
      <c r="E100" s="416"/>
      <c r="F100" s="416"/>
    </row>
    <row r="101" spans="5:6">
      <c r="E101" s="416"/>
      <c r="F101" s="416"/>
    </row>
    <row r="102" spans="5:6">
      <c r="E102" s="416"/>
      <c r="F102" s="416"/>
    </row>
    <row r="103" spans="5:6">
      <c r="E103" s="416"/>
      <c r="F103" s="416"/>
    </row>
    <row r="104" spans="5:6">
      <c r="E104" s="416"/>
      <c r="F104" s="416"/>
    </row>
    <row r="105" spans="5:6">
      <c r="E105" s="416"/>
      <c r="F105" s="416"/>
    </row>
    <row r="106" spans="5:6">
      <c r="E106" s="416"/>
      <c r="F106" s="416"/>
    </row>
    <row r="107" spans="5:6">
      <c r="E107" s="416"/>
      <c r="F107" s="416"/>
    </row>
    <row r="108" spans="5:6">
      <c r="E108" s="416"/>
      <c r="F108" s="416"/>
    </row>
    <row r="109" spans="5:6">
      <c r="E109" s="416"/>
      <c r="F109" s="416"/>
    </row>
    <row r="110" spans="5:6">
      <c r="E110" s="416"/>
      <c r="F110" s="416"/>
    </row>
    <row r="111" spans="5:6">
      <c r="E111" s="416"/>
      <c r="F111" s="416"/>
    </row>
    <row r="112" spans="5:6">
      <c r="E112" s="416"/>
      <c r="F112" s="416"/>
    </row>
    <row r="113" spans="5:6">
      <c r="E113" s="416"/>
      <c r="F113" s="416"/>
    </row>
    <row r="114" spans="5:6">
      <c r="E114" s="416"/>
      <c r="F114" s="416"/>
    </row>
    <row r="115" spans="5:6">
      <c r="E115" s="416"/>
      <c r="F115" s="416"/>
    </row>
    <row r="116" spans="5:6">
      <c r="E116" s="416"/>
      <c r="F116" s="416"/>
    </row>
    <row r="117" spans="5:6">
      <c r="E117" s="416"/>
      <c r="F117" s="416"/>
    </row>
    <row r="118" spans="5:6">
      <c r="E118" s="416"/>
      <c r="F118" s="416"/>
    </row>
    <row r="119" spans="5:6">
      <c r="E119" s="416"/>
      <c r="F119" s="416"/>
    </row>
    <row r="120" spans="5:6">
      <c r="E120" s="416"/>
      <c r="F120" s="416"/>
    </row>
    <row r="121" spans="5:6">
      <c r="E121" s="416"/>
      <c r="F121" s="416"/>
    </row>
    <row r="122" spans="5:6">
      <c r="E122" s="416"/>
      <c r="F122" s="416"/>
    </row>
    <row r="123" spans="5:6">
      <c r="E123" s="416"/>
      <c r="F123" s="416"/>
    </row>
    <row r="124" spans="5:6">
      <c r="E124" s="416"/>
      <c r="F124" s="416"/>
    </row>
    <row r="125" spans="5:6">
      <c r="E125" s="416"/>
      <c r="F125" s="416"/>
    </row>
    <row r="126" spans="5:6">
      <c r="E126" s="416"/>
      <c r="F126" s="416"/>
    </row>
    <row r="127" spans="5:6">
      <c r="E127" s="416"/>
      <c r="F127" s="416"/>
    </row>
    <row r="128" spans="5:6">
      <c r="E128" s="416"/>
      <c r="F128" s="416"/>
    </row>
    <row r="129" spans="5:6">
      <c r="E129" s="416"/>
      <c r="F129" s="416"/>
    </row>
    <row r="130" spans="5:6">
      <c r="E130" s="416"/>
      <c r="F130" s="416"/>
    </row>
    <row r="131" spans="5:6">
      <c r="E131" s="416"/>
      <c r="F131" s="416"/>
    </row>
    <row r="132" spans="5:6">
      <c r="E132" s="416"/>
      <c r="F132" s="416"/>
    </row>
    <row r="133" spans="5:6">
      <c r="E133" s="416"/>
      <c r="F133" s="416"/>
    </row>
    <row r="134" spans="5:6">
      <c r="E134" s="416"/>
      <c r="F134" s="416"/>
    </row>
    <row r="135" spans="5:6">
      <c r="E135" s="416"/>
      <c r="F135" s="416"/>
    </row>
    <row r="136" spans="5:6">
      <c r="E136" s="416"/>
      <c r="F136" s="416"/>
    </row>
    <row r="137" spans="5:6">
      <c r="E137" s="416"/>
      <c r="F137" s="416"/>
    </row>
    <row r="138" spans="5:6">
      <c r="E138" s="416"/>
      <c r="F138" s="416"/>
    </row>
    <row r="139" spans="5:6">
      <c r="E139" s="416"/>
      <c r="F139" s="416"/>
    </row>
    <row r="140" spans="5:6">
      <c r="E140" s="416"/>
      <c r="F140" s="416"/>
    </row>
    <row r="141" spans="5:6">
      <c r="E141" s="416"/>
      <c r="F141" s="416"/>
    </row>
    <row r="142" spans="5:6">
      <c r="E142" s="416"/>
      <c r="F142" s="416"/>
    </row>
    <row r="143" spans="5:6">
      <c r="E143" s="416"/>
      <c r="F143" s="416"/>
    </row>
  </sheetData>
  <pageMargins left="0.7" right="0.51432291666666663" top="0.86956521739130432" bottom="0.61458333333333337" header="0.3" footer="0.3"/>
  <pageSetup orientation="portrait" r:id="rId1"/>
  <headerFooter>
    <oddHeader>&amp;R&amp;7Informe de la Operación Mensual - Setiembre 2018
INFSGI-MES-09-2018
11/10/2018
Versión: 01</oddHeader>
    <oddFooter>&amp;L&amp;7COES, 2018&amp;C28&amp;R&amp;7Dirección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49"/>
  <sheetViews>
    <sheetView showGridLines="0" view="pageBreakPreview" zoomScale="145" zoomScaleNormal="100" zoomScaleSheetLayoutView="145" zoomScalePageLayoutView="145" workbookViewId="0">
      <selection activeCell="M27" sqref="M27"/>
    </sheetView>
  </sheetViews>
  <sheetFormatPr defaultRowHeight="9"/>
  <cols>
    <col min="1" max="1" width="16.1640625" style="406" customWidth="1"/>
    <col min="2" max="2" width="19.6640625" style="406" customWidth="1"/>
    <col min="3" max="3" width="12.1640625" style="406" bestFit="1" customWidth="1"/>
    <col min="4" max="4" width="47.1640625" style="406" customWidth="1"/>
    <col min="5" max="5" width="11.5" style="406" customWidth="1"/>
    <col min="6" max="6" width="10.5" style="406" customWidth="1"/>
    <col min="7" max="8" width="9.33203125" style="406" customWidth="1"/>
    <col min="9" max="10" width="9.33203125" style="406"/>
    <col min="11" max="16384" width="9.33203125" style="415"/>
  </cols>
  <sheetData>
    <row r="1" spans="1:9" s="406" customFormat="1" ht="30" customHeight="1">
      <c r="A1" s="843" t="s">
        <v>284</v>
      </c>
      <c r="B1" s="844" t="s">
        <v>464</v>
      </c>
      <c r="C1" s="843" t="s">
        <v>453</v>
      </c>
      <c r="D1" s="845" t="s">
        <v>465</v>
      </c>
      <c r="E1" s="846" t="s">
        <v>466</v>
      </c>
      <c r="F1" s="846" t="s">
        <v>467</v>
      </c>
      <c r="G1" s="396"/>
      <c r="H1" s="407"/>
      <c r="I1" s="394"/>
    </row>
    <row r="2" spans="1:9" s="406" customFormat="1" ht="75.75" customHeight="1">
      <c r="A2" s="421" t="s">
        <v>469</v>
      </c>
      <c r="B2" s="421" t="s">
        <v>683</v>
      </c>
      <c r="C2" s="422">
        <v>43361.575694444444</v>
      </c>
      <c r="D2" s="557" t="s">
        <v>712</v>
      </c>
      <c r="E2" s="423">
        <v>7.9</v>
      </c>
      <c r="F2" s="423"/>
      <c r="G2" s="395"/>
      <c r="H2" s="397"/>
      <c r="I2" s="410"/>
    </row>
    <row r="3" spans="1:9" s="406" customFormat="1" ht="117.75" customHeight="1">
      <c r="A3" s="421" t="s">
        <v>470</v>
      </c>
      <c r="B3" s="421" t="s">
        <v>713</v>
      </c>
      <c r="C3" s="422">
        <v>43362.974999999999</v>
      </c>
      <c r="D3" s="557" t="s">
        <v>714</v>
      </c>
      <c r="E3" s="423">
        <v>60.4</v>
      </c>
      <c r="F3" s="423"/>
      <c r="G3" s="395"/>
      <c r="H3" s="397"/>
      <c r="I3" s="410"/>
    </row>
    <row r="4" spans="1:9" s="406" customFormat="1" ht="102" customHeight="1">
      <c r="A4" s="421" t="s">
        <v>106</v>
      </c>
      <c r="B4" s="421" t="s">
        <v>715</v>
      </c>
      <c r="C4" s="422">
        <v>43362.990972222222</v>
      </c>
      <c r="D4" s="557" t="s">
        <v>716</v>
      </c>
      <c r="E4" s="423">
        <v>0.75</v>
      </c>
      <c r="F4" s="423"/>
      <c r="G4" s="395"/>
      <c r="H4" s="397"/>
      <c r="I4" s="410"/>
    </row>
    <row r="5" spans="1:9" s="406" customFormat="1" ht="73.5" customHeight="1">
      <c r="A5" s="421" t="s">
        <v>95</v>
      </c>
      <c r="B5" s="421" t="s">
        <v>717</v>
      </c>
      <c r="C5" s="422">
        <v>43364.584027777775</v>
      </c>
      <c r="D5" s="557" t="s">
        <v>718</v>
      </c>
      <c r="E5" s="423">
        <v>1</v>
      </c>
      <c r="F5" s="423"/>
      <c r="G5" s="395"/>
      <c r="H5" s="397"/>
      <c r="I5" s="410"/>
    </row>
    <row r="6" spans="1:9" s="406" customFormat="1" ht="79.5" customHeight="1">
      <c r="A6" s="421" t="s">
        <v>593</v>
      </c>
      <c r="B6" s="421" t="s">
        <v>651</v>
      </c>
      <c r="C6" s="422">
        <v>43364.649305555555</v>
      </c>
      <c r="D6" s="557" t="s">
        <v>719</v>
      </c>
      <c r="E6" s="423">
        <v>0.7</v>
      </c>
      <c r="F6" s="423"/>
      <c r="G6" s="395"/>
      <c r="H6" s="397"/>
      <c r="I6" s="413"/>
    </row>
    <row r="7" spans="1:9" s="406" customFormat="1" ht="63.75" customHeight="1">
      <c r="A7" s="421" t="s">
        <v>469</v>
      </c>
      <c r="B7" s="421" t="s">
        <v>674</v>
      </c>
      <c r="C7" s="422">
        <v>43364.698611111111</v>
      </c>
      <c r="D7" s="557" t="s">
        <v>720</v>
      </c>
      <c r="E7" s="423">
        <v>0.76</v>
      </c>
      <c r="F7" s="423"/>
      <c r="G7" s="395"/>
      <c r="H7" s="397"/>
      <c r="I7" s="410"/>
    </row>
    <row r="8" spans="1:9" ht="108.75" customHeight="1">
      <c r="A8" s="421" t="s">
        <v>471</v>
      </c>
      <c r="B8" s="421" t="s">
        <v>721</v>
      </c>
      <c r="C8" s="422">
        <v>43367.455555555556</v>
      </c>
      <c r="D8" s="557" t="s">
        <v>722</v>
      </c>
      <c r="E8" s="423"/>
      <c r="F8" s="423">
        <v>15.85</v>
      </c>
    </row>
    <row r="9" spans="1:9" ht="89.25" customHeight="1">
      <c r="A9" s="421" t="s">
        <v>593</v>
      </c>
      <c r="B9" s="421" t="s">
        <v>651</v>
      </c>
      <c r="C9" s="422">
        <v>43368.6</v>
      </c>
      <c r="D9" s="557" t="s">
        <v>723</v>
      </c>
      <c r="E9" s="423">
        <v>2.15</v>
      </c>
      <c r="F9" s="423"/>
    </row>
    <row r="10" spans="1:9" ht="13.5" customHeight="1">
      <c r="A10" s="414"/>
      <c r="B10" s="414"/>
      <c r="C10" s="414"/>
      <c r="D10" s="414"/>
      <c r="E10" s="413"/>
      <c r="F10" s="413"/>
    </row>
    <row r="11" spans="1:9" ht="13.5" customHeight="1">
      <c r="A11" s="414"/>
      <c r="B11" s="414"/>
      <c r="C11" s="414"/>
      <c r="D11" s="414"/>
      <c r="E11" s="413"/>
      <c r="F11" s="413"/>
    </row>
    <row r="12" spans="1:9" ht="13.5" customHeight="1">
      <c r="A12" s="414"/>
      <c r="B12" s="414"/>
      <c r="C12" s="414"/>
      <c r="D12" s="414"/>
      <c r="E12" s="413"/>
      <c r="F12" s="413"/>
    </row>
    <row r="13" spans="1:9" ht="13.5" customHeight="1">
      <c r="A13" s="414"/>
      <c r="B13" s="414"/>
      <c r="C13" s="414"/>
      <c r="D13" s="414"/>
      <c r="E13" s="413"/>
      <c r="F13" s="413"/>
    </row>
    <row r="14" spans="1:9">
      <c r="A14" s="414"/>
      <c r="B14" s="414"/>
      <c r="C14" s="414"/>
      <c r="D14" s="414"/>
      <c r="E14" s="413"/>
      <c r="F14" s="413"/>
    </row>
    <row r="15" spans="1:9">
      <c r="A15" s="414"/>
      <c r="B15" s="414"/>
      <c r="C15" s="414"/>
      <c r="D15" s="414"/>
      <c r="E15" s="413"/>
      <c r="F15" s="413"/>
    </row>
    <row r="16" spans="1:9">
      <c r="A16" s="414"/>
      <c r="B16" s="414"/>
      <c r="C16" s="414"/>
      <c r="D16" s="414"/>
      <c r="E16" s="413"/>
      <c r="F16" s="413"/>
    </row>
    <row r="17" spans="1:6">
      <c r="A17" s="414"/>
      <c r="B17" s="414"/>
      <c r="C17" s="414"/>
      <c r="D17" s="414"/>
      <c r="E17" s="413"/>
      <c r="F17" s="413"/>
    </row>
    <row r="18" spans="1:6">
      <c r="A18" s="414"/>
      <c r="B18" s="414"/>
      <c r="C18" s="414"/>
      <c r="D18" s="414"/>
      <c r="E18" s="413"/>
      <c r="F18" s="413"/>
    </row>
    <row r="19" spans="1:6">
      <c r="A19" s="414"/>
      <c r="B19" s="414"/>
      <c r="C19" s="414"/>
      <c r="D19" s="414"/>
      <c r="E19" s="413"/>
      <c r="F19" s="413"/>
    </row>
    <row r="20" spans="1:6">
      <c r="E20" s="416"/>
      <c r="F20" s="416"/>
    </row>
    <row r="21" spans="1:6">
      <c r="E21" s="416"/>
      <c r="F21" s="416"/>
    </row>
    <row r="22" spans="1:6">
      <c r="E22" s="416"/>
      <c r="F22" s="416"/>
    </row>
    <row r="23" spans="1:6">
      <c r="E23" s="416"/>
      <c r="F23" s="416"/>
    </row>
    <row r="24" spans="1:6">
      <c r="E24" s="416"/>
      <c r="F24" s="416"/>
    </row>
    <row r="25" spans="1:6">
      <c r="E25" s="416"/>
      <c r="F25" s="416"/>
    </row>
    <row r="26" spans="1:6">
      <c r="E26" s="416"/>
      <c r="F26" s="416"/>
    </row>
    <row r="27" spans="1:6">
      <c r="E27" s="416"/>
      <c r="F27" s="416"/>
    </row>
    <row r="28" spans="1:6">
      <c r="E28" s="416"/>
      <c r="F28" s="416"/>
    </row>
    <row r="29" spans="1:6">
      <c r="E29" s="416"/>
      <c r="F29" s="416"/>
    </row>
    <row r="30" spans="1:6">
      <c r="E30" s="416"/>
      <c r="F30" s="416"/>
    </row>
    <row r="31" spans="1:6">
      <c r="E31" s="416"/>
      <c r="F31" s="416"/>
    </row>
    <row r="32" spans="1:6">
      <c r="E32" s="416"/>
      <c r="F32" s="416"/>
    </row>
    <row r="33" spans="5:6">
      <c r="E33" s="416"/>
      <c r="F33" s="416"/>
    </row>
    <row r="34" spans="5:6">
      <c r="E34" s="416"/>
      <c r="F34" s="416"/>
    </row>
    <row r="35" spans="5:6">
      <c r="E35" s="416"/>
      <c r="F35" s="416"/>
    </row>
    <row r="36" spans="5:6">
      <c r="E36" s="416"/>
      <c r="F36" s="416"/>
    </row>
    <row r="37" spans="5:6">
      <c r="E37" s="416"/>
      <c r="F37" s="416"/>
    </row>
    <row r="38" spans="5:6">
      <c r="E38" s="416"/>
      <c r="F38" s="416"/>
    </row>
    <row r="39" spans="5:6">
      <c r="E39" s="416"/>
      <c r="F39" s="416"/>
    </row>
    <row r="40" spans="5:6">
      <c r="E40" s="416"/>
      <c r="F40" s="416"/>
    </row>
    <row r="41" spans="5:6">
      <c r="E41" s="416"/>
      <c r="F41" s="416"/>
    </row>
    <row r="42" spans="5:6">
      <c r="E42" s="416"/>
      <c r="F42" s="416"/>
    </row>
    <row r="43" spans="5:6">
      <c r="E43" s="416"/>
      <c r="F43" s="416"/>
    </row>
    <row r="44" spans="5:6">
      <c r="E44" s="416"/>
      <c r="F44" s="416"/>
    </row>
    <row r="45" spans="5:6">
      <c r="E45" s="416"/>
      <c r="F45" s="416"/>
    </row>
    <row r="46" spans="5:6">
      <c r="E46" s="416"/>
      <c r="F46" s="416"/>
    </row>
    <row r="47" spans="5:6">
      <c r="E47" s="416"/>
      <c r="F47" s="416"/>
    </row>
    <row r="48" spans="5:6">
      <c r="E48" s="416"/>
      <c r="F48" s="416"/>
    </row>
    <row r="49" spans="5:6">
      <c r="E49" s="416"/>
      <c r="F49" s="416"/>
    </row>
    <row r="50" spans="5:6">
      <c r="E50" s="416"/>
      <c r="F50" s="416"/>
    </row>
    <row r="51" spans="5:6">
      <c r="E51" s="416"/>
      <c r="F51" s="416"/>
    </row>
    <row r="52" spans="5:6">
      <c r="E52" s="416"/>
      <c r="F52" s="416"/>
    </row>
    <row r="53" spans="5:6">
      <c r="E53" s="416"/>
      <c r="F53" s="416"/>
    </row>
    <row r="54" spans="5:6">
      <c r="E54" s="416"/>
      <c r="F54" s="416"/>
    </row>
    <row r="55" spans="5:6">
      <c r="E55" s="416"/>
      <c r="F55" s="416"/>
    </row>
    <row r="56" spans="5:6">
      <c r="E56" s="416"/>
      <c r="F56" s="416"/>
    </row>
    <row r="57" spans="5:6">
      <c r="E57" s="416"/>
      <c r="F57" s="416"/>
    </row>
    <row r="58" spans="5:6">
      <c r="E58" s="416"/>
      <c r="F58" s="416"/>
    </row>
    <row r="59" spans="5:6">
      <c r="E59" s="416"/>
      <c r="F59" s="416"/>
    </row>
    <row r="60" spans="5:6">
      <c r="E60" s="416"/>
      <c r="F60" s="416"/>
    </row>
    <row r="61" spans="5:6">
      <c r="E61" s="416"/>
      <c r="F61" s="416"/>
    </row>
    <row r="62" spans="5:6">
      <c r="E62" s="416"/>
      <c r="F62" s="416"/>
    </row>
    <row r="63" spans="5:6">
      <c r="E63" s="416"/>
      <c r="F63" s="416"/>
    </row>
    <row r="64" spans="5:6">
      <c r="E64" s="416"/>
      <c r="F64" s="416"/>
    </row>
    <row r="65" spans="5:6">
      <c r="E65" s="416"/>
      <c r="F65" s="416"/>
    </row>
    <row r="66" spans="5:6">
      <c r="E66" s="416"/>
      <c r="F66" s="416"/>
    </row>
    <row r="67" spans="5:6">
      <c r="E67" s="416"/>
      <c r="F67" s="416"/>
    </row>
    <row r="68" spans="5:6">
      <c r="E68" s="416"/>
      <c r="F68" s="416"/>
    </row>
    <row r="69" spans="5:6">
      <c r="E69" s="416"/>
      <c r="F69" s="416"/>
    </row>
    <row r="70" spans="5:6">
      <c r="E70" s="416"/>
      <c r="F70" s="416"/>
    </row>
    <row r="71" spans="5:6">
      <c r="E71" s="416"/>
      <c r="F71" s="416"/>
    </row>
    <row r="72" spans="5:6">
      <c r="E72" s="416"/>
      <c r="F72" s="416"/>
    </row>
    <row r="73" spans="5:6">
      <c r="E73" s="416"/>
      <c r="F73" s="416"/>
    </row>
    <row r="74" spans="5:6">
      <c r="E74" s="416"/>
      <c r="F74" s="416"/>
    </row>
    <row r="75" spans="5:6">
      <c r="E75" s="416"/>
      <c r="F75" s="416"/>
    </row>
    <row r="76" spans="5:6">
      <c r="E76" s="416"/>
      <c r="F76" s="416"/>
    </row>
    <row r="77" spans="5:6">
      <c r="E77" s="416"/>
      <c r="F77" s="416"/>
    </row>
    <row r="78" spans="5:6">
      <c r="E78" s="416"/>
      <c r="F78" s="416"/>
    </row>
    <row r="79" spans="5:6">
      <c r="E79" s="416"/>
      <c r="F79" s="416"/>
    </row>
    <row r="80" spans="5:6">
      <c r="E80" s="416"/>
      <c r="F80" s="416"/>
    </row>
    <row r="81" spans="5:6">
      <c r="E81" s="416"/>
      <c r="F81" s="416"/>
    </row>
    <row r="82" spans="5:6">
      <c r="E82" s="416"/>
      <c r="F82" s="416"/>
    </row>
    <row r="83" spans="5:6">
      <c r="E83" s="416"/>
      <c r="F83" s="416"/>
    </row>
    <row r="84" spans="5:6">
      <c r="E84" s="416"/>
      <c r="F84" s="416"/>
    </row>
    <row r="85" spans="5:6">
      <c r="E85" s="416"/>
      <c r="F85" s="416"/>
    </row>
    <row r="86" spans="5:6">
      <c r="E86" s="416"/>
      <c r="F86" s="416"/>
    </row>
    <row r="87" spans="5:6">
      <c r="E87" s="416"/>
      <c r="F87" s="416"/>
    </row>
    <row r="88" spans="5:6">
      <c r="E88" s="416"/>
      <c r="F88" s="416"/>
    </row>
    <row r="89" spans="5:6">
      <c r="E89" s="416"/>
      <c r="F89" s="416"/>
    </row>
    <row r="90" spans="5:6">
      <c r="E90" s="416"/>
      <c r="F90" s="416"/>
    </row>
    <row r="91" spans="5:6">
      <c r="E91" s="416"/>
      <c r="F91" s="416"/>
    </row>
    <row r="92" spans="5:6">
      <c r="E92" s="416"/>
      <c r="F92" s="416"/>
    </row>
    <row r="93" spans="5:6">
      <c r="E93" s="416"/>
      <c r="F93" s="416"/>
    </row>
    <row r="94" spans="5:6">
      <c r="E94" s="416"/>
      <c r="F94" s="416"/>
    </row>
    <row r="95" spans="5:6">
      <c r="E95" s="416"/>
      <c r="F95" s="416"/>
    </row>
    <row r="96" spans="5:6">
      <c r="E96" s="416"/>
      <c r="F96" s="416"/>
    </row>
    <row r="97" spans="5:6">
      <c r="E97" s="416"/>
      <c r="F97" s="416"/>
    </row>
    <row r="98" spans="5:6">
      <c r="E98" s="416"/>
      <c r="F98" s="416"/>
    </row>
    <row r="99" spans="5:6">
      <c r="E99" s="416"/>
      <c r="F99" s="416"/>
    </row>
    <row r="100" spans="5:6">
      <c r="E100" s="416"/>
      <c r="F100" s="416"/>
    </row>
    <row r="101" spans="5:6">
      <c r="E101" s="416"/>
      <c r="F101" s="416"/>
    </row>
    <row r="102" spans="5:6">
      <c r="E102" s="416"/>
      <c r="F102" s="416"/>
    </row>
    <row r="103" spans="5:6">
      <c r="E103" s="416"/>
      <c r="F103" s="416"/>
    </row>
    <row r="104" spans="5:6">
      <c r="E104" s="416"/>
      <c r="F104" s="416"/>
    </row>
    <row r="105" spans="5:6">
      <c r="E105" s="416"/>
      <c r="F105" s="416"/>
    </row>
    <row r="106" spans="5:6">
      <c r="E106" s="416"/>
      <c r="F106" s="416"/>
    </row>
    <row r="107" spans="5:6">
      <c r="E107" s="416"/>
      <c r="F107" s="416"/>
    </row>
    <row r="108" spans="5:6">
      <c r="E108" s="416"/>
      <c r="F108" s="416"/>
    </row>
    <row r="109" spans="5:6">
      <c r="E109" s="416"/>
      <c r="F109" s="416"/>
    </row>
    <row r="110" spans="5:6">
      <c r="E110" s="416"/>
      <c r="F110" s="416"/>
    </row>
    <row r="111" spans="5:6">
      <c r="E111" s="416"/>
      <c r="F111" s="416"/>
    </row>
    <row r="112" spans="5:6">
      <c r="E112" s="416"/>
      <c r="F112" s="416"/>
    </row>
    <row r="113" spans="5:6">
      <c r="E113" s="416"/>
      <c r="F113" s="416"/>
    </row>
    <row r="114" spans="5:6">
      <c r="E114" s="416"/>
      <c r="F114" s="416"/>
    </row>
    <row r="115" spans="5:6">
      <c r="E115" s="416"/>
      <c r="F115" s="416"/>
    </row>
    <row r="116" spans="5:6">
      <c r="E116" s="416"/>
      <c r="F116" s="416"/>
    </row>
    <row r="117" spans="5:6">
      <c r="E117" s="416"/>
      <c r="F117" s="416"/>
    </row>
    <row r="118" spans="5:6">
      <c r="E118" s="416"/>
      <c r="F118" s="416"/>
    </row>
    <row r="119" spans="5:6">
      <c r="E119" s="416"/>
      <c r="F119" s="416"/>
    </row>
    <row r="120" spans="5:6">
      <c r="E120" s="416"/>
      <c r="F120" s="416"/>
    </row>
    <row r="121" spans="5:6">
      <c r="E121" s="416"/>
      <c r="F121" s="416"/>
    </row>
    <row r="122" spans="5:6">
      <c r="E122" s="416"/>
      <c r="F122" s="416"/>
    </row>
    <row r="123" spans="5:6">
      <c r="E123" s="416"/>
      <c r="F123" s="416"/>
    </row>
    <row r="124" spans="5:6">
      <c r="E124" s="416"/>
      <c r="F124" s="416"/>
    </row>
    <row r="125" spans="5:6">
      <c r="E125" s="416"/>
      <c r="F125" s="416"/>
    </row>
    <row r="126" spans="5:6">
      <c r="E126" s="416"/>
      <c r="F126" s="416"/>
    </row>
    <row r="127" spans="5:6">
      <c r="E127" s="416"/>
      <c r="F127" s="416"/>
    </row>
    <row r="128" spans="5:6">
      <c r="E128" s="416"/>
      <c r="F128" s="416"/>
    </row>
    <row r="129" spans="5:6">
      <c r="E129" s="416"/>
      <c r="F129" s="416"/>
    </row>
    <row r="130" spans="5:6">
      <c r="E130" s="416"/>
      <c r="F130" s="416"/>
    </row>
    <row r="131" spans="5:6">
      <c r="E131" s="416"/>
      <c r="F131" s="416"/>
    </row>
    <row r="132" spans="5:6">
      <c r="E132" s="416"/>
      <c r="F132" s="416"/>
    </row>
    <row r="133" spans="5:6">
      <c r="E133" s="416"/>
      <c r="F133" s="416"/>
    </row>
    <row r="134" spans="5:6">
      <c r="E134" s="416"/>
      <c r="F134" s="416"/>
    </row>
    <row r="135" spans="5:6">
      <c r="E135" s="416"/>
      <c r="F135" s="416"/>
    </row>
    <row r="136" spans="5:6">
      <c r="E136" s="416"/>
      <c r="F136" s="416"/>
    </row>
    <row r="137" spans="5:6">
      <c r="E137" s="416"/>
      <c r="F137" s="416"/>
    </row>
    <row r="138" spans="5:6">
      <c r="E138" s="416"/>
      <c r="F138" s="416"/>
    </row>
    <row r="139" spans="5:6">
      <c r="E139" s="416"/>
      <c r="F139" s="416"/>
    </row>
    <row r="140" spans="5:6">
      <c r="E140" s="416"/>
      <c r="F140" s="416"/>
    </row>
    <row r="141" spans="5:6">
      <c r="E141" s="416"/>
      <c r="F141" s="416"/>
    </row>
    <row r="142" spans="5:6">
      <c r="E142" s="416"/>
      <c r="F142" s="416"/>
    </row>
    <row r="143" spans="5:6">
      <c r="E143" s="416"/>
      <c r="F143" s="416"/>
    </row>
    <row r="144" spans="5:6">
      <c r="E144" s="416"/>
      <c r="F144" s="416"/>
    </row>
    <row r="145" spans="5:6">
      <c r="E145" s="416"/>
      <c r="F145" s="416"/>
    </row>
    <row r="146" spans="5:6">
      <c r="E146" s="416"/>
      <c r="F146" s="416"/>
    </row>
    <row r="147" spans="5:6">
      <c r="E147" s="416"/>
      <c r="F147" s="416"/>
    </row>
    <row r="148" spans="5:6">
      <c r="E148" s="416"/>
      <c r="F148" s="416"/>
    </row>
    <row r="149" spans="5:6">
      <c r="E149" s="416"/>
      <c r="F149" s="416"/>
    </row>
  </sheetData>
  <pageMargins left="0.7" right="0.51432291666666663" top="0.86956521739130432" bottom="0.61458333333333337" header="0.3" footer="0.3"/>
  <pageSetup orientation="portrait" r:id="rId1"/>
  <headerFooter>
    <oddHeader>&amp;R&amp;7Informe de la Operación Mensual - Setiembre 2018
INFSGI-MES-09-2018
11/10/2018
Versión: 01</oddHeader>
    <oddFooter>&amp;L&amp;7COES, 2018&amp;C29&amp;R&amp;7Dirección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sheetPr>
    <tabColor theme="4"/>
  </sheetPr>
  <dimension ref="A1:J145"/>
  <sheetViews>
    <sheetView showGridLines="0" view="pageBreakPreview" zoomScale="145" zoomScaleNormal="100" zoomScaleSheetLayoutView="145" zoomScalePageLayoutView="145" workbookViewId="0">
      <selection activeCell="M27" sqref="M27"/>
    </sheetView>
  </sheetViews>
  <sheetFormatPr defaultRowHeight="9"/>
  <cols>
    <col min="1" max="1" width="16.1640625" style="406" customWidth="1"/>
    <col min="2" max="2" width="19.6640625" style="406" customWidth="1"/>
    <col min="3" max="3" width="12.5" style="406" bestFit="1" customWidth="1"/>
    <col min="4" max="4" width="47.1640625" style="406" customWidth="1"/>
    <col min="5" max="5" width="11.5" style="406" customWidth="1"/>
    <col min="6" max="6" width="10.5" style="406" customWidth="1"/>
    <col min="7" max="8" width="9.33203125" style="406" customWidth="1"/>
    <col min="9" max="10" width="9.33203125" style="406"/>
    <col min="11" max="16384" width="9.33203125" style="415"/>
  </cols>
  <sheetData>
    <row r="1" spans="1:9" s="406" customFormat="1" ht="30" customHeight="1">
      <c r="A1" s="843" t="s">
        <v>284</v>
      </c>
      <c r="B1" s="844" t="s">
        <v>464</v>
      </c>
      <c r="C1" s="843" t="s">
        <v>453</v>
      </c>
      <c r="D1" s="845" t="s">
        <v>465</v>
      </c>
      <c r="E1" s="846" t="s">
        <v>466</v>
      </c>
      <c r="F1" s="846" t="s">
        <v>467</v>
      </c>
      <c r="G1" s="396"/>
      <c r="H1" s="407"/>
      <c r="I1" s="394"/>
    </row>
    <row r="2" spans="1:9" s="406" customFormat="1" ht="80.25" customHeight="1">
      <c r="A2" s="421" t="s">
        <v>469</v>
      </c>
      <c r="B2" s="421" t="s">
        <v>683</v>
      </c>
      <c r="C2" s="422">
        <v>43368.636805555558</v>
      </c>
      <c r="D2" s="557" t="s">
        <v>724</v>
      </c>
      <c r="E2" s="423">
        <v>6.57</v>
      </c>
      <c r="F2" s="423"/>
      <c r="G2" s="395"/>
      <c r="H2" s="397"/>
      <c r="I2" s="410"/>
    </row>
    <row r="3" spans="1:9" s="406" customFormat="1" ht="124.5" customHeight="1">
      <c r="A3" s="421" t="s">
        <v>106</v>
      </c>
      <c r="B3" s="421" t="s">
        <v>715</v>
      </c>
      <c r="C3" s="422">
        <v>43368.787499999999</v>
      </c>
      <c r="D3" s="557" t="s">
        <v>725</v>
      </c>
      <c r="E3" s="423">
        <v>1.2</v>
      </c>
      <c r="F3" s="423"/>
      <c r="G3" s="395"/>
      <c r="H3" s="397"/>
      <c r="I3" s="410"/>
    </row>
    <row r="4" spans="1:9" s="406" customFormat="1" ht="81" customHeight="1">
      <c r="A4" s="421" t="s">
        <v>593</v>
      </c>
      <c r="B4" s="421" t="s">
        <v>651</v>
      </c>
      <c r="C4" s="422">
        <v>43369.696527777778</v>
      </c>
      <c r="D4" s="557" t="s">
        <v>726</v>
      </c>
      <c r="E4" s="423">
        <v>2.37</v>
      </c>
      <c r="F4" s="423"/>
      <c r="G4" s="395"/>
      <c r="H4" s="397"/>
      <c r="I4" s="410"/>
    </row>
    <row r="5" spans="1:9" s="406" customFormat="1" ht="190.5" customHeight="1">
      <c r="A5" s="421" t="s">
        <v>685</v>
      </c>
      <c r="B5" s="421" t="s">
        <v>727</v>
      </c>
      <c r="C5" s="422">
        <v>43370.594444444447</v>
      </c>
      <c r="D5" s="557" t="s">
        <v>728</v>
      </c>
      <c r="E5" s="423">
        <v>5.61</v>
      </c>
      <c r="F5" s="423"/>
      <c r="G5" s="395"/>
      <c r="H5" s="397"/>
      <c r="I5" s="414"/>
    </row>
    <row r="6" spans="1:9" s="406" customFormat="1" ht="81.75" customHeight="1">
      <c r="A6" s="421" t="s">
        <v>469</v>
      </c>
      <c r="B6" s="421" t="s">
        <v>683</v>
      </c>
      <c r="C6" s="422">
        <v>43371.55</v>
      </c>
      <c r="D6" s="557" t="s">
        <v>729</v>
      </c>
      <c r="E6" s="423">
        <v>8.2799999999999994</v>
      </c>
      <c r="F6" s="423"/>
      <c r="G6" s="395"/>
      <c r="H6" s="397"/>
    </row>
    <row r="7" spans="1:9" s="406" customFormat="1" ht="89.25" customHeight="1">
      <c r="A7" s="421" t="s">
        <v>730</v>
      </c>
      <c r="B7" s="421" t="s">
        <v>731</v>
      </c>
      <c r="C7" s="422">
        <v>43371.602083333331</v>
      </c>
      <c r="D7" s="557" t="s">
        <v>732</v>
      </c>
      <c r="E7" s="423">
        <v>5.23</v>
      </c>
      <c r="F7" s="423"/>
      <c r="G7" s="395"/>
      <c r="H7" s="397"/>
    </row>
    <row r="8" spans="1:9" s="406" customFormat="1">
      <c r="A8" s="609"/>
      <c r="B8" s="609"/>
      <c r="C8" s="610"/>
      <c r="D8" s="611"/>
      <c r="E8" s="612"/>
      <c r="F8" s="612"/>
    </row>
    <row r="9" spans="1:9" s="406" customFormat="1">
      <c r="A9" s="609"/>
      <c r="B9" s="609"/>
      <c r="C9" s="610"/>
      <c r="D9" s="611"/>
      <c r="E9" s="612"/>
      <c r="F9" s="612"/>
    </row>
    <row r="10" spans="1:9" s="406" customFormat="1">
      <c r="A10" s="609"/>
      <c r="B10" s="609"/>
      <c r="C10" s="610"/>
      <c r="D10" s="611"/>
      <c r="E10" s="612"/>
      <c r="F10" s="612"/>
    </row>
    <row r="11" spans="1:9" s="406" customFormat="1">
      <c r="A11" s="609"/>
      <c r="B11" s="609"/>
      <c r="C11" s="610"/>
      <c r="D11" s="611"/>
      <c r="E11" s="612"/>
      <c r="F11" s="612"/>
    </row>
    <row r="12" spans="1:9" s="406" customFormat="1">
      <c r="A12" s="609"/>
      <c r="B12" s="609"/>
      <c r="C12" s="610"/>
      <c r="D12" s="611"/>
      <c r="E12" s="612"/>
      <c r="F12" s="612"/>
    </row>
    <row r="13" spans="1:9" s="406" customFormat="1">
      <c r="E13" s="416"/>
      <c r="F13" s="416"/>
    </row>
    <row r="14" spans="1:9" s="406" customFormat="1">
      <c r="E14" s="416"/>
      <c r="F14" s="416"/>
    </row>
    <row r="15" spans="1:9" s="406" customFormat="1">
      <c r="E15" s="416"/>
      <c r="F15" s="416"/>
    </row>
    <row r="16" spans="1:9" s="406" customFormat="1">
      <c r="E16" s="416"/>
      <c r="F16" s="416"/>
    </row>
    <row r="17" spans="5:6" s="406" customFormat="1">
      <c r="E17" s="416"/>
      <c r="F17" s="416"/>
    </row>
    <row r="18" spans="5:6" s="406" customFormat="1">
      <c r="E18" s="416"/>
      <c r="F18" s="416"/>
    </row>
    <row r="19" spans="5:6" s="406" customFormat="1">
      <c r="E19" s="416"/>
      <c r="F19" s="416"/>
    </row>
    <row r="20" spans="5:6" s="406" customFormat="1">
      <c r="E20" s="416"/>
      <c r="F20" s="416"/>
    </row>
    <row r="21" spans="5:6" s="406" customFormat="1">
      <c r="E21" s="416"/>
      <c r="F21" s="416"/>
    </row>
    <row r="22" spans="5:6" s="406" customFormat="1">
      <c r="E22" s="416"/>
      <c r="F22" s="416"/>
    </row>
    <row r="23" spans="5:6" s="406" customFormat="1">
      <c r="E23" s="416"/>
      <c r="F23" s="416"/>
    </row>
    <row r="24" spans="5:6" s="406" customFormat="1">
      <c r="E24" s="416"/>
      <c r="F24" s="416"/>
    </row>
    <row r="25" spans="5:6" s="406" customFormat="1">
      <c r="E25" s="416"/>
      <c r="F25" s="416"/>
    </row>
    <row r="26" spans="5:6" s="406" customFormat="1">
      <c r="E26" s="416"/>
      <c r="F26" s="416"/>
    </row>
    <row r="27" spans="5:6" s="406" customFormat="1">
      <c r="E27" s="416"/>
      <c r="F27" s="416"/>
    </row>
    <row r="28" spans="5:6" s="406" customFormat="1">
      <c r="E28" s="416"/>
      <c r="F28" s="416"/>
    </row>
    <row r="29" spans="5:6" s="406" customFormat="1">
      <c r="E29" s="416"/>
      <c r="F29" s="416"/>
    </row>
    <row r="30" spans="5:6" s="406" customFormat="1">
      <c r="E30" s="416"/>
      <c r="F30" s="416"/>
    </row>
    <row r="31" spans="5:6" s="406" customFormat="1">
      <c r="E31" s="416"/>
      <c r="F31" s="416"/>
    </row>
    <row r="32" spans="5:6" s="406" customFormat="1">
      <c r="E32" s="416"/>
      <c r="F32" s="416"/>
    </row>
    <row r="33" spans="5:6" s="406" customFormat="1">
      <c r="E33" s="416"/>
      <c r="F33" s="416"/>
    </row>
    <row r="34" spans="5:6" s="406" customFormat="1">
      <c r="E34" s="416"/>
      <c r="F34" s="416"/>
    </row>
    <row r="35" spans="5:6" s="406" customFormat="1">
      <c r="E35" s="416"/>
      <c r="F35" s="416"/>
    </row>
    <row r="36" spans="5:6" s="406" customFormat="1">
      <c r="E36" s="416"/>
      <c r="F36" s="416"/>
    </row>
    <row r="37" spans="5:6" s="406" customFormat="1">
      <c r="E37" s="416"/>
      <c r="F37" s="416"/>
    </row>
    <row r="38" spans="5:6" s="406" customFormat="1">
      <c r="E38" s="416"/>
      <c r="F38" s="416"/>
    </row>
    <row r="39" spans="5:6" s="406" customFormat="1">
      <c r="E39" s="416"/>
      <c r="F39" s="416"/>
    </row>
    <row r="40" spans="5:6" s="406" customFormat="1">
      <c r="E40" s="416"/>
      <c r="F40" s="416"/>
    </row>
    <row r="41" spans="5:6" s="406" customFormat="1">
      <c r="E41" s="416"/>
      <c r="F41" s="416"/>
    </row>
    <row r="42" spans="5:6" s="406" customFormat="1">
      <c r="E42" s="416"/>
      <c r="F42" s="416"/>
    </row>
    <row r="43" spans="5:6" s="406" customFormat="1">
      <c r="E43" s="416"/>
      <c r="F43" s="416"/>
    </row>
    <row r="44" spans="5:6" s="406" customFormat="1">
      <c r="E44" s="416"/>
      <c r="F44" s="416"/>
    </row>
    <row r="45" spans="5:6" s="406" customFormat="1">
      <c r="E45" s="416"/>
      <c r="F45" s="416"/>
    </row>
    <row r="46" spans="5:6" s="406" customFormat="1">
      <c r="E46" s="416"/>
      <c r="F46" s="416"/>
    </row>
    <row r="47" spans="5:6" s="406" customFormat="1">
      <c r="E47" s="416"/>
      <c r="F47" s="416"/>
    </row>
    <row r="48" spans="5:6" s="406" customFormat="1">
      <c r="E48" s="416"/>
      <c r="F48" s="416"/>
    </row>
    <row r="49" spans="5:6" s="406" customFormat="1">
      <c r="E49" s="416"/>
      <c r="F49" s="416"/>
    </row>
    <row r="50" spans="5:6" s="406" customFormat="1">
      <c r="E50" s="416"/>
      <c r="F50" s="416"/>
    </row>
    <row r="51" spans="5:6" s="406" customFormat="1">
      <c r="E51" s="416"/>
      <c r="F51" s="416"/>
    </row>
    <row r="52" spans="5:6" s="406" customFormat="1">
      <c r="E52" s="416"/>
      <c r="F52" s="416"/>
    </row>
    <row r="53" spans="5:6" s="406" customFormat="1">
      <c r="E53" s="416"/>
      <c r="F53" s="416"/>
    </row>
    <row r="54" spans="5:6" s="406" customFormat="1">
      <c r="E54" s="416"/>
      <c r="F54" s="416"/>
    </row>
    <row r="55" spans="5:6" s="406" customFormat="1">
      <c r="E55" s="416"/>
      <c r="F55" s="416"/>
    </row>
    <row r="56" spans="5:6" s="406" customFormat="1">
      <c r="E56" s="416"/>
      <c r="F56" s="416"/>
    </row>
    <row r="57" spans="5:6" s="406" customFormat="1">
      <c r="E57" s="416"/>
      <c r="F57" s="416"/>
    </row>
    <row r="58" spans="5:6" s="406" customFormat="1">
      <c r="E58" s="416"/>
      <c r="F58" s="416"/>
    </row>
    <row r="59" spans="5:6" s="406" customFormat="1">
      <c r="E59" s="416"/>
      <c r="F59" s="416"/>
    </row>
    <row r="60" spans="5:6" s="406" customFormat="1">
      <c r="E60" s="416"/>
      <c r="F60" s="416"/>
    </row>
    <row r="61" spans="5:6" s="406" customFormat="1">
      <c r="E61" s="416"/>
      <c r="F61" s="416"/>
    </row>
    <row r="62" spans="5:6" s="406" customFormat="1">
      <c r="E62" s="416"/>
      <c r="F62" s="416"/>
    </row>
    <row r="63" spans="5:6" s="406" customFormat="1">
      <c r="E63" s="416"/>
      <c r="F63" s="416"/>
    </row>
    <row r="64" spans="5:6" s="406" customFormat="1">
      <c r="E64" s="416"/>
      <c r="F64" s="416"/>
    </row>
    <row r="65" spans="5:6" s="406" customFormat="1">
      <c r="E65" s="416"/>
      <c r="F65" s="416"/>
    </row>
    <row r="66" spans="5:6" s="406" customFormat="1">
      <c r="E66" s="416"/>
      <c r="F66" s="416"/>
    </row>
    <row r="67" spans="5:6" s="406" customFormat="1">
      <c r="E67" s="416"/>
      <c r="F67" s="416"/>
    </row>
    <row r="68" spans="5:6" s="406" customFormat="1">
      <c r="E68" s="416"/>
      <c r="F68" s="416"/>
    </row>
    <row r="69" spans="5:6" s="406" customFormat="1">
      <c r="E69" s="416"/>
      <c r="F69" s="416"/>
    </row>
    <row r="70" spans="5:6" s="406" customFormat="1">
      <c r="E70" s="416"/>
      <c r="F70" s="416"/>
    </row>
    <row r="71" spans="5:6" s="406" customFormat="1">
      <c r="E71" s="416"/>
      <c r="F71" s="416"/>
    </row>
    <row r="72" spans="5:6" s="406" customFormat="1">
      <c r="E72" s="416"/>
      <c r="F72" s="416"/>
    </row>
    <row r="73" spans="5:6" s="406" customFormat="1">
      <c r="E73" s="416"/>
      <c r="F73" s="416"/>
    </row>
    <row r="74" spans="5:6" s="406" customFormat="1">
      <c r="E74" s="416"/>
      <c r="F74" s="416"/>
    </row>
    <row r="75" spans="5:6" s="406" customFormat="1">
      <c r="E75" s="416"/>
      <c r="F75" s="416"/>
    </row>
    <row r="76" spans="5:6" s="406" customFormat="1">
      <c r="E76" s="416"/>
      <c r="F76" s="416"/>
    </row>
    <row r="77" spans="5:6" s="406" customFormat="1">
      <c r="E77" s="416"/>
      <c r="F77" s="416"/>
    </row>
    <row r="78" spans="5:6" s="406" customFormat="1">
      <c r="E78" s="416"/>
      <c r="F78" s="416"/>
    </row>
    <row r="79" spans="5:6" s="406" customFormat="1">
      <c r="E79" s="416"/>
      <c r="F79" s="416"/>
    </row>
    <row r="80" spans="5:6" s="406" customFormat="1">
      <c r="E80" s="416"/>
      <c r="F80" s="416"/>
    </row>
    <row r="81" spans="5:6" s="406" customFormat="1">
      <c r="E81" s="416"/>
      <c r="F81" s="416"/>
    </row>
    <row r="82" spans="5:6" s="406" customFormat="1">
      <c r="E82" s="416"/>
      <c r="F82" s="416"/>
    </row>
    <row r="83" spans="5:6" s="406" customFormat="1">
      <c r="E83" s="416"/>
      <c r="F83" s="416"/>
    </row>
    <row r="84" spans="5:6" s="406" customFormat="1">
      <c r="E84" s="416"/>
      <c r="F84" s="416"/>
    </row>
    <row r="85" spans="5:6" s="406" customFormat="1">
      <c r="E85" s="416"/>
      <c r="F85" s="416"/>
    </row>
    <row r="86" spans="5:6" s="406" customFormat="1">
      <c r="E86" s="416"/>
      <c r="F86" s="416"/>
    </row>
    <row r="87" spans="5:6" s="406" customFormat="1">
      <c r="E87" s="416"/>
      <c r="F87" s="416"/>
    </row>
    <row r="88" spans="5:6" s="406" customFormat="1">
      <c r="E88" s="416"/>
      <c r="F88" s="416"/>
    </row>
    <row r="89" spans="5:6" s="406" customFormat="1">
      <c r="E89" s="416"/>
      <c r="F89" s="416"/>
    </row>
    <row r="90" spans="5:6" s="406" customFormat="1">
      <c r="E90" s="416"/>
      <c r="F90" s="416"/>
    </row>
    <row r="91" spans="5:6" s="406" customFormat="1">
      <c r="E91" s="416"/>
      <c r="F91" s="416"/>
    </row>
    <row r="92" spans="5:6" s="406" customFormat="1">
      <c r="E92" s="416"/>
      <c r="F92" s="416"/>
    </row>
    <row r="93" spans="5:6" s="406" customFormat="1">
      <c r="E93" s="416"/>
      <c r="F93" s="416"/>
    </row>
    <row r="94" spans="5:6" s="406" customFormat="1">
      <c r="E94" s="416"/>
      <c r="F94" s="416"/>
    </row>
    <row r="95" spans="5:6" s="406" customFormat="1">
      <c r="E95" s="416"/>
      <c r="F95" s="416"/>
    </row>
    <row r="96" spans="5:6" s="406" customFormat="1">
      <c r="E96" s="416"/>
      <c r="F96" s="416"/>
    </row>
    <row r="97" spans="5:6" s="406" customFormat="1">
      <c r="E97" s="416"/>
      <c r="F97" s="416"/>
    </row>
    <row r="98" spans="5:6" s="406" customFormat="1">
      <c r="E98" s="416"/>
      <c r="F98" s="416"/>
    </row>
    <row r="99" spans="5:6" s="406" customFormat="1">
      <c r="E99" s="416"/>
      <c r="F99" s="416"/>
    </row>
    <row r="100" spans="5:6" s="406" customFormat="1">
      <c r="E100" s="416"/>
      <c r="F100" s="416"/>
    </row>
    <row r="101" spans="5:6" s="406" customFormat="1">
      <c r="E101" s="416"/>
      <c r="F101" s="416"/>
    </row>
    <row r="102" spans="5:6" s="406" customFormat="1">
      <c r="E102" s="416"/>
      <c r="F102" s="416"/>
    </row>
    <row r="103" spans="5:6" s="406" customFormat="1">
      <c r="E103" s="416"/>
      <c r="F103" s="416"/>
    </row>
    <row r="104" spans="5:6" s="406" customFormat="1">
      <c r="E104" s="416"/>
      <c r="F104" s="416"/>
    </row>
    <row r="105" spans="5:6" s="406" customFormat="1">
      <c r="E105" s="416"/>
      <c r="F105" s="416"/>
    </row>
    <row r="106" spans="5:6" s="406" customFormat="1">
      <c r="E106" s="416"/>
      <c r="F106" s="416"/>
    </row>
    <row r="107" spans="5:6" s="406" customFormat="1">
      <c r="E107" s="416"/>
      <c r="F107" s="416"/>
    </row>
    <row r="108" spans="5:6" s="406" customFormat="1">
      <c r="E108" s="416"/>
      <c r="F108" s="416"/>
    </row>
    <row r="109" spans="5:6" s="406" customFormat="1">
      <c r="E109" s="416"/>
      <c r="F109" s="416"/>
    </row>
    <row r="110" spans="5:6" s="406" customFormat="1">
      <c r="E110" s="416"/>
      <c r="F110" s="416"/>
    </row>
    <row r="111" spans="5:6" s="406" customFormat="1">
      <c r="E111" s="416"/>
      <c r="F111" s="416"/>
    </row>
    <row r="112" spans="5:6" s="406" customFormat="1">
      <c r="E112" s="416"/>
      <c r="F112" s="416"/>
    </row>
    <row r="113" spans="5:6" s="406" customFormat="1">
      <c r="E113" s="416"/>
      <c r="F113" s="416"/>
    </row>
    <row r="114" spans="5:6" s="406" customFormat="1">
      <c r="E114" s="416"/>
      <c r="F114" s="416"/>
    </row>
    <row r="115" spans="5:6" s="406" customFormat="1">
      <c r="E115" s="416"/>
      <c r="F115" s="416"/>
    </row>
    <row r="116" spans="5:6" s="406" customFormat="1">
      <c r="E116" s="416"/>
      <c r="F116" s="416"/>
    </row>
    <row r="117" spans="5:6" s="406" customFormat="1">
      <c r="E117" s="416"/>
      <c r="F117" s="416"/>
    </row>
    <row r="118" spans="5:6" s="406" customFormat="1">
      <c r="E118" s="416"/>
      <c r="F118" s="416"/>
    </row>
    <row r="119" spans="5:6" s="406" customFormat="1">
      <c r="E119" s="416"/>
      <c r="F119" s="416"/>
    </row>
    <row r="120" spans="5:6" s="406" customFormat="1">
      <c r="E120" s="416"/>
      <c r="F120" s="416"/>
    </row>
    <row r="121" spans="5:6" s="406" customFormat="1">
      <c r="E121" s="416"/>
      <c r="F121" s="416"/>
    </row>
    <row r="122" spans="5:6" s="406" customFormat="1">
      <c r="E122" s="416"/>
      <c r="F122" s="416"/>
    </row>
    <row r="123" spans="5:6" s="406" customFormat="1">
      <c r="E123" s="416"/>
      <c r="F123" s="416"/>
    </row>
    <row r="124" spans="5:6" s="406" customFormat="1">
      <c r="E124" s="416"/>
      <c r="F124" s="416"/>
    </row>
    <row r="125" spans="5:6" s="406" customFormat="1">
      <c r="E125" s="416"/>
      <c r="F125" s="416"/>
    </row>
    <row r="126" spans="5:6" s="406" customFormat="1">
      <c r="E126" s="416"/>
      <c r="F126" s="416"/>
    </row>
    <row r="127" spans="5:6" s="406" customFormat="1">
      <c r="E127" s="416"/>
      <c r="F127" s="416"/>
    </row>
    <row r="128" spans="5:6" s="406" customFormat="1">
      <c r="E128" s="416"/>
      <c r="F128" s="416"/>
    </row>
    <row r="129" spans="5:6" s="406" customFormat="1">
      <c r="E129" s="416"/>
      <c r="F129" s="416"/>
    </row>
    <row r="130" spans="5:6" s="406" customFormat="1">
      <c r="E130" s="416"/>
      <c r="F130" s="416"/>
    </row>
    <row r="131" spans="5:6" s="406" customFormat="1">
      <c r="E131" s="416"/>
      <c r="F131" s="416"/>
    </row>
    <row r="132" spans="5:6" s="406" customFormat="1">
      <c r="E132" s="416"/>
      <c r="F132" s="416"/>
    </row>
    <row r="133" spans="5:6" s="406" customFormat="1">
      <c r="E133" s="416"/>
      <c r="F133" s="416"/>
    </row>
    <row r="134" spans="5:6" s="406" customFormat="1">
      <c r="E134" s="416"/>
      <c r="F134" s="416"/>
    </row>
    <row r="135" spans="5:6" s="406" customFormat="1">
      <c r="E135" s="416"/>
      <c r="F135" s="416"/>
    </row>
    <row r="136" spans="5:6" s="406" customFormat="1">
      <c r="E136" s="416"/>
      <c r="F136" s="416"/>
    </row>
    <row r="137" spans="5:6" s="406" customFormat="1">
      <c r="E137" s="416"/>
      <c r="F137" s="416"/>
    </row>
    <row r="138" spans="5:6" s="406" customFormat="1">
      <c r="E138" s="416"/>
      <c r="F138" s="416"/>
    </row>
    <row r="139" spans="5:6" s="406" customFormat="1">
      <c r="E139" s="416"/>
      <c r="F139" s="416"/>
    </row>
    <row r="140" spans="5:6" s="406" customFormat="1">
      <c r="E140" s="416"/>
      <c r="F140" s="416"/>
    </row>
    <row r="141" spans="5:6" s="406" customFormat="1">
      <c r="E141" s="416"/>
      <c r="F141" s="416"/>
    </row>
    <row r="142" spans="5:6" s="406" customFormat="1">
      <c r="E142" s="416"/>
      <c r="F142" s="416"/>
    </row>
    <row r="143" spans="5:6" s="406" customFormat="1">
      <c r="E143" s="416"/>
      <c r="F143" s="416"/>
    </row>
    <row r="144" spans="5:6" s="406" customFormat="1">
      <c r="E144" s="416"/>
      <c r="F144" s="416"/>
    </row>
    <row r="145" spans="5:6" s="406" customFormat="1">
      <c r="E145" s="416"/>
      <c r="F145" s="416"/>
    </row>
  </sheetData>
  <pageMargins left="0.7" right="0.51432291666666663" top="0.86956521739130432" bottom="0.61458333333333337" header="0.3" footer="0.3"/>
  <pageSetup orientation="portrait" r:id="rId1"/>
  <headerFooter>
    <oddHeader>&amp;R&amp;7Informe de la Operación Mensual - Setiembre 2018
INFSGI-MES-09-2018
11/10/2018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sheetPr>
    <tabColor theme="4"/>
  </sheetPr>
  <dimension ref="A1:J155"/>
  <sheetViews>
    <sheetView showGridLines="0" view="pageBreakPreview" zoomScale="145" zoomScaleNormal="100" zoomScaleSheetLayoutView="145" zoomScalePageLayoutView="145" workbookViewId="0">
      <selection activeCell="M27" sqref="M27"/>
    </sheetView>
  </sheetViews>
  <sheetFormatPr defaultRowHeight="9"/>
  <cols>
    <col min="1" max="1" width="16.1640625" style="406" customWidth="1"/>
    <col min="2" max="2" width="19.6640625" style="406" customWidth="1"/>
    <col min="3" max="3" width="12.5" style="406" bestFit="1" customWidth="1"/>
    <col min="4" max="4" width="47.1640625" style="406" customWidth="1"/>
    <col min="5" max="5" width="11.5" style="406" customWidth="1"/>
    <col min="6" max="6" width="10.5" style="406" customWidth="1"/>
    <col min="7" max="8" width="9.33203125" style="406" customWidth="1"/>
    <col min="9" max="10" width="9.33203125" style="406"/>
    <col min="11" max="16384" width="9.33203125" style="415"/>
  </cols>
  <sheetData>
    <row r="1" spans="1:9" s="406" customFormat="1" ht="30" customHeight="1">
      <c r="A1" s="843" t="s">
        <v>284</v>
      </c>
      <c r="B1" s="844" t="s">
        <v>464</v>
      </c>
      <c r="C1" s="843" t="s">
        <v>453</v>
      </c>
      <c r="D1" s="845" t="s">
        <v>465</v>
      </c>
      <c r="E1" s="846" t="s">
        <v>466</v>
      </c>
      <c r="F1" s="846" t="s">
        <v>467</v>
      </c>
      <c r="G1" s="396"/>
      <c r="H1" s="407"/>
      <c r="I1" s="394"/>
    </row>
    <row r="2" spans="1:9" s="406" customFormat="1" ht="84" customHeight="1">
      <c r="A2" s="421" t="s">
        <v>469</v>
      </c>
      <c r="B2" s="421" t="s">
        <v>683</v>
      </c>
      <c r="C2" s="422">
        <v>43371.699305555558</v>
      </c>
      <c r="D2" s="557" t="s">
        <v>733</v>
      </c>
      <c r="E2" s="423">
        <v>10.26</v>
      </c>
      <c r="F2" s="423"/>
      <c r="G2" s="395"/>
      <c r="H2" s="397"/>
    </row>
    <row r="3" spans="1:9" s="406" customFormat="1" ht="113.25" customHeight="1">
      <c r="A3" s="421" t="s">
        <v>593</v>
      </c>
      <c r="B3" s="421" t="s">
        <v>734</v>
      </c>
      <c r="C3" s="422">
        <v>43372.649305555555</v>
      </c>
      <c r="D3" s="557" t="s">
        <v>735</v>
      </c>
      <c r="E3" s="423">
        <v>15.89</v>
      </c>
      <c r="F3" s="423"/>
      <c r="G3" s="395"/>
      <c r="H3" s="397"/>
    </row>
    <row r="4" spans="1:9" s="406" customFormat="1" ht="90.75" customHeight="1">
      <c r="A4" s="421" t="s">
        <v>736</v>
      </c>
      <c r="B4" s="421" t="s">
        <v>737</v>
      </c>
      <c r="C4" s="422">
        <v>43372.713888888888</v>
      </c>
      <c r="D4" s="557" t="s">
        <v>738</v>
      </c>
      <c r="E4" s="423">
        <v>14.19</v>
      </c>
      <c r="F4" s="423"/>
      <c r="G4" s="395"/>
      <c r="H4" s="397"/>
    </row>
    <row r="5" spans="1:9" s="406" customFormat="1">
      <c r="E5" s="416"/>
      <c r="F5" s="416"/>
    </row>
    <row r="6" spans="1:9" s="406" customFormat="1">
      <c r="E6" s="416"/>
      <c r="F6" s="416"/>
    </row>
    <row r="7" spans="1:9" s="406" customFormat="1">
      <c r="E7" s="416"/>
      <c r="F7" s="416"/>
    </row>
    <row r="8" spans="1:9" s="406" customFormat="1">
      <c r="E8" s="416"/>
      <c r="F8" s="416"/>
    </row>
    <row r="9" spans="1:9" s="406" customFormat="1">
      <c r="E9" s="416"/>
      <c r="F9" s="416"/>
    </row>
    <row r="10" spans="1:9" s="406" customFormat="1">
      <c r="E10" s="416"/>
      <c r="F10" s="416"/>
    </row>
    <row r="11" spans="1:9" s="406" customFormat="1">
      <c r="E11" s="416"/>
      <c r="F11" s="416"/>
    </row>
    <row r="12" spans="1:9" s="406" customFormat="1">
      <c r="E12" s="416"/>
      <c r="F12" s="416"/>
    </row>
    <row r="13" spans="1:9" s="406" customFormat="1">
      <c r="E13" s="416"/>
      <c r="F13" s="416"/>
    </row>
    <row r="14" spans="1:9" s="406" customFormat="1">
      <c r="E14" s="416"/>
      <c r="F14" s="416"/>
    </row>
    <row r="15" spans="1:9" s="406" customFormat="1">
      <c r="E15" s="416"/>
      <c r="F15" s="416"/>
    </row>
    <row r="16" spans="1:9" s="406" customFormat="1">
      <c r="E16" s="416"/>
      <c r="F16" s="416"/>
    </row>
    <row r="17" spans="5:6" s="406" customFormat="1">
      <c r="E17" s="416"/>
      <c r="F17" s="416"/>
    </row>
    <row r="18" spans="5:6" s="406" customFormat="1">
      <c r="E18" s="416"/>
      <c r="F18" s="416"/>
    </row>
    <row r="19" spans="5:6" s="406" customFormat="1">
      <c r="E19" s="416"/>
      <c r="F19" s="416"/>
    </row>
    <row r="20" spans="5:6" s="406" customFormat="1">
      <c r="E20" s="416"/>
      <c r="F20" s="416"/>
    </row>
    <row r="21" spans="5:6" s="406" customFormat="1">
      <c r="E21" s="416"/>
      <c r="F21" s="416"/>
    </row>
    <row r="22" spans="5:6" s="406" customFormat="1">
      <c r="E22" s="416"/>
      <c r="F22" s="416"/>
    </row>
    <row r="23" spans="5:6" s="406" customFormat="1">
      <c r="E23" s="416"/>
      <c r="F23" s="416"/>
    </row>
    <row r="24" spans="5:6" s="406" customFormat="1">
      <c r="E24" s="416"/>
      <c r="F24" s="416"/>
    </row>
    <row r="25" spans="5:6" s="406" customFormat="1">
      <c r="E25" s="416"/>
      <c r="F25" s="416"/>
    </row>
    <row r="26" spans="5:6" s="406" customFormat="1">
      <c r="E26" s="416"/>
      <c r="F26" s="416"/>
    </row>
    <row r="27" spans="5:6" s="406" customFormat="1">
      <c r="E27" s="416"/>
      <c r="F27" s="416"/>
    </row>
    <row r="28" spans="5:6" s="406" customFormat="1">
      <c r="E28" s="416"/>
      <c r="F28" s="416"/>
    </row>
    <row r="29" spans="5:6" s="406" customFormat="1">
      <c r="E29" s="416"/>
      <c r="F29" s="416"/>
    </row>
    <row r="30" spans="5:6" s="406" customFormat="1">
      <c r="E30" s="416"/>
      <c r="F30" s="416"/>
    </row>
    <row r="31" spans="5:6" s="406" customFormat="1">
      <c r="E31" s="416"/>
      <c r="F31" s="416"/>
    </row>
    <row r="32" spans="5:6" s="406" customFormat="1">
      <c r="E32" s="416"/>
      <c r="F32" s="416"/>
    </row>
    <row r="33" spans="5:6" s="406" customFormat="1">
      <c r="E33" s="416"/>
      <c r="F33" s="416"/>
    </row>
    <row r="34" spans="5:6" s="406" customFormat="1">
      <c r="E34" s="416"/>
      <c r="F34" s="416"/>
    </row>
    <row r="35" spans="5:6" s="406" customFormat="1">
      <c r="E35" s="416"/>
      <c r="F35" s="416"/>
    </row>
    <row r="36" spans="5:6" s="406" customFormat="1">
      <c r="E36" s="416"/>
      <c r="F36" s="416"/>
    </row>
    <row r="37" spans="5:6" s="406" customFormat="1">
      <c r="E37" s="416"/>
      <c r="F37" s="416"/>
    </row>
    <row r="38" spans="5:6" s="406" customFormat="1">
      <c r="E38" s="416"/>
      <c r="F38" s="416"/>
    </row>
    <row r="39" spans="5:6" s="406" customFormat="1">
      <c r="E39" s="416"/>
      <c r="F39" s="416"/>
    </row>
    <row r="40" spans="5:6" s="406" customFormat="1">
      <c r="E40" s="416"/>
      <c r="F40" s="416"/>
    </row>
    <row r="41" spans="5:6" s="406" customFormat="1">
      <c r="E41" s="416"/>
      <c r="F41" s="416"/>
    </row>
    <row r="42" spans="5:6" s="406" customFormat="1">
      <c r="E42" s="416"/>
      <c r="F42" s="416"/>
    </row>
    <row r="43" spans="5:6" s="406" customFormat="1">
      <c r="E43" s="416"/>
      <c r="F43" s="416"/>
    </row>
    <row r="44" spans="5:6" s="406" customFormat="1">
      <c r="E44" s="416"/>
      <c r="F44" s="416"/>
    </row>
    <row r="45" spans="5:6" s="406" customFormat="1">
      <c r="E45" s="416"/>
      <c r="F45" s="416"/>
    </row>
    <row r="46" spans="5:6" s="406" customFormat="1">
      <c r="E46" s="416"/>
      <c r="F46" s="416"/>
    </row>
    <row r="47" spans="5:6" s="406" customFormat="1">
      <c r="E47" s="416"/>
      <c r="F47" s="416"/>
    </row>
    <row r="48" spans="5:6" s="406" customFormat="1">
      <c r="E48" s="416"/>
      <c r="F48" s="416"/>
    </row>
    <row r="49" spans="5:6" s="406" customFormat="1">
      <c r="E49" s="416"/>
      <c r="F49" s="416"/>
    </row>
    <row r="50" spans="5:6" s="406" customFormat="1">
      <c r="E50" s="416"/>
      <c r="F50" s="416"/>
    </row>
    <row r="51" spans="5:6" s="406" customFormat="1">
      <c r="E51" s="416"/>
      <c r="F51" s="416"/>
    </row>
    <row r="52" spans="5:6" s="406" customFormat="1">
      <c r="E52" s="416"/>
      <c r="F52" s="416"/>
    </row>
    <row r="53" spans="5:6" s="406" customFormat="1">
      <c r="E53" s="416"/>
      <c r="F53" s="416"/>
    </row>
    <row r="54" spans="5:6" s="406" customFormat="1">
      <c r="E54" s="416"/>
      <c r="F54" s="416"/>
    </row>
    <row r="55" spans="5:6" s="406" customFormat="1">
      <c r="E55" s="416"/>
      <c r="F55" s="416"/>
    </row>
    <row r="56" spans="5:6" s="406" customFormat="1">
      <c r="E56" s="416"/>
      <c r="F56" s="416"/>
    </row>
    <row r="57" spans="5:6" s="406" customFormat="1">
      <c r="E57" s="416"/>
      <c r="F57" s="416"/>
    </row>
    <row r="58" spans="5:6" s="406" customFormat="1">
      <c r="E58" s="416"/>
      <c r="F58" s="416"/>
    </row>
    <row r="59" spans="5:6" s="406" customFormat="1">
      <c r="E59" s="416"/>
      <c r="F59" s="416"/>
    </row>
    <row r="60" spans="5:6" s="406" customFormat="1">
      <c r="E60" s="416"/>
      <c r="F60" s="416"/>
    </row>
    <row r="61" spans="5:6" s="406" customFormat="1">
      <c r="E61" s="416"/>
      <c r="F61" s="416"/>
    </row>
    <row r="62" spans="5:6" s="406" customFormat="1">
      <c r="E62" s="416"/>
      <c r="F62" s="416"/>
    </row>
    <row r="63" spans="5:6" s="406" customFormat="1">
      <c r="E63" s="416"/>
      <c r="F63" s="416"/>
    </row>
    <row r="64" spans="5:6" s="406" customFormat="1">
      <c r="E64" s="416"/>
      <c r="F64" s="416"/>
    </row>
    <row r="65" spans="5:6" s="406" customFormat="1">
      <c r="E65" s="416"/>
      <c r="F65" s="416"/>
    </row>
    <row r="66" spans="5:6" s="406" customFormat="1">
      <c r="E66" s="416"/>
      <c r="F66" s="416"/>
    </row>
    <row r="67" spans="5:6" s="406" customFormat="1">
      <c r="E67" s="416"/>
      <c r="F67" s="416"/>
    </row>
    <row r="68" spans="5:6" s="406" customFormat="1">
      <c r="E68" s="416"/>
      <c r="F68" s="416"/>
    </row>
    <row r="69" spans="5:6" s="406" customFormat="1">
      <c r="E69" s="416"/>
      <c r="F69" s="416"/>
    </row>
    <row r="70" spans="5:6" s="406" customFormat="1">
      <c r="E70" s="416"/>
      <c r="F70" s="416"/>
    </row>
    <row r="71" spans="5:6" s="406" customFormat="1">
      <c r="E71" s="416"/>
      <c r="F71" s="416"/>
    </row>
    <row r="72" spans="5:6" s="406" customFormat="1">
      <c r="E72" s="416"/>
      <c r="F72" s="416"/>
    </row>
    <row r="73" spans="5:6" s="406" customFormat="1">
      <c r="E73" s="416"/>
      <c r="F73" s="416"/>
    </row>
    <row r="74" spans="5:6" s="406" customFormat="1">
      <c r="E74" s="416"/>
      <c r="F74" s="416"/>
    </row>
    <row r="75" spans="5:6" s="406" customFormat="1">
      <c r="E75" s="416"/>
      <c r="F75" s="416"/>
    </row>
    <row r="76" spans="5:6" s="406" customFormat="1">
      <c r="E76" s="416"/>
      <c r="F76" s="416"/>
    </row>
    <row r="77" spans="5:6" s="406" customFormat="1">
      <c r="E77" s="416"/>
      <c r="F77" s="416"/>
    </row>
    <row r="78" spans="5:6" s="406" customFormat="1">
      <c r="E78" s="416"/>
      <c r="F78" s="416"/>
    </row>
    <row r="79" spans="5:6" s="406" customFormat="1">
      <c r="E79" s="416"/>
      <c r="F79" s="416"/>
    </row>
    <row r="80" spans="5:6" s="406" customFormat="1">
      <c r="E80" s="416"/>
      <c r="F80" s="416"/>
    </row>
    <row r="81" spans="5:6" s="406" customFormat="1">
      <c r="E81" s="416"/>
      <c r="F81" s="416"/>
    </row>
    <row r="82" spans="5:6" s="406" customFormat="1">
      <c r="E82" s="416"/>
      <c r="F82" s="416"/>
    </row>
    <row r="83" spans="5:6" s="406" customFormat="1">
      <c r="E83" s="416"/>
      <c r="F83" s="416"/>
    </row>
    <row r="84" spans="5:6" s="406" customFormat="1">
      <c r="E84" s="416"/>
      <c r="F84" s="416"/>
    </row>
    <row r="85" spans="5:6" s="406" customFormat="1">
      <c r="E85" s="416"/>
      <c r="F85" s="416"/>
    </row>
    <row r="86" spans="5:6" s="406" customFormat="1">
      <c r="E86" s="416"/>
      <c r="F86" s="416"/>
    </row>
    <row r="87" spans="5:6" s="406" customFormat="1">
      <c r="E87" s="416"/>
      <c r="F87" s="416"/>
    </row>
    <row r="88" spans="5:6" s="406" customFormat="1">
      <c r="E88" s="416"/>
      <c r="F88" s="416"/>
    </row>
    <row r="89" spans="5:6" s="406" customFormat="1">
      <c r="E89" s="416"/>
      <c r="F89" s="416"/>
    </row>
    <row r="90" spans="5:6" s="406" customFormat="1">
      <c r="E90" s="416"/>
      <c r="F90" s="416"/>
    </row>
    <row r="91" spans="5:6" s="406" customFormat="1">
      <c r="E91" s="416"/>
      <c r="F91" s="416"/>
    </row>
    <row r="92" spans="5:6" s="406" customFormat="1">
      <c r="E92" s="416"/>
      <c r="F92" s="416"/>
    </row>
    <row r="93" spans="5:6" s="406" customFormat="1">
      <c r="E93" s="416"/>
      <c r="F93" s="416"/>
    </row>
    <row r="94" spans="5:6" s="406" customFormat="1">
      <c r="E94" s="416"/>
      <c r="F94" s="416"/>
    </row>
    <row r="95" spans="5:6" s="406" customFormat="1">
      <c r="E95" s="416"/>
      <c r="F95" s="416"/>
    </row>
    <row r="96" spans="5:6" s="406" customFormat="1">
      <c r="E96" s="416"/>
      <c r="F96" s="416"/>
    </row>
    <row r="97" spans="5:6" s="406" customFormat="1">
      <c r="E97" s="416"/>
      <c r="F97" s="416"/>
    </row>
    <row r="98" spans="5:6" s="406" customFormat="1">
      <c r="E98" s="416"/>
      <c r="F98" s="416"/>
    </row>
    <row r="99" spans="5:6" s="406" customFormat="1">
      <c r="E99" s="416"/>
      <c r="F99" s="416"/>
    </row>
    <row r="100" spans="5:6" s="406" customFormat="1">
      <c r="E100" s="416"/>
      <c r="F100" s="416"/>
    </row>
    <row r="101" spans="5:6" s="406" customFormat="1">
      <c r="E101" s="416"/>
      <c r="F101" s="416"/>
    </row>
    <row r="102" spans="5:6" s="406" customFormat="1">
      <c r="E102" s="416"/>
      <c r="F102" s="416"/>
    </row>
    <row r="103" spans="5:6" s="406" customFormat="1">
      <c r="E103" s="416"/>
      <c r="F103" s="416"/>
    </row>
    <row r="104" spans="5:6" s="406" customFormat="1">
      <c r="E104" s="416"/>
      <c r="F104" s="416"/>
    </row>
    <row r="105" spans="5:6" s="406" customFormat="1">
      <c r="E105" s="416"/>
      <c r="F105" s="416"/>
    </row>
    <row r="106" spans="5:6" s="406" customFormat="1">
      <c r="E106" s="416"/>
      <c r="F106" s="416"/>
    </row>
    <row r="107" spans="5:6" s="406" customFormat="1">
      <c r="E107" s="416"/>
      <c r="F107" s="416"/>
    </row>
    <row r="108" spans="5:6" s="406" customFormat="1">
      <c r="E108" s="416"/>
      <c r="F108" s="416"/>
    </row>
    <row r="109" spans="5:6" s="406" customFormat="1">
      <c r="E109" s="416"/>
      <c r="F109" s="416"/>
    </row>
    <row r="110" spans="5:6" s="406" customFormat="1">
      <c r="E110" s="416"/>
      <c r="F110" s="416"/>
    </row>
    <row r="111" spans="5:6" s="406" customFormat="1">
      <c r="E111" s="416"/>
      <c r="F111" s="416"/>
    </row>
    <row r="112" spans="5:6" s="406" customFormat="1">
      <c r="E112" s="416"/>
      <c r="F112" s="416"/>
    </row>
    <row r="113" spans="5:6" s="406" customFormat="1">
      <c r="E113" s="416"/>
      <c r="F113" s="416"/>
    </row>
    <row r="114" spans="5:6" s="406" customFormat="1">
      <c r="E114" s="416"/>
      <c r="F114" s="416"/>
    </row>
    <row r="115" spans="5:6" s="406" customFormat="1">
      <c r="E115" s="416"/>
      <c r="F115" s="416"/>
    </row>
    <row r="116" spans="5:6" s="406" customFormat="1">
      <c r="E116" s="416"/>
      <c r="F116" s="416"/>
    </row>
    <row r="117" spans="5:6" s="406" customFormat="1">
      <c r="E117" s="416"/>
      <c r="F117" s="416"/>
    </row>
    <row r="118" spans="5:6" s="406" customFormat="1">
      <c r="E118" s="416"/>
      <c r="F118" s="416"/>
    </row>
    <row r="119" spans="5:6" s="406" customFormat="1">
      <c r="E119" s="416"/>
      <c r="F119" s="416"/>
    </row>
    <row r="120" spans="5:6" s="406" customFormat="1">
      <c r="E120" s="416"/>
      <c r="F120" s="416"/>
    </row>
    <row r="121" spans="5:6" s="406" customFormat="1">
      <c r="E121" s="416"/>
      <c r="F121" s="416"/>
    </row>
    <row r="122" spans="5:6" s="406" customFormat="1">
      <c r="E122" s="416"/>
      <c r="F122" s="416"/>
    </row>
    <row r="123" spans="5:6" s="406" customFormat="1">
      <c r="E123" s="416"/>
      <c r="F123" s="416"/>
    </row>
    <row r="124" spans="5:6" s="406" customFormat="1">
      <c r="E124" s="416"/>
      <c r="F124" s="416"/>
    </row>
    <row r="125" spans="5:6" s="406" customFormat="1">
      <c r="E125" s="416"/>
      <c r="F125" s="416"/>
    </row>
    <row r="126" spans="5:6" s="406" customFormat="1">
      <c r="E126" s="416"/>
      <c r="F126" s="416"/>
    </row>
    <row r="127" spans="5:6" s="406" customFormat="1">
      <c r="E127" s="416"/>
      <c r="F127" s="416"/>
    </row>
    <row r="128" spans="5:6" s="406" customFormat="1">
      <c r="E128" s="416"/>
      <c r="F128" s="416"/>
    </row>
    <row r="129" spans="5:6" s="406" customFormat="1">
      <c r="E129" s="416"/>
      <c r="F129" s="416"/>
    </row>
    <row r="130" spans="5:6" s="406" customFormat="1">
      <c r="E130" s="416"/>
      <c r="F130" s="416"/>
    </row>
    <row r="131" spans="5:6" s="406" customFormat="1">
      <c r="E131" s="416"/>
      <c r="F131" s="416"/>
    </row>
    <row r="132" spans="5:6" s="406" customFormat="1">
      <c r="E132" s="416"/>
      <c r="F132" s="416"/>
    </row>
    <row r="133" spans="5:6" s="406" customFormat="1">
      <c r="E133" s="416"/>
      <c r="F133" s="416"/>
    </row>
    <row r="134" spans="5:6" s="406" customFormat="1">
      <c r="E134" s="416"/>
      <c r="F134" s="416"/>
    </row>
    <row r="135" spans="5:6" s="406" customFormat="1">
      <c r="E135" s="416"/>
      <c r="F135" s="416"/>
    </row>
    <row r="136" spans="5:6" s="406" customFormat="1">
      <c r="E136" s="416"/>
      <c r="F136" s="416"/>
    </row>
    <row r="137" spans="5:6" s="406" customFormat="1">
      <c r="E137" s="416"/>
      <c r="F137" s="416"/>
    </row>
    <row r="138" spans="5:6" s="406" customFormat="1">
      <c r="E138" s="416"/>
      <c r="F138" s="416"/>
    </row>
    <row r="139" spans="5:6" s="406" customFormat="1">
      <c r="E139" s="416"/>
      <c r="F139" s="416"/>
    </row>
    <row r="140" spans="5:6" s="406" customFormat="1">
      <c r="E140" s="416"/>
      <c r="F140" s="416"/>
    </row>
    <row r="141" spans="5:6" s="406" customFormat="1">
      <c r="E141" s="416"/>
      <c r="F141" s="416"/>
    </row>
    <row r="142" spans="5:6" s="406" customFormat="1">
      <c r="E142" s="416"/>
      <c r="F142" s="416"/>
    </row>
    <row r="143" spans="5:6" s="406" customFormat="1">
      <c r="E143" s="416"/>
      <c r="F143" s="416"/>
    </row>
    <row r="144" spans="5:6" s="406" customFormat="1">
      <c r="E144" s="416"/>
      <c r="F144" s="416"/>
    </row>
    <row r="145" spans="5:6" s="406" customFormat="1">
      <c r="E145" s="416"/>
      <c r="F145" s="416"/>
    </row>
    <row r="146" spans="5:6" s="406" customFormat="1">
      <c r="E146" s="416"/>
      <c r="F146" s="416"/>
    </row>
    <row r="147" spans="5:6" s="406" customFormat="1">
      <c r="E147" s="416"/>
      <c r="F147" s="416"/>
    </row>
    <row r="148" spans="5:6" s="406" customFormat="1">
      <c r="E148" s="416"/>
      <c r="F148" s="416"/>
    </row>
    <row r="149" spans="5:6" s="406" customFormat="1">
      <c r="E149" s="416"/>
      <c r="F149" s="416"/>
    </row>
    <row r="150" spans="5:6" s="406" customFormat="1">
      <c r="E150" s="416"/>
      <c r="F150" s="416"/>
    </row>
    <row r="151" spans="5:6" s="406" customFormat="1">
      <c r="E151" s="416"/>
      <c r="F151" s="416"/>
    </row>
    <row r="152" spans="5:6" s="406" customFormat="1">
      <c r="E152" s="416"/>
      <c r="F152" s="416"/>
    </row>
    <row r="153" spans="5:6" s="406" customFormat="1">
      <c r="E153" s="416"/>
      <c r="F153" s="416"/>
    </row>
    <row r="154" spans="5:6" s="406" customFormat="1">
      <c r="E154" s="416"/>
      <c r="F154" s="416"/>
    </row>
    <row r="155" spans="5:6" s="406" customFormat="1">
      <c r="E155" s="416"/>
      <c r="F155" s="416"/>
    </row>
  </sheetData>
  <pageMargins left="0.7" right="0.51432291666666663" top="0.86956521739130432" bottom="0.61458333333333337" header="0.3" footer="0.3"/>
  <pageSetup orientation="portrait" r:id="rId1"/>
  <headerFooter>
    <oddHeader>&amp;R&amp;7Informe de la Operación Mensual - Setiembre 2018
INFSGI-MES-09-2018
11/10/2018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7041-E818-4A26-B430-F35DCB72AC06}">
  <dimension ref="A1:J161"/>
  <sheetViews>
    <sheetView showGridLines="0" view="pageBreakPreview" zoomScale="145" zoomScaleNormal="100" zoomScaleSheetLayoutView="145" zoomScalePageLayoutView="145" workbookViewId="0">
      <selection activeCell="I6" sqref="I6"/>
    </sheetView>
  </sheetViews>
  <sheetFormatPr defaultRowHeight="9"/>
  <cols>
    <col min="1" max="1" width="16.1640625" style="406" customWidth="1"/>
    <col min="2" max="2" width="19.6640625" style="406" customWidth="1"/>
    <col min="3" max="3" width="12.5" style="406" bestFit="1" customWidth="1"/>
    <col min="4" max="4" width="47.1640625" style="406" customWidth="1"/>
    <col min="5" max="5" width="11.5" style="406" customWidth="1"/>
    <col min="6" max="6" width="10.5" style="406" customWidth="1"/>
    <col min="7" max="8" width="9.33203125" style="406" customWidth="1"/>
    <col min="9" max="10" width="9.33203125" style="406"/>
    <col min="11" max="16384" width="9.33203125" style="415"/>
  </cols>
  <sheetData>
    <row r="1" spans="1:9" s="406" customFormat="1" ht="30" customHeight="1">
      <c r="A1" s="417" t="s">
        <v>284</v>
      </c>
      <c r="B1" s="418" t="s">
        <v>464</v>
      </c>
      <c r="C1" s="417" t="s">
        <v>453</v>
      </c>
      <c r="D1" s="419" t="s">
        <v>465</v>
      </c>
      <c r="E1" s="420" t="s">
        <v>466</v>
      </c>
      <c r="F1" s="420" t="s">
        <v>467</v>
      </c>
      <c r="G1" s="396"/>
      <c r="H1" s="407"/>
      <c r="I1" s="394"/>
    </row>
    <row r="2" spans="1:9" s="406" customFormat="1" ht="84.75" customHeight="1">
      <c r="A2" s="421"/>
      <c r="B2" s="421"/>
      <c r="C2" s="422"/>
      <c r="D2" s="557"/>
      <c r="E2" s="423"/>
      <c r="F2" s="423"/>
      <c r="G2" s="395"/>
      <c r="H2" s="397"/>
    </row>
    <row r="3" spans="1:9" s="406" customFormat="1" ht="180" customHeight="1">
      <c r="A3" s="421"/>
      <c r="B3" s="421"/>
      <c r="C3" s="422"/>
      <c r="D3" s="557"/>
      <c r="E3" s="423"/>
      <c r="F3" s="423"/>
      <c r="G3" s="395"/>
      <c r="H3" s="397"/>
    </row>
    <row r="4" spans="1:9" s="406" customFormat="1" ht="91.5" customHeight="1">
      <c r="A4" s="421"/>
      <c r="B4" s="421"/>
      <c r="C4" s="422"/>
      <c r="D4" s="557"/>
      <c r="E4" s="423"/>
      <c r="F4" s="423"/>
      <c r="G4" s="395"/>
      <c r="H4" s="397"/>
    </row>
    <row r="5" spans="1:9" s="406" customFormat="1" ht="67.5" customHeight="1">
      <c r="A5" s="421"/>
      <c r="B5" s="421"/>
      <c r="C5" s="422"/>
      <c r="D5" s="557"/>
      <c r="E5" s="423"/>
      <c r="F5" s="423"/>
      <c r="G5" s="395"/>
      <c r="H5" s="397"/>
    </row>
    <row r="6" spans="1:9" s="406" customFormat="1" ht="73.5" customHeight="1">
      <c r="A6" s="421"/>
      <c r="B6" s="421"/>
      <c r="C6" s="422"/>
      <c r="D6" s="557"/>
      <c r="E6" s="423"/>
      <c r="F6" s="423"/>
      <c r="G6" s="395"/>
      <c r="H6" s="397"/>
    </row>
    <row r="7" spans="1:9" s="406" customFormat="1" ht="84" customHeight="1">
      <c r="A7" s="421"/>
      <c r="B7" s="421"/>
      <c r="C7" s="422"/>
      <c r="D7" s="557"/>
      <c r="E7" s="423"/>
      <c r="F7" s="423"/>
      <c r="G7" s="395"/>
      <c r="H7" s="397"/>
    </row>
    <row r="8" spans="1:9" s="406" customFormat="1" ht="77.25" customHeight="1">
      <c r="A8" s="421"/>
      <c r="B8" s="421"/>
      <c r="C8" s="422"/>
      <c r="D8" s="557"/>
      <c r="E8" s="423"/>
      <c r="F8" s="423"/>
      <c r="G8" s="395"/>
      <c r="H8" s="397"/>
    </row>
    <row r="9" spans="1:9" s="406" customFormat="1">
      <c r="E9" s="416"/>
      <c r="F9" s="416"/>
    </row>
    <row r="10" spans="1:9" s="406" customFormat="1">
      <c r="E10" s="416"/>
      <c r="F10" s="416"/>
    </row>
    <row r="11" spans="1:9" s="406" customFormat="1">
      <c r="E11" s="416"/>
      <c r="F11" s="416"/>
    </row>
    <row r="12" spans="1:9" s="406" customFormat="1">
      <c r="E12" s="416"/>
      <c r="F12" s="416"/>
    </row>
    <row r="13" spans="1:9" s="406" customFormat="1">
      <c r="E13" s="416"/>
      <c r="F13" s="416"/>
    </row>
    <row r="14" spans="1:9" s="406" customFormat="1">
      <c r="E14" s="416"/>
      <c r="F14" s="416"/>
    </row>
    <row r="15" spans="1:9" s="406" customFormat="1">
      <c r="E15" s="416"/>
      <c r="F15" s="416"/>
    </row>
    <row r="16" spans="1:9" s="406" customFormat="1">
      <c r="E16" s="416"/>
      <c r="F16" s="416"/>
    </row>
    <row r="17" spans="5:6" s="406" customFormat="1">
      <c r="E17" s="416"/>
      <c r="F17" s="416"/>
    </row>
    <row r="18" spans="5:6" s="406" customFormat="1">
      <c r="E18" s="416"/>
      <c r="F18" s="416"/>
    </row>
    <row r="19" spans="5:6" s="406" customFormat="1">
      <c r="E19" s="416"/>
      <c r="F19" s="416"/>
    </row>
    <row r="20" spans="5:6" s="406" customFormat="1">
      <c r="E20" s="416"/>
      <c r="F20" s="416"/>
    </row>
    <row r="21" spans="5:6" s="406" customFormat="1">
      <c r="E21" s="416"/>
      <c r="F21" s="416"/>
    </row>
    <row r="22" spans="5:6" s="406" customFormat="1">
      <c r="E22" s="416"/>
      <c r="F22" s="416"/>
    </row>
    <row r="23" spans="5:6" s="406" customFormat="1">
      <c r="E23" s="416"/>
      <c r="F23" s="416"/>
    </row>
    <row r="24" spans="5:6" s="406" customFormat="1">
      <c r="E24" s="416"/>
      <c r="F24" s="416"/>
    </row>
    <row r="25" spans="5:6" s="406" customFormat="1">
      <c r="E25" s="416"/>
      <c r="F25" s="416"/>
    </row>
    <row r="26" spans="5:6" s="406" customFormat="1">
      <c r="E26" s="416"/>
      <c r="F26" s="416"/>
    </row>
    <row r="27" spans="5:6" s="406" customFormat="1">
      <c r="E27" s="416"/>
      <c r="F27" s="416"/>
    </row>
    <row r="28" spans="5:6" s="406" customFormat="1">
      <c r="E28" s="416"/>
      <c r="F28" s="416"/>
    </row>
    <row r="29" spans="5:6" s="406" customFormat="1">
      <c r="E29" s="416"/>
      <c r="F29" s="416"/>
    </row>
    <row r="30" spans="5:6" s="406" customFormat="1">
      <c r="E30" s="416"/>
      <c r="F30" s="416"/>
    </row>
    <row r="31" spans="5:6" s="406" customFormat="1">
      <c r="E31" s="416"/>
      <c r="F31" s="416"/>
    </row>
    <row r="32" spans="5:6" s="406" customFormat="1">
      <c r="E32" s="416"/>
      <c r="F32" s="416"/>
    </row>
    <row r="33" spans="5:6" s="406" customFormat="1">
      <c r="E33" s="416"/>
      <c r="F33" s="416"/>
    </row>
    <row r="34" spans="5:6" s="406" customFormat="1">
      <c r="E34" s="416"/>
      <c r="F34" s="416"/>
    </row>
    <row r="35" spans="5:6" s="406" customFormat="1">
      <c r="E35" s="416"/>
      <c r="F35" s="416"/>
    </row>
    <row r="36" spans="5:6" s="406" customFormat="1">
      <c r="E36" s="416"/>
      <c r="F36" s="416"/>
    </row>
    <row r="37" spans="5:6" s="406" customFormat="1">
      <c r="E37" s="416"/>
      <c r="F37" s="416"/>
    </row>
    <row r="38" spans="5:6" s="406" customFormat="1">
      <c r="E38" s="416"/>
      <c r="F38" s="416"/>
    </row>
    <row r="39" spans="5:6" s="406" customFormat="1">
      <c r="E39" s="416"/>
      <c r="F39" s="416"/>
    </row>
    <row r="40" spans="5:6" s="406" customFormat="1">
      <c r="E40" s="416"/>
      <c r="F40" s="416"/>
    </row>
    <row r="41" spans="5:6" s="406" customFormat="1">
      <c r="E41" s="416"/>
      <c r="F41" s="416"/>
    </row>
    <row r="42" spans="5:6" s="406" customFormat="1">
      <c r="E42" s="416"/>
      <c r="F42" s="416"/>
    </row>
    <row r="43" spans="5:6" s="406" customFormat="1">
      <c r="E43" s="416"/>
      <c r="F43" s="416"/>
    </row>
    <row r="44" spans="5:6" s="406" customFormat="1">
      <c r="E44" s="416"/>
      <c r="F44" s="416"/>
    </row>
    <row r="45" spans="5:6" s="406" customFormat="1">
      <c r="E45" s="416"/>
      <c r="F45" s="416"/>
    </row>
    <row r="46" spans="5:6" s="406" customFormat="1">
      <c r="E46" s="416"/>
      <c r="F46" s="416"/>
    </row>
    <row r="47" spans="5:6" s="406" customFormat="1">
      <c r="E47" s="416"/>
      <c r="F47" s="416"/>
    </row>
    <row r="48" spans="5:6" s="406" customFormat="1">
      <c r="E48" s="416"/>
      <c r="F48" s="416"/>
    </row>
    <row r="49" spans="5:6" s="406" customFormat="1">
      <c r="E49" s="416"/>
      <c r="F49" s="416"/>
    </row>
    <row r="50" spans="5:6" s="406" customFormat="1">
      <c r="E50" s="416"/>
      <c r="F50" s="416"/>
    </row>
    <row r="51" spans="5:6" s="406" customFormat="1">
      <c r="E51" s="416"/>
      <c r="F51" s="416"/>
    </row>
    <row r="52" spans="5:6" s="406" customFormat="1">
      <c r="E52" s="416"/>
      <c r="F52" s="416"/>
    </row>
    <row r="53" spans="5:6" s="406" customFormat="1">
      <c r="E53" s="416"/>
      <c r="F53" s="416"/>
    </row>
    <row r="54" spans="5:6" s="406" customFormat="1">
      <c r="E54" s="416"/>
      <c r="F54" s="416"/>
    </row>
    <row r="55" spans="5:6" s="406" customFormat="1">
      <c r="E55" s="416"/>
      <c r="F55" s="416"/>
    </row>
    <row r="56" spans="5:6" s="406" customFormat="1">
      <c r="E56" s="416"/>
      <c r="F56" s="416"/>
    </row>
    <row r="57" spans="5:6" s="406" customFormat="1">
      <c r="E57" s="416"/>
      <c r="F57" s="416"/>
    </row>
    <row r="58" spans="5:6" s="406" customFormat="1">
      <c r="E58" s="416"/>
      <c r="F58" s="416"/>
    </row>
    <row r="59" spans="5:6" s="406" customFormat="1">
      <c r="E59" s="416"/>
      <c r="F59" s="416"/>
    </row>
    <row r="60" spans="5:6" s="406" customFormat="1">
      <c r="E60" s="416"/>
      <c r="F60" s="416"/>
    </row>
    <row r="61" spans="5:6" s="406" customFormat="1">
      <c r="E61" s="416"/>
      <c r="F61" s="416"/>
    </row>
    <row r="62" spans="5:6" s="406" customFormat="1">
      <c r="E62" s="416"/>
      <c r="F62" s="416"/>
    </row>
    <row r="63" spans="5:6" s="406" customFormat="1">
      <c r="E63" s="416"/>
      <c r="F63" s="416"/>
    </row>
    <row r="64" spans="5:6" s="406" customFormat="1">
      <c r="E64" s="416"/>
      <c r="F64" s="416"/>
    </row>
    <row r="65" spans="5:6" s="406" customFormat="1">
      <c r="E65" s="416"/>
      <c r="F65" s="416"/>
    </row>
    <row r="66" spans="5:6" s="406" customFormat="1">
      <c r="E66" s="416"/>
      <c r="F66" s="416"/>
    </row>
    <row r="67" spans="5:6" s="406" customFormat="1">
      <c r="E67" s="416"/>
      <c r="F67" s="416"/>
    </row>
    <row r="68" spans="5:6" s="406" customFormat="1">
      <c r="E68" s="416"/>
      <c r="F68" s="416"/>
    </row>
    <row r="69" spans="5:6" s="406" customFormat="1">
      <c r="E69" s="416"/>
      <c r="F69" s="416"/>
    </row>
    <row r="70" spans="5:6" s="406" customFormat="1">
      <c r="E70" s="416"/>
      <c r="F70" s="416"/>
    </row>
    <row r="71" spans="5:6" s="406" customFormat="1">
      <c r="E71" s="416"/>
      <c r="F71" s="416"/>
    </row>
    <row r="72" spans="5:6" s="406" customFormat="1">
      <c r="E72" s="416"/>
      <c r="F72" s="416"/>
    </row>
    <row r="73" spans="5:6" s="406" customFormat="1">
      <c r="E73" s="416"/>
      <c r="F73" s="416"/>
    </row>
    <row r="74" spans="5:6" s="406" customFormat="1">
      <c r="E74" s="416"/>
      <c r="F74" s="416"/>
    </row>
    <row r="75" spans="5:6" s="406" customFormat="1">
      <c r="E75" s="416"/>
      <c r="F75" s="416"/>
    </row>
    <row r="76" spans="5:6" s="406" customFormat="1">
      <c r="E76" s="416"/>
      <c r="F76" s="416"/>
    </row>
    <row r="77" spans="5:6" s="406" customFormat="1">
      <c r="E77" s="416"/>
      <c r="F77" s="416"/>
    </row>
    <row r="78" spans="5:6" s="406" customFormat="1">
      <c r="E78" s="416"/>
      <c r="F78" s="416"/>
    </row>
    <row r="79" spans="5:6" s="406" customFormat="1">
      <c r="E79" s="416"/>
      <c r="F79" s="416"/>
    </row>
    <row r="80" spans="5:6" s="406" customFormat="1">
      <c r="E80" s="416"/>
      <c r="F80" s="416"/>
    </row>
    <row r="81" spans="5:6" s="406" customFormat="1">
      <c r="E81" s="416"/>
      <c r="F81" s="416"/>
    </row>
    <row r="82" spans="5:6" s="406" customFormat="1">
      <c r="E82" s="416"/>
      <c r="F82" s="416"/>
    </row>
    <row r="83" spans="5:6" s="406" customFormat="1">
      <c r="E83" s="416"/>
      <c r="F83" s="416"/>
    </row>
    <row r="84" spans="5:6" s="406" customFormat="1">
      <c r="E84" s="416"/>
      <c r="F84" s="416"/>
    </row>
    <row r="85" spans="5:6" s="406" customFormat="1">
      <c r="E85" s="416"/>
      <c r="F85" s="416"/>
    </row>
    <row r="86" spans="5:6" s="406" customFormat="1">
      <c r="E86" s="416"/>
      <c r="F86" s="416"/>
    </row>
    <row r="87" spans="5:6" s="406" customFormat="1">
      <c r="E87" s="416"/>
      <c r="F87" s="416"/>
    </row>
    <row r="88" spans="5:6" s="406" customFormat="1">
      <c r="E88" s="416"/>
      <c r="F88" s="416"/>
    </row>
    <row r="89" spans="5:6" s="406" customFormat="1">
      <c r="E89" s="416"/>
      <c r="F89" s="416"/>
    </row>
    <row r="90" spans="5:6" s="406" customFormat="1">
      <c r="E90" s="416"/>
      <c r="F90" s="416"/>
    </row>
    <row r="91" spans="5:6" s="406" customFormat="1">
      <c r="E91" s="416"/>
      <c r="F91" s="416"/>
    </row>
    <row r="92" spans="5:6" s="406" customFormat="1">
      <c r="E92" s="416"/>
      <c r="F92" s="416"/>
    </row>
    <row r="93" spans="5:6" s="406" customFormat="1">
      <c r="E93" s="416"/>
      <c r="F93" s="416"/>
    </row>
    <row r="94" spans="5:6" s="406" customFormat="1">
      <c r="E94" s="416"/>
      <c r="F94" s="416"/>
    </row>
    <row r="95" spans="5:6" s="406" customFormat="1">
      <c r="E95" s="416"/>
      <c r="F95" s="416"/>
    </row>
    <row r="96" spans="5:6" s="406" customFormat="1">
      <c r="E96" s="416"/>
      <c r="F96" s="416"/>
    </row>
    <row r="97" spans="5:6" s="406" customFormat="1">
      <c r="E97" s="416"/>
      <c r="F97" s="416"/>
    </row>
    <row r="98" spans="5:6" s="406" customFormat="1">
      <c r="E98" s="416"/>
      <c r="F98" s="416"/>
    </row>
    <row r="99" spans="5:6" s="406" customFormat="1">
      <c r="E99" s="416"/>
      <c r="F99" s="416"/>
    </row>
    <row r="100" spans="5:6" s="406" customFormat="1">
      <c r="E100" s="416"/>
      <c r="F100" s="416"/>
    </row>
    <row r="101" spans="5:6" s="406" customFormat="1">
      <c r="E101" s="416"/>
      <c r="F101" s="416"/>
    </row>
    <row r="102" spans="5:6" s="406" customFormat="1">
      <c r="E102" s="416"/>
      <c r="F102" s="416"/>
    </row>
    <row r="103" spans="5:6" s="406" customFormat="1">
      <c r="E103" s="416"/>
      <c r="F103" s="416"/>
    </row>
    <row r="104" spans="5:6" s="406" customFormat="1">
      <c r="E104" s="416"/>
      <c r="F104" s="416"/>
    </row>
    <row r="105" spans="5:6" s="406" customFormat="1">
      <c r="E105" s="416"/>
      <c r="F105" s="416"/>
    </row>
    <row r="106" spans="5:6" s="406" customFormat="1">
      <c r="E106" s="416"/>
      <c r="F106" s="416"/>
    </row>
    <row r="107" spans="5:6" s="406" customFormat="1">
      <c r="E107" s="416"/>
      <c r="F107" s="416"/>
    </row>
    <row r="108" spans="5:6" s="406" customFormat="1">
      <c r="E108" s="416"/>
      <c r="F108" s="416"/>
    </row>
    <row r="109" spans="5:6" s="406" customFormat="1">
      <c r="E109" s="416"/>
      <c r="F109" s="416"/>
    </row>
    <row r="110" spans="5:6" s="406" customFormat="1">
      <c r="E110" s="416"/>
      <c r="F110" s="416"/>
    </row>
    <row r="111" spans="5:6" s="406" customFormat="1">
      <c r="E111" s="416"/>
      <c r="F111" s="416"/>
    </row>
    <row r="112" spans="5:6" s="406" customFormat="1">
      <c r="E112" s="416"/>
      <c r="F112" s="416"/>
    </row>
    <row r="113" spans="5:6" s="406" customFormat="1">
      <c r="E113" s="416"/>
      <c r="F113" s="416"/>
    </row>
    <row r="114" spans="5:6" s="406" customFormat="1">
      <c r="E114" s="416"/>
      <c r="F114" s="416"/>
    </row>
    <row r="115" spans="5:6" s="406" customFormat="1">
      <c r="E115" s="416"/>
      <c r="F115" s="416"/>
    </row>
    <row r="116" spans="5:6" s="406" customFormat="1">
      <c r="E116" s="416"/>
      <c r="F116" s="416"/>
    </row>
    <row r="117" spans="5:6" s="406" customFormat="1">
      <c r="E117" s="416"/>
      <c r="F117" s="416"/>
    </row>
    <row r="118" spans="5:6" s="406" customFormat="1">
      <c r="E118" s="416"/>
      <c r="F118" s="416"/>
    </row>
    <row r="119" spans="5:6" s="406" customFormat="1">
      <c r="E119" s="416"/>
      <c r="F119" s="416"/>
    </row>
    <row r="120" spans="5:6" s="406" customFormat="1">
      <c r="E120" s="416"/>
      <c r="F120" s="416"/>
    </row>
    <row r="121" spans="5:6" s="406" customFormat="1">
      <c r="E121" s="416"/>
      <c r="F121" s="416"/>
    </row>
    <row r="122" spans="5:6" s="406" customFormat="1">
      <c r="E122" s="416"/>
      <c r="F122" s="416"/>
    </row>
    <row r="123" spans="5:6" s="406" customFormat="1">
      <c r="E123" s="416"/>
      <c r="F123" s="416"/>
    </row>
    <row r="124" spans="5:6" s="406" customFormat="1">
      <c r="E124" s="416"/>
      <c r="F124" s="416"/>
    </row>
    <row r="125" spans="5:6" s="406" customFormat="1">
      <c r="E125" s="416"/>
      <c r="F125" s="416"/>
    </row>
    <row r="126" spans="5:6" s="406" customFormat="1">
      <c r="E126" s="416"/>
      <c r="F126" s="416"/>
    </row>
    <row r="127" spans="5:6" s="406" customFormat="1">
      <c r="E127" s="416"/>
      <c r="F127" s="416"/>
    </row>
    <row r="128" spans="5:6" s="406" customFormat="1">
      <c r="E128" s="416"/>
      <c r="F128" s="416"/>
    </row>
    <row r="129" spans="5:6" s="406" customFormat="1">
      <c r="E129" s="416"/>
      <c r="F129" s="416"/>
    </row>
    <row r="130" spans="5:6" s="406" customFormat="1">
      <c r="E130" s="416"/>
      <c r="F130" s="416"/>
    </row>
    <row r="131" spans="5:6" s="406" customFormat="1">
      <c r="E131" s="416"/>
      <c r="F131" s="416"/>
    </row>
    <row r="132" spans="5:6" s="406" customFormat="1">
      <c r="E132" s="416"/>
      <c r="F132" s="416"/>
    </row>
    <row r="133" spans="5:6" s="406" customFormat="1">
      <c r="E133" s="416"/>
      <c r="F133" s="416"/>
    </row>
    <row r="134" spans="5:6" s="406" customFormat="1">
      <c r="E134" s="416"/>
      <c r="F134" s="416"/>
    </row>
    <row r="135" spans="5:6" s="406" customFormat="1">
      <c r="E135" s="416"/>
      <c r="F135" s="416"/>
    </row>
    <row r="136" spans="5:6" s="406" customFormat="1">
      <c r="E136" s="416"/>
      <c r="F136" s="416"/>
    </row>
    <row r="137" spans="5:6" s="406" customFormat="1">
      <c r="E137" s="416"/>
      <c r="F137" s="416"/>
    </row>
    <row r="138" spans="5:6" s="406" customFormat="1">
      <c r="E138" s="416"/>
      <c r="F138" s="416"/>
    </row>
    <row r="139" spans="5:6" s="406" customFormat="1">
      <c r="E139" s="416"/>
      <c r="F139" s="416"/>
    </row>
    <row r="140" spans="5:6" s="406" customFormat="1">
      <c r="E140" s="416"/>
      <c r="F140" s="416"/>
    </row>
    <row r="141" spans="5:6" s="406" customFormat="1">
      <c r="E141" s="416"/>
      <c r="F141" s="416"/>
    </row>
    <row r="142" spans="5:6" s="406" customFormat="1">
      <c r="E142" s="416"/>
      <c r="F142" s="416"/>
    </row>
    <row r="143" spans="5:6" s="406" customFormat="1">
      <c r="E143" s="416"/>
      <c r="F143" s="416"/>
    </row>
    <row r="144" spans="5:6" s="406" customFormat="1">
      <c r="E144" s="416"/>
      <c r="F144" s="416"/>
    </row>
    <row r="145" spans="5:6" s="406" customFormat="1">
      <c r="E145" s="416"/>
      <c r="F145" s="416"/>
    </row>
    <row r="146" spans="5:6" s="406" customFormat="1">
      <c r="E146" s="416"/>
      <c r="F146" s="416"/>
    </row>
    <row r="147" spans="5:6" s="406" customFormat="1">
      <c r="E147" s="416"/>
      <c r="F147" s="416"/>
    </row>
    <row r="148" spans="5:6" s="406" customFormat="1">
      <c r="E148" s="416"/>
      <c r="F148" s="416"/>
    </row>
    <row r="149" spans="5:6" s="406" customFormat="1">
      <c r="E149" s="416"/>
      <c r="F149" s="416"/>
    </row>
    <row r="150" spans="5:6" s="406" customFormat="1">
      <c r="E150" s="416"/>
      <c r="F150" s="416"/>
    </row>
    <row r="151" spans="5:6" s="406" customFormat="1">
      <c r="E151" s="416"/>
      <c r="F151" s="416"/>
    </row>
    <row r="152" spans="5:6" s="406" customFormat="1">
      <c r="E152" s="416"/>
      <c r="F152" s="416"/>
    </row>
    <row r="153" spans="5:6" s="406" customFormat="1">
      <c r="E153" s="416"/>
      <c r="F153" s="416"/>
    </row>
    <row r="154" spans="5:6" s="406" customFormat="1">
      <c r="E154" s="416"/>
      <c r="F154" s="416"/>
    </row>
    <row r="155" spans="5:6" s="406" customFormat="1">
      <c r="E155" s="416"/>
      <c r="F155" s="416"/>
    </row>
    <row r="156" spans="5:6" s="406" customFormat="1">
      <c r="E156" s="416"/>
      <c r="F156" s="416"/>
    </row>
    <row r="157" spans="5:6" s="406" customFormat="1">
      <c r="E157" s="416"/>
      <c r="F157" s="416"/>
    </row>
    <row r="158" spans="5:6" s="406" customFormat="1">
      <c r="E158" s="416"/>
      <c r="F158" s="416"/>
    </row>
    <row r="159" spans="5:6" s="406" customFormat="1">
      <c r="E159" s="416"/>
      <c r="F159" s="416"/>
    </row>
    <row r="160" spans="5:6" s="406" customFormat="1">
      <c r="E160" s="416"/>
      <c r="F160" s="416"/>
    </row>
    <row r="161" spans="5:6" s="406" customFormat="1">
      <c r="E161" s="416"/>
      <c r="F161" s="416"/>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30" zoomScaleNormal="100" zoomScaleSheetLayoutView="130" workbookViewId="0">
      <selection activeCell="M27" sqref="M27"/>
    </sheetView>
  </sheetViews>
  <sheetFormatPr defaultRowHeight="11.25"/>
  <sheetData>
    <row r="4" spans="2:15">
      <c r="B4" s="424"/>
      <c r="C4" s="424"/>
      <c r="D4" s="424"/>
      <c r="E4" s="424"/>
      <c r="F4" s="424"/>
      <c r="G4" s="424"/>
      <c r="H4" s="424"/>
      <c r="I4" s="424"/>
      <c r="J4" s="424"/>
      <c r="K4" s="424"/>
      <c r="L4" s="424"/>
      <c r="M4" s="424"/>
      <c r="N4" s="424"/>
      <c r="O4" s="424"/>
    </row>
    <row r="5" spans="2:15">
      <c r="B5" s="424"/>
      <c r="C5" s="424"/>
      <c r="D5" s="424"/>
      <c r="E5" s="424"/>
      <c r="F5" s="424"/>
      <c r="G5" s="424"/>
      <c r="H5" s="424"/>
      <c r="I5" s="424"/>
      <c r="J5" s="424"/>
      <c r="K5" s="424"/>
      <c r="L5" s="424"/>
      <c r="M5" s="424"/>
      <c r="N5" s="424"/>
      <c r="O5" s="424"/>
    </row>
    <row r="6" spans="2:15">
      <c r="B6" s="424"/>
      <c r="C6" s="424"/>
      <c r="D6" s="424"/>
      <c r="E6" s="424"/>
      <c r="F6" s="424"/>
      <c r="G6" s="424"/>
      <c r="H6" s="424"/>
      <c r="I6" s="424"/>
      <c r="J6" s="424"/>
      <c r="K6" s="424"/>
      <c r="L6" s="424"/>
      <c r="M6" s="424"/>
      <c r="N6" s="424"/>
      <c r="O6" s="424"/>
    </row>
    <row r="7" spans="2:15">
      <c r="B7" s="425"/>
      <c r="C7" s="424"/>
      <c r="D7" s="424"/>
      <c r="E7" s="424"/>
      <c r="F7" s="424"/>
      <c r="G7" s="424"/>
      <c r="H7" s="424"/>
      <c r="I7" s="424"/>
      <c r="J7" s="424"/>
      <c r="K7" s="424"/>
      <c r="L7" s="424"/>
      <c r="M7" s="424"/>
      <c r="N7" s="424"/>
      <c r="O7" s="424"/>
    </row>
    <row r="8" spans="2:15">
      <c r="B8" s="425"/>
      <c r="C8" s="424"/>
      <c r="D8" s="424"/>
      <c r="E8" s="424"/>
      <c r="F8" s="424"/>
      <c r="G8" s="424"/>
      <c r="H8" s="424"/>
      <c r="I8" s="424"/>
      <c r="J8" s="424"/>
      <c r="K8" s="424"/>
      <c r="L8" s="424"/>
      <c r="M8" s="424"/>
      <c r="N8" s="424"/>
      <c r="O8" s="424"/>
    </row>
    <row r="9" spans="2:15">
      <c r="B9" s="425"/>
      <c r="C9" s="424"/>
      <c r="D9" s="424"/>
      <c r="E9" s="424"/>
      <c r="F9" s="424"/>
      <c r="G9" s="424"/>
      <c r="H9" s="424"/>
      <c r="I9" s="424"/>
      <c r="J9" s="424"/>
      <c r="K9" s="424"/>
      <c r="L9" s="424"/>
      <c r="M9" s="424"/>
      <c r="N9" s="424"/>
      <c r="O9" s="424"/>
    </row>
    <row r="10" spans="2:15">
      <c r="B10" s="424"/>
      <c r="C10" s="424"/>
      <c r="D10" s="424"/>
      <c r="E10" s="424"/>
      <c r="F10" s="424"/>
      <c r="G10" s="424"/>
      <c r="H10" s="424"/>
      <c r="I10" s="424"/>
      <c r="J10" s="424"/>
      <c r="K10" s="424"/>
      <c r="L10" s="424"/>
      <c r="M10" s="424"/>
      <c r="N10" s="424"/>
      <c r="O10" s="424"/>
    </row>
    <row r="11" spans="2:15">
      <c r="B11" s="424"/>
      <c r="C11" s="424"/>
      <c r="D11" s="424"/>
      <c r="E11" s="424"/>
      <c r="F11" s="424"/>
      <c r="G11" s="424"/>
      <c r="H11" s="424"/>
      <c r="I11" s="424"/>
      <c r="J11" s="424"/>
      <c r="K11" s="424"/>
      <c r="L11" s="424"/>
      <c r="M11" s="424"/>
      <c r="N11" s="424"/>
      <c r="O11" s="424"/>
    </row>
    <row r="12" spans="2:15">
      <c r="B12" s="424"/>
      <c r="C12" s="424"/>
      <c r="D12" s="424"/>
      <c r="E12" s="424"/>
      <c r="F12" s="424"/>
      <c r="G12" s="424"/>
      <c r="H12" s="424"/>
      <c r="I12" s="424"/>
      <c r="J12" s="424"/>
      <c r="K12" s="424"/>
      <c r="L12" s="424"/>
      <c r="M12" s="424"/>
      <c r="N12" s="424"/>
      <c r="O12" s="424"/>
    </row>
    <row r="13" spans="2:15" ht="12.75">
      <c r="B13" s="426"/>
      <c r="C13" s="424"/>
      <c r="D13" s="424"/>
      <c r="E13" s="424"/>
      <c r="F13" s="424"/>
      <c r="G13" s="424"/>
      <c r="H13" s="424"/>
      <c r="I13" s="424"/>
      <c r="J13" s="424"/>
      <c r="K13" s="424"/>
      <c r="L13" s="424"/>
      <c r="M13" s="424"/>
      <c r="N13" s="424"/>
      <c r="O13" s="424"/>
    </row>
    <row r="14" spans="2:15">
      <c r="B14" s="424"/>
      <c r="C14" s="424"/>
      <c r="D14" s="424"/>
      <c r="E14" s="424"/>
      <c r="F14" s="424"/>
      <c r="G14" s="424"/>
      <c r="H14" s="424"/>
      <c r="I14" s="424"/>
      <c r="J14" s="424"/>
      <c r="K14" s="424"/>
      <c r="L14" s="424"/>
      <c r="M14" s="424"/>
      <c r="N14" s="424"/>
      <c r="O14" s="424"/>
    </row>
    <row r="15" spans="2:15">
      <c r="B15" s="424"/>
      <c r="C15" s="424"/>
      <c r="D15" s="424"/>
      <c r="E15" s="424"/>
      <c r="F15" s="424"/>
      <c r="G15" s="424"/>
      <c r="H15" s="424"/>
      <c r="I15" s="424"/>
      <c r="J15" s="424"/>
      <c r="K15" s="424"/>
      <c r="L15" s="424"/>
      <c r="M15" s="424"/>
      <c r="N15" s="424"/>
      <c r="O15" s="424"/>
    </row>
    <row r="16" spans="2:15">
      <c r="B16" s="424"/>
      <c r="C16" s="424"/>
      <c r="D16" s="424"/>
      <c r="E16" s="424"/>
      <c r="F16" s="424"/>
      <c r="G16" s="424"/>
      <c r="H16" s="424"/>
      <c r="I16" s="424"/>
      <c r="J16" s="424"/>
      <c r="K16" s="424"/>
      <c r="L16" s="424"/>
      <c r="M16" s="424"/>
      <c r="N16" s="424"/>
      <c r="O16" s="424"/>
    </row>
    <row r="17" spans="2:15">
      <c r="B17" s="424"/>
      <c r="C17" s="424"/>
      <c r="D17" s="424"/>
      <c r="E17" s="424"/>
      <c r="F17" s="424"/>
      <c r="G17" s="424"/>
      <c r="H17" s="424"/>
      <c r="I17" s="424"/>
      <c r="J17" s="424"/>
      <c r="K17" s="424"/>
      <c r="L17" s="424"/>
      <c r="M17" s="424"/>
      <c r="N17" s="424"/>
      <c r="O17" s="424"/>
    </row>
    <row r="18" spans="2:15">
      <c r="B18" s="424"/>
      <c r="C18" s="424"/>
      <c r="D18" s="424"/>
      <c r="E18" s="424"/>
      <c r="F18" s="424"/>
      <c r="G18" s="424"/>
      <c r="H18" s="424"/>
      <c r="I18" s="424"/>
      <c r="J18" s="424"/>
      <c r="K18" s="424"/>
      <c r="L18" s="424"/>
      <c r="M18" s="424"/>
      <c r="N18" s="424"/>
      <c r="O18" s="424"/>
    </row>
    <row r="19" spans="2:15">
      <c r="B19" s="424"/>
      <c r="C19" s="424"/>
      <c r="D19" s="424"/>
      <c r="E19" s="424"/>
      <c r="F19" s="424"/>
      <c r="G19" s="424"/>
      <c r="H19" s="424"/>
      <c r="I19" s="424"/>
      <c r="J19" s="424" t="s">
        <v>8</v>
      </c>
      <c r="K19" s="424"/>
      <c r="L19" s="424"/>
      <c r="M19" s="424"/>
      <c r="N19" s="424"/>
      <c r="O19" s="424"/>
    </row>
    <row r="20" spans="2:15">
      <c r="B20" s="424"/>
      <c r="C20" s="424"/>
      <c r="D20" s="424"/>
      <c r="E20" s="424"/>
      <c r="F20" s="424"/>
      <c r="G20" s="424"/>
      <c r="H20" s="424"/>
      <c r="I20" s="424"/>
      <c r="J20" s="424"/>
      <c r="K20" s="424"/>
      <c r="L20" s="424"/>
      <c r="M20" s="424"/>
      <c r="N20" s="424"/>
      <c r="O20" s="424"/>
    </row>
    <row r="21" spans="2:15">
      <c r="B21" s="424"/>
      <c r="C21" s="424"/>
      <c r="D21" s="424"/>
      <c r="E21" s="424"/>
      <c r="F21" s="424"/>
      <c r="G21" s="424"/>
      <c r="H21" s="424"/>
      <c r="I21" s="424"/>
      <c r="J21" s="424"/>
      <c r="K21" s="424"/>
      <c r="L21" s="424"/>
      <c r="M21" s="424"/>
      <c r="N21" s="424"/>
      <c r="O21" s="424"/>
    </row>
    <row r="22" spans="2:15">
      <c r="B22" s="424"/>
      <c r="C22" s="424"/>
      <c r="D22" s="424"/>
      <c r="E22" s="424"/>
      <c r="F22" s="424"/>
      <c r="G22" s="424"/>
      <c r="H22" s="424"/>
      <c r="I22" s="424"/>
      <c r="J22" s="424"/>
      <c r="K22" s="424"/>
      <c r="L22" s="424"/>
      <c r="M22" s="424"/>
      <c r="N22" s="424"/>
      <c r="O22" s="424"/>
    </row>
    <row r="23" spans="2:15">
      <c r="B23" s="424"/>
      <c r="C23" s="424"/>
      <c r="D23" s="424"/>
      <c r="E23" s="424"/>
      <c r="F23" s="424"/>
      <c r="G23" s="424"/>
      <c r="H23" s="424"/>
      <c r="I23" s="424"/>
      <c r="J23" s="424"/>
      <c r="K23" s="424"/>
      <c r="L23" s="424"/>
      <c r="M23" s="424"/>
      <c r="N23" s="424"/>
      <c r="O23" s="424"/>
    </row>
    <row r="24" spans="2:15">
      <c r="B24" s="424"/>
      <c r="C24" s="424"/>
      <c r="D24" s="424"/>
      <c r="E24" s="424"/>
      <c r="F24" s="424"/>
      <c r="G24" s="424"/>
      <c r="H24" s="424"/>
      <c r="I24" s="424"/>
      <c r="J24" s="424"/>
      <c r="K24" s="424"/>
      <c r="L24" s="424"/>
      <c r="M24" s="424"/>
      <c r="N24" s="424"/>
      <c r="O24" s="424"/>
    </row>
    <row r="25" spans="2:15">
      <c r="B25" s="424"/>
      <c r="C25" s="424"/>
      <c r="D25" s="424"/>
      <c r="E25" s="424"/>
      <c r="F25" s="424"/>
      <c r="G25" s="424"/>
      <c r="H25" s="424"/>
      <c r="I25" s="424"/>
      <c r="J25" s="424"/>
      <c r="K25" s="424"/>
      <c r="L25" s="424"/>
      <c r="M25" s="424"/>
      <c r="N25" s="424"/>
      <c r="O25" s="424"/>
    </row>
    <row r="26" spans="2:15">
      <c r="B26" s="424"/>
      <c r="C26" s="424"/>
      <c r="D26" s="424"/>
      <c r="E26" s="424"/>
      <c r="F26" s="424"/>
      <c r="G26" s="424"/>
      <c r="H26" s="424"/>
      <c r="I26" s="424"/>
      <c r="J26" s="424"/>
      <c r="K26" s="424"/>
      <c r="L26" s="424"/>
      <c r="M26" s="424"/>
      <c r="N26" s="424"/>
      <c r="O26" s="424"/>
    </row>
    <row r="27" spans="2:15">
      <c r="B27" s="424"/>
      <c r="C27" s="424"/>
      <c r="D27" s="424"/>
      <c r="E27" s="424"/>
      <c r="F27" s="424"/>
      <c r="G27" s="424"/>
      <c r="H27" s="424"/>
      <c r="I27" s="424"/>
      <c r="J27" s="424"/>
      <c r="K27" s="424"/>
      <c r="L27" s="424"/>
      <c r="M27" s="424"/>
      <c r="N27" s="424"/>
      <c r="O27" s="424"/>
    </row>
    <row r="28" spans="2:15">
      <c r="B28" s="424"/>
      <c r="C28" s="424"/>
      <c r="D28" s="424"/>
      <c r="E28" s="424"/>
      <c r="F28" s="424"/>
      <c r="G28" s="424"/>
      <c r="H28" s="424"/>
      <c r="I28" s="424"/>
      <c r="J28" s="424"/>
      <c r="K28" s="424"/>
      <c r="L28" s="424"/>
      <c r="M28" s="424"/>
      <c r="N28" s="424"/>
      <c r="O28" s="424"/>
    </row>
    <row r="29" spans="2:15">
      <c r="B29" s="424"/>
      <c r="C29" s="424"/>
      <c r="D29" s="424"/>
      <c r="E29" s="424"/>
      <c r="F29" s="424"/>
      <c r="G29" s="424"/>
      <c r="H29" s="424"/>
      <c r="I29" s="424"/>
      <c r="J29" s="424"/>
      <c r="K29" s="424"/>
      <c r="L29" s="424"/>
      <c r="M29" s="424"/>
      <c r="N29" s="424"/>
      <c r="O29" s="424"/>
    </row>
    <row r="30" spans="2:15">
      <c r="B30" s="424"/>
      <c r="C30" s="424"/>
      <c r="D30" s="424"/>
      <c r="E30" s="424"/>
      <c r="F30" s="424"/>
      <c r="G30" s="424"/>
      <c r="H30" s="424"/>
      <c r="I30" s="424"/>
      <c r="J30" s="424"/>
      <c r="K30" s="424"/>
      <c r="L30" s="424"/>
      <c r="M30" s="424"/>
      <c r="N30" s="424"/>
      <c r="O30" s="424"/>
    </row>
    <row r="31" spans="2:15">
      <c r="B31" s="424"/>
      <c r="C31" s="424"/>
      <c r="D31" s="424"/>
      <c r="E31" s="424"/>
      <c r="F31" s="424"/>
      <c r="G31" s="424"/>
      <c r="H31" s="424"/>
      <c r="I31" s="424"/>
      <c r="J31" s="424"/>
      <c r="K31" s="424"/>
      <c r="L31" s="424"/>
      <c r="M31" s="424"/>
      <c r="N31" s="424"/>
      <c r="O31" s="424"/>
    </row>
    <row r="32" spans="2:15">
      <c r="B32" s="424"/>
      <c r="C32" s="424"/>
      <c r="D32" s="424"/>
      <c r="E32" s="424"/>
      <c r="F32" s="424"/>
      <c r="G32" s="424"/>
      <c r="H32" s="424"/>
      <c r="I32" s="424"/>
      <c r="J32" s="424"/>
      <c r="K32" s="424"/>
      <c r="L32" s="424"/>
      <c r="M32" s="424"/>
      <c r="N32" s="424"/>
      <c r="O32" s="424"/>
    </row>
    <row r="33" spans="2:15">
      <c r="B33" s="424"/>
      <c r="C33" s="424"/>
      <c r="D33" s="424"/>
      <c r="E33" s="424"/>
      <c r="F33" s="424"/>
      <c r="G33" s="424"/>
      <c r="H33" s="424"/>
      <c r="I33" s="424"/>
      <c r="J33" s="424"/>
      <c r="K33" s="424"/>
      <c r="L33" s="424"/>
      <c r="M33" s="424"/>
      <c r="N33" s="424"/>
      <c r="O33" s="424"/>
    </row>
    <row r="34" spans="2:15">
      <c r="B34" s="424"/>
      <c r="C34" s="424"/>
      <c r="D34" s="424"/>
      <c r="E34" s="424"/>
      <c r="F34" s="424"/>
      <c r="G34" s="424"/>
      <c r="H34" s="424"/>
      <c r="I34" s="424"/>
      <c r="J34" s="424"/>
      <c r="K34" s="424"/>
      <c r="L34" s="424"/>
      <c r="M34" s="424"/>
      <c r="N34" s="424"/>
      <c r="O34" s="424"/>
    </row>
    <row r="35" spans="2:15">
      <c r="B35" s="424"/>
      <c r="C35" s="424"/>
      <c r="D35" s="424"/>
      <c r="E35" s="424"/>
      <c r="F35" s="424"/>
      <c r="G35" s="424"/>
      <c r="H35" s="424"/>
      <c r="I35" s="424"/>
      <c r="J35" s="424"/>
      <c r="K35" s="424"/>
      <c r="L35" s="424"/>
      <c r="M35" s="424"/>
      <c r="N35" s="424"/>
      <c r="O35" s="424"/>
    </row>
    <row r="36" spans="2:15">
      <c r="B36" s="424"/>
      <c r="C36" s="424"/>
      <c r="D36" s="424"/>
      <c r="E36" s="424"/>
      <c r="F36" s="424"/>
      <c r="G36" s="424"/>
      <c r="H36" s="424"/>
      <c r="I36" s="424"/>
      <c r="J36" s="424"/>
      <c r="K36" s="424"/>
      <c r="L36" s="424"/>
      <c r="M36" s="424"/>
      <c r="N36" s="424"/>
      <c r="O36" s="424"/>
    </row>
    <row r="37" spans="2:15">
      <c r="B37" s="424"/>
      <c r="C37" s="424"/>
      <c r="D37" s="424"/>
      <c r="E37" s="424"/>
      <c r="F37" s="424"/>
      <c r="G37" s="424"/>
      <c r="H37" s="424"/>
      <c r="I37" s="424"/>
      <c r="J37" s="424"/>
      <c r="K37" s="424"/>
      <c r="L37" s="424"/>
      <c r="M37" s="424"/>
      <c r="N37" s="424"/>
      <c r="O37" s="424"/>
    </row>
    <row r="38" spans="2:15">
      <c r="B38" s="424"/>
      <c r="C38" s="424"/>
      <c r="D38" s="424"/>
      <c r="E38" s="424"/>
      <c r="F38" s="424"/>
      <c r="G38" s="424"/>
      <c r="H38" s="424"/>
      <c r="I38" s="424"/>
      <c r="J38" s="424"/>
      <c r="K38" s="424"/>
      <c r="L38" s="424"/>
      <c r="M38" s="424"/>
      <c r="N38" s="424"/>
      <c r="O38" s="424"/>
    </row>
    <row r="39" spans="2:15">
      <c r="B39" s="424"/>
      <c r="C39" s="424"/>
      <c r="D39" s="424"/>
      <c r="E39" s="424"/>
      <c r="F39" s="424"/>
      <c r="G39" s="424"/>
      <c r="H39" s="424"/>
      <c r="I39" s="424"/>
      <c r="J39" s="424"/>
      <c r="K39" s="424"/>
      <c r="L39" s="424"/>
      <c r="M39" s="424"/>
      <c r="N39" s="424"/>
      <c r="O39" s="424"/>
    </row>
    <row r="40" spans="2:15">
      <c r="B40" s="424"/>
      <c r="C40" s="424"/>
      <c r="D40" s="424"/>
      <c r="E40" s="424"/>
      <c r="F40" s="424"/>
      <c r="G40" s="424"/>
      <c r="H40" s="424"/>
      <c r="I40" s="424"/>
      <c r="J40" s="424"/>
      <c r="K40" s="424"/>
      <c r="L40" s="424"/>
      <c r="M40" s="424"/>
      <c r="N40" s="424"/>
      <c r="O40" s="424"/>
    </row>
    <row r="41" spans="2:15">
      <c r="B41" s="424"/>
      <c r="C41" s="424"/>
      <c r="D41" s="424"/>
      <c r="E41" s="424"/>
      <c r="F41" s="424"/>
      <c r="G41" s="424"/>
      <c r="H41" s="424"/>
      <c r="I41" s="424"/>
      <c r="J41" s="424"/>
      <c r="K41" s="424"/>
      <c r="L41" s="424"/>
      <c r="M41" s="424"/>
      <c r="N41" s="424"/>
      <c r="O41" s="424"/>
    </row>
    <row r="42" spans="2:15">
      <c r="B42" s="424"/>
      <c r="C42" s="424"/>
      <c r="D42" s="424"/>
      <c r="E42" s="424"/>
      <c r="F42" s="424"/>
      <c r="G42" s="424"/>
      <c r="H42" s="424"/>
      <c r="I42" s="424"/>
      <c r="J42" s="424"/>
      <c r="K42" s="424"/>
      <c r="L42" s="424"/>
      <c r="M42" s="424"/>
      <c r="N42" s="424"/>
      <c r="O42" s="424"/>
    </row>
    <row r="43" spans="2:15">
      <c r="B43" s="424"/>
      <c r="C43" s="424"/>
      <c r="D43" s="424"/>
      <c r="E43" s="424"/>
      <c r="F43" s="424"/>
      <c r="G43" s="424"/>
      <c r="H43" s="424"/>
      <c r="I43" s="424"/>
      <c r="J43" s="424"/>
      <c r="K43" s="424"/>
      <c r="L43" s="424"/>
      <c r="M43" s="424"/>
      <c r="N43" s="424"/>
      <c r="O43" s="424"/>
    </row>
    <row r="44" spans="2:15">
      <c r="B44" s="424"/>
      <c r="C44" s="424"/>
      <c r="D44" s="424"/>
      <c r="E44" s="424"/>
      <c r="F44" s="424"/>
      <c r="G44" s="424"/>
      <c r="H44" s="424"/>
      <c r="I44" s="424"/>
      <c r="J44" s="424"/>
      <c r="K44" s="424"/>
      <c r="L44" s="424"/>
      <c r="M44" s="424"/>
      <c r="N44" s="424"/>
      <c r="O44" s="424"/>
    </row>
    <row r="45" spans="2:15">
      <c r="B45" s="424"/>
      <c r="C45" s="424"/>
      <c r="D45" s="424"/>
      <c r="E45" s="424"/>
      <c r="F45" s="424"/>
      <c r="G45" s="424"/>
      <c r="H45" s="424"/>
      <c r="I45" s="424"/>
      <c r="J45" s="424"/>
      <c r="K45" s="424"/>
      <c r="L45" s="424"/>
      <c r="M45" s="424"/>
      <c r="N45" s="424"/>
      <c r="O45" s="424"/>
    </row>
    <row r="46" spans="2:15">
      <c r="B46" s="424"/>
      <c r="C46" s="424"/>
      <c r="D46" s="424"/>
      <c r="E46" s="424"/>
      <c r="F46" s="424"/>
      <c r="G46" s="424"/>
      <c r="H46" s="424"/>
      <c r="I46" s="424"/>
      <c r="J46" s="424"/>
      <c r="K46" s="424"/>
      <c r="L46" s="424"/>
      <c r="M46" s="424"/>
      <c r="N46" s="424"/>
      <c r="O46" s="424"/>
    </row>
    <row r="47" spans="2:15">
      <c r="B47" s="424"/>
      <c r="C47" s="424"/>
      <c r="D47" s="424"/>
      <c r="E47" s="424"/>
      <c r="F47" s="424"/>
      <c r="G47" s="424"/>
      <c r="H47" s="424"/>
      <c r="I47" s="424"/>
      <c r="J47" s="424"/>
      <c r="K47" s="424"/>
      <c r="L47" s="424"/>
      <c r="M47" s="424"/>
      <c r="N47" s="424"/>
      <c r="O47" s="424"/>
    </row>
    <row r="48" spans="2:15">
      <c r="B48" s="424"/>
      <c r="C48" s="424"/>
      <c r="D48" s="424"/>
      <c r="E48" s="424"/>
      <c r="F48" s="424"/>
      <c r="G48" s="424"/>
      <c r="H48" s="424"/>
      <c r="I48" s="424"/>
      <c r="J48" s="424"/>
      <c r="K48" s="424"/>
      <c r="L48" s="424"/>
      <c r="M48" s="424"/>
      <c r="N48" s="424"/>
      <c r="O48" s="424"/>
    </row>
    <row r="49" spans="2:15">
      <c r="B49" s="424"/>
      <c r="C49" s="424"/>
      <c r="D49" s="424"/>
      <c r="E49" s="424"/>
      <c r="F49" s="424"/>
      <c r="G49" s="424"/>
      <c r="H49" s="424"/>
      <c r="I49" s="424"/>
      <c r="J49" s="424"/>
      <c r="K49" s="424"/>
      <c r="L49" s="424"/>
      <c r="M49" s="424"/>
      <c r="N49" s="424"/>
      <c r="O49" s="424"/>
    </row>
    <row r="50" spans="2:15">
      <c r="B50" s="424"/>
      <c r="C50" s="424"/>
      <c r="D50" s="424"/>
      <c r="E50" s="424"/>
      <c r="F50" s="424"/>
      <c r="G50" s="424"/>
      <c r="H50" s="424"/>
      <c r="I50" s="424"/>
      <c r="J50" s="424"/>
      <c r="K50" s="424"/>
      <c r="L50" s="424"/>
      <c r="M50" s="424"/>
      <c r="N50" s="424"/>
      <c r="O50" s="424"/>
    </row>
    <row r="51" spans="2:15">
      <c r="B51" s="424"/>
      <c r="C51" s="424"/>
      <c r="D51" s="424"/>
      <c r="E51" s="424"/>
      <c r="F51" s="424"/>
      <c r="G51" s="424"/>
      <c r="H51" s="424"/>
      <c r="I51" s="424"/>
      <c r="J51" s="424"/>
      <c r="K51" s="424"/>
      <c r="L51" s="424"/>
      <c r="M51" s="424"/>
      <c r="N51" s="424"/>
      <c r="O51" s="424"/>
    </row>
    <row r="52" spans="2:15">
      <c r="B52" s="424"/>
      <c r="C52" s="424"/>
      <c r="D52" s="424"/>
      <c r="E52" s="424"/>
      <c r="F52" s="424"/>
      <c r="G52" s="424"/>
      <c r="H52" s="424"/>
      <c r="I52" s="424"/>
      <c r="J52" s="424"/>
      <c r="K52" s="424"/>
      <c r="L52" s="424"/>
      <c r="M52" s="424"/>
      <c r="N52" s="424"/>
      <c r="O52" s="424"/>
    </row>
    <row r="53" spans="2:15">
      <c r="B53" s="424"/>
      <c r="C53" s="424"/>
      <c r="D53" s="424"/>
      <c r="E53" s="424"/>
      <c r="F53" s="424"/>
      <c r="G53" s="424"/>
      <c r="H53" s="424"/>
      <c r="I53" s="424"/>
      <c r="J53" s="424"/>
      <c r="K53" s="424"/>
      <c r="L53" s="424"/>
      <c r="M53" s="424"/>
      <c r="N53" s="424"/>
      <c r="O53" s="424"/>
    </row>
    <row r="54" spans="2:15">
      <c r="B54" s="424"/>
      <c r="C54" s="424"/>
      <c r="D54" s="424"/>
      <c r="E54" s="424"/>
      <c r="F54" s="424"/>
      <c r="G54" s="424"/>
      <c r="H54" s="424"/>
      <c r="I54" s="424"/>
      <c r="J54" s="424"/>
      <c r="K54" s="424"/>
      <c r="L54" s="424"/>
      <c r="M54" s="424"/>
      <c r="N54" s="424"/>
      <c r="O54" s="424"/>
    </row>
    <row r="55" spans="2:15">
      <c r="B55" s="424"/>
      <c r="C55" s="424"/>
      <c r="D55" s="424"/>
      <c r="E55" s="424"/>
      <c r="F55" s="424"/>
      <c r="G55" s="424"/>
      <c r="H55" s="424"/>
      <c r="I55" s="424"/>
      <c r="J55" s="424"/>
      <c r="K55" s="424"/>
      <c r="L55" s="424"/>
      <c r="M55" s="424"/>
      <c r="N55" s="424"/>
      <c r="O55" s="424"/>
    </row>
    <row r="56" spans="2:15">
      <c r="B56" s="424"/>
      <c r="C56" s="424"/>
      <c r="D56" s="424"/>
      <c r="E56" s="424"/>
      <c r="F56" s="424"/>
      <c r="G56" s="424"/>
      <c r="H56" s="424"/>
      <c r="I56" s="424"/>
      <c r="J56" s="424"/>
      <c r="K56" s="424"/>
      <c r="L56" s="424"/>
      <c r="M56" s="424"/>
      <c r="N56" s="424"/>
      <c r="O56" s="424"/>
    </row>
    <row r="57" spans="2:15">
      <c r="B57" s="424"/>
      <c r="C57" s="424"/>
      <c r="D57" s="424"/>
      <c r="E57" s="424"/>
      <c r="F57" s="424"/>
      <c r="G57" s="424"/>
      <c r="H57" s="424"/>
      <c r="I57" s="424"/>
      <c r="J57" s="424"/>
      <c r="K57" s="424"/>
      <c r="L57" s="424"/>
      <c r="M57" s="424"/>
      <c r="N57" s="424"/>
      <c r="O57" s="424"/>
    </row>
    <row r="58" spans="2:15">
      <c r="B58" s="424"/>
      <c r="C58" s="424"/>
      <c r="D58" s="424"/>
      <c r="E58" s="424"/>
      <c r="F58" s="424"/>
      <c r="G58" s="424"/>
      <c r="H58" s="424"/>
      <c r="I58" s="424"/>
      <c r="J58" s="424"/>
      <c r="K58" s="424"/>
      <c r="L58" s="424"/>
      <c r="M58" s="424"/>
      <c r="N58" s="424"/>
      <c r="O58" s="424"/>
    </row>
    <row r="59" spans="2:15">
      <c r="B59" s="424"/>
      <c r="C59" s="424"/>
      <c r="D59" s="424"/>
      <c r="E59" s="424"/>
      <c r="F59" s="424"/>
      <c r="G59" s="424"/>
      <c r="H59" s="424"/>
      <c r="I59" s="424"/>
      <c r="J59" s="424"/>
      <c r="K59" s="424"/>
      <c r="L59" s="424"/>
      <c r="M59" s="424"/>
      <c r="N59" s="424"/>
      <c r="O59" s="424"/>
    </row>
    <row r="60" spans="2:15">
      <c r="B60" s="424"/>
      <c r="C60" s="424"/>
      <c r="D60" s="424"/>
      <c r="E60" s="424"/>
      <c r="F60" s="424"/>
      <c r="G60" s="424"/>
      <c r="H60" s="424"/>
      <c r="I60" s="424"/>
      <c r="J60" s="424"/>
      <c r="K60" s="424"/>
      <c r="L60" s="424"/>
      <c r="M60" s="424"/>
      <c r="N60" s="424"/>
      <c r="O60" s="424"/>
    </row>
    <row r="61" spans="2:15">
      <c r="B61" s="424"/>
      <c r="C61" s="424"/>
      <c r="D61" s="424"/>
      <c r="E61" s="424"/>
      <c r="F61" s="424"/>
      <c r="G61" s="424"/>
      <c r="H61" s="424"/>
      <c r="I61" s="424"/>
      <c r="J61" s="424"/>
      <c r="K61" s="424"/>
      <c r="L61" s="424"/>
      <c r="M61" s="424"/>
      <c r="N61" s="424"/>
      <c r="O61" s="424"/>
    </row>
    <row r="62" spans="2:15">
      <c r="B62" s="424"/>
      <c r="C62" s="424"/>
      <c r="D62" s="424"/>
      <c r="E62" s="424"/>
      <c r="F62" s="424"/>
      <c r="G62" s="424"/>
      <c r="H62" s="424"/>
      <c r="I62" s="424"/>
      <c r="J62" s="424"/>
      <c r="K62" s="424"/>
      <c r="L62" s="424"/>
      <c r="M62" s="424"/>
      <c r="N62" s="424"/>
      <c r="O62" s="424"/>
    </row>
    <row r="63" spans="2:15">
      <c r="B63" s="424"/>
      <c r="C63" s="424"/>
      <c r="D63" s="424"/>
      <c r="E63" s="424"/>
      <c r="F63" s="424"/>
      <c r="G63" s="424"/>
      <c r="H63" s="424"/>
      <c r="I63" s="424"/>
      <c r="J63" s="424"/>
      <c r="K63" s="424"/>
      <c r="L63" s="424"/>
      <c r="M63" s="424"/>
      <c r="N63" s="424"/>
      <c r="O63" s="424"/>
    </row>
    <row r="64" spans="2:15">
      <c r="B64" s="424"/>
      <c r="C64" s="424"/>
      <c r="D64" s="424"/>
      <c r="E64" s="424"/>
      <c r="F64" s="424"/>
      <c r="G64" s="424"/>
      <c r="H64" s="424"/>
      <c r="I64" s="424"/>
      <c r="J64" s="424"/>
      <c r="K64" s="424"/>
      <c r="L64" s="424"/>
      <c r="M64" s="424"/>
      <c r="N64" s="424"/>
      <c r="O64" s="424"/>
    </row>
    <row r="65" spans="2:15">
      <c r="B65" s="424"/>
      <c r="C65" s="424"/>
      <c r="D65" s="424"/>
      <c r="E65" s="424"/>
      <c r="F65" s="424"/>
      <c r="G65" s="424"/>
      <c r="H65" s="424"/>
      <c r="I65" s="424"/>
      <c r="J65" s="424"/>
      <c r="K65" s="424"/>
      <c r="L65" s="424"/>
      <c r="M65" s="424"/>
      <c r="N65" s="424"/>
      <c r="O65" s="42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9"/>
  <sheetViews>
    <sheetView showGridLines="0" view="pageBreakPreview" zoomScale="175" zoomScaleNormal="100" zoomScaleSheetLayoutView="175" zoomScalePageLayoutView="160" workbookViewId="0">
      <selection activeCell="M27" sqref="M27"/>
    </sheetView>
  </sheetViews>
  <sheetFormatPr defaultRowHeight="11.25"/>
  <cols>
    <col min="1" max="1" width="12" style="95" customWidth="1"/>
    <col min="2" max="3" width="11" style="95" customWidth="1"/>
    <col min="4" max="5" width="11.33203125" style="95" customWidth="1"/>
    <col min="6" max="6" width="12.33203125" style="95" customWidth="1"/>
    <col min="7" max="7" width="9.33203125" style="95"/>
    <col min="8" max="8" width="13.33203125" style="95" customWidth="1"/>
    <col min="9" max="9" width="13.1640625" style="95" customWidth="1"/>
    <col min="10" max="10" width="11.6640625" style="95" customWidth="1"/>
    <col min="11" max="11" width="9.33203125" style="95"/>
    <col min="12" max="12" width="18.6640625" style="95" bestFit="1" customWidth="1"/>
    <col min="13" max="16384" width="9.33203125" style="95"/>
  </cols>
  <sheetData>
    <row r="2" spans="1:12" ht="16.5" customHeight="1">
      <c r="A2" s="893" t="s">
        <v>472</v>
      </c>
      <c r="B2" s="893"/>
      <c r="C2" s="893"/>
      <c r="D2" s="893"/>
      <c r="E2" s="893"/>
      <c r="F2" s="893"/>
      <c r="G2" s="893"/>
      <c r="H2" s="893"/>
      <c r="I2" s="893"/>
      <c r="J2" s="893"/>
      <c r="K2" s="304"/>
    </row>
    <row r="3" spans="1:12" ht="7.5" customHeight="1">
      <c r="A3" s="158"/>
      <c r="B3" s="272"/>
      <c r="C3" s="291"/>
      <c r="D3" s="292"/>
      <c r="E3" s="292"/>
      <c r="F3" s="293"/>
      <c r="G3" s="294"/>
      <c r="H3" s="294"/>
      <c r="I3" s="216"/>
      <c r="J3" s="293"/>
    </row>
    <row r="4" spans="1:12" ht="11.25" customHeight="1">
      <c r="A4" s="243" t="s">
        <v>234</v>
      </c>
      <c r="B4" s="272"/>
      <c r="C4" s="291"/>
      <c r="D4" s="292"/>
      <c r="E4" s="292"/>
      <c r="F4" s="293"/>
      <c r="G4" s="294"/>
      <c r="H4" s="294"/>
      <c r="I4" s="216"/>
      <c r="J4" s="293"/>
      <c r="K4" s="45"/>
    </row>
    <row r="5" spans="1:12" ht="9" customHeight="1">
      <c r="A5" s="158"/>
      <c r="B5" s="272"/>
      <c r="C5" s="291"/>
      <c r="D5" s="292"/>
      <c r="E5" s="292"/>
      <c r="F5" s="293"/>
      <c r="G5" s="294"/>
      <c r="H5" s="294"/>
      <c r="I5" s="216"/>
      <c r="J5" s="293"/>
      <c r="K5" s="45"/>
    </row>
    <row r="6" spans="1:12" ht="20.25" customHeight="1">
      <c r="A6" s="767" t="s">
        <v>228</v>
      </c>
      <c r="B6" s="768" t="s">
        <v>229</v>
      </c>
      <c r="C6" s="768" t="s">
        <v>230</v>
      </c>
      <c r="D6" s="768" t="s">
        <v>231</v>
      </c>
      <c r="E6" s="768" t="s">
        <v>232</v>
      </c>
      <c r="F6" s="769" t="s">
        <v>233</v>
      </c>
      <c r="G6" s="770" t="s">
        <v>242</v>
      </c>
      <c r="H6" s="769" t="s">
        <v>246</v>
      </c>
      <c r="I6" s="770" t="s">
        <v>549</v>
      </c>
      <c r="J6" s="771" t="s">
        <v>243</v>
      </c>
      <c r="K6" s="296"/>
    </row>
    <row r="7" spans="1:12" s="295" customFormat="1" ht="18" customHeight="1">
      <c r="A7" s="738" t="s">
        <v>235</v>
      </c>
      <c r="B7" s="739" t="s">
        <v>30</v>
      </c>
      <c r="C7" s="739" t="s">
        <v>30</v>
      </c>
      <c r="D7" s="739" t="s">
        <v>241</v>
      </c>
      <c r="E7" s="739" t="s">
        <v>236</v>
      </c>
      <c r="F7" s="740" t="s">
        <v>247</v>
      </c>
      <c r="G7" s="741">
        <v>33</v>
      </c>
      <c r="H7" s="742">
        <v>144.48400000000001</v>
      </c>
      <c r="I7" s="743" t="s">
        <v>629</v>
      </c>
      <c r="J7" s="744" t="s">
        <v>237</v>
      </c>
      <c r="K7" s="303"/>
      <c r="L7" s="295">
        <v>144.47999999999999</v>
      </c>
    </row>
    <row r="8" spans="1:12" s="295" customFormat="1" ht="18" customHeight="1">
      <c r="A8" s="745" t="s">
        <v>525</v>
      </c>
      <c r="B8" s="746" t="s">
        <v>37</v>
      </c>
      <c r="C8" s="746" t="s">
        <v>46</v>
      </c>
      <c r="D8" s="746" t="s">
        <v>534</v>
      </c>
      <c r="E8" s="746" t="s">
        <v>528</v>
      </c>
      <c r="F8" s="747" t="s">
        <v>533</v>
      </c>
      <c r="G8" s="748">
        <v>13.8</v>
      </c>
      <c r="H8" s="749">
        <v>20</v>
      </c>
      <c r="I8" s="749">
        <v>20</v>
      </c>
      <c r="J8" s="750" t="s">
        <v>532</v>
      </c>
      <c r="K8" s="303"/>
      <c r="L8" s="295">
        <v>20</v>
      </c>
    </row>
    <row r="9" spans="1:12" s="295" customFormat="1" ht="18" customHeight="1">
      <c r="A9" s="738" t="s">
        <v>105</v>
      </c>
      <c r="B9" s="739" t="s">
        <v>38</v>
      </c>
      <c r="C9" s="739" t="s">
        <v>25</v>
      </c>
      <c r="D9" s="739" t="s">
        <v>544</v>
      </c>
      <c r="E9" s="739" t="s">
        <v>518</v>
      </c>
      <c r="F9" s="740" t="s">
        <v>544</v>
      </c>
      <c r="G9" s="741">
        <v>13.8</v>
      </c>
      <c r="H9" s="742" t="s">
        <v>630</v>
      </c>
      <c r="I9" s="742" t="s">
        <v>631</v>
      </c>
      <c r="J9" s="744" t="s">
        <v>517</v>
      </c>
      <c r="K9" s="303"/>
      <c r="L9" s="618">
        <v>103.95113000000001</v>
      </c>
    </row>
    <row r="10" spans="1:12" s="295" customFormat="1" ht="18" customHeight="1">
      <c r="A10" s="745" t="s">
        <v>92</v>
      </c>
      <c r="B10" s="746" t="s">
        <v>30</v>
      </c>
      <c r="C10" s="746" t="s">
        <v>30</v>
      </c>
      <c r="D10" s="746" t="s">
        <v>241</v>
      </c>
      <c r="E10" s="746" t="s">
        <v>529</v>
      </c>
      <c r="F10" s="747" t="s">
        <v>530</v>
      </c>
      <c r="G10" s="748">
        <v>22.9</v>
      </c>
      <c r="H10" s="749">
        <v>44.54</v>
      </c>
      <c r="I10" s="749" t="s">
        <v>632</v>
      </c>
      <c r="J10" s="750" t="s">
        <v>531</v>
      </c>
      <c r="K10" s="303"/>
      <c r="L10" s="295">
        <v>44.54</v>
      </c>
    </row>
    <row r="11" spans="1:12" s="295" customFormat="1" ht="18" customHeight="1">
      <c r="A11" s="738" t="s">
        <v>235</v>
      </c>
      <c r="B11" s="739" t="s">
        <v>559</v>
      </c>
      <c r="C11" s="739" t="s">
        <v>635</v>
      </c>
      <c r="D11" s="739" t="s">
        <v>560</v>
      </c>
      <c r="E11" s="739" t="s">
        <v>561</v>
      </c>
      <c r="F11" s="740" t="s">
        <v>562</v>
      </c>
      <c r="G11" s="741">
        <v>12</v>
      </c>
      <c r="H11" s="742">
        <v>132.30000000000001</v>
      </c>
      <c r="I11" s="742" t="s">
        <v>633</v>
      </c>
      <c r="J11" s="744" t="s">
        <v>563</v>
      </c>
      <c r="K11" s="303"/>
      <c r="L11" s="295">
        <v>132.30000000000001</v>
      </c>
    </row>
    <row r="12" spans="1:12" s="295" customFormat="1" ht="18" customHeight="1">
      <c r="A12" s="745" t="s">
        <v>590</v>
      </c>
      <c r="B12" s="746" t="s">
        <v>38</v>
      </c>
      <c r="C12" s="746" t="s">
        <v>51</v>
      </c>
      <c r="D12" s="746" t="s">
        <v>636</v>
      </c>
      <c r="E12" s="746" t="s">
        <v>637</v>
      </c>
      <c r="F12" s="747" t="s">
        <v>643</v>
      </c>
      <c r="G12" s="748">
        <v>0.48</v>
      </c>
      <c r="H12" s="749">
        <v>2.4</v>
      </c>
      <c r="I12" s="749">
        <v>2.4</v>
      </c>
      <c r="J12" s="750" t="s">
        <v>644</v>
      </c>
      <c r="K12" s="303"/>
      <c r="L12" s="295">
        <v>2.4</v>
      </c>
    </row>
    <row r="13" spans="1:12" s="295" customFormat="1" ht="24.75" customHeight="1">
      <c r="A13" s="738" t="s">
        <v>634</v>
      </c>
      <c r="B13" s="739" t="s">
        <v>37</v>
      </c>
      <c r="C13" s="739" t="s">
        <v>46</v>
      </c>
      <c r="D13" s="739" t="s">
        <v>648</v>
      </c>
      <c r="E13" s="739" t="s">
        <v>638</v>
      </c>
      <c r="F13" s="740" t="s">
        <v>642</v>
      </c>
      <c r="G13" s="741">
        <v>0.4</v>
      </c>
      <c r="H13" s="742">
        <v>0.7</v>
      </c>
      <c r="I13" s="742">
        <v>0.7</v>
      </c>
      <c r="J13" s="744" t="s">
        <v>645</v>
      </c>
      <c r="K13" s="303"/>
      <c r="L13" s="295">
        <v>0.7</v>
      </c>
    </row>
    <row r="14" spans="1:12" s="295" customFormat="1" ht="13.5" customHeight="1">
      <c r="A14" s="745" t="s">
        <v>113</v>
      </c>
      <c r="B14" s="746" t="s">
        <v>37</v>
      </c>
      <c r="C14" s="746" t="s">
        <v>46</v>
      </c>
      <c r="D14" s="746" t="s">
        <v>534</v>
      </c>
      <c r="E14" s="746" t="s">
        <v>639</v>
      </c>
      <c r="F14" s="747" t="s">
        <v>643</v>
      </c>
      <c r="G14" s="748">
        <v>6.6</v>
      </c>
      <c r="H14" s="749">
        <v>20.815999999999999</v>
      </c>
      <c r="I14" s="749">
        <v>20.16</v>
      </c>
      <c r="J14" s="750" t="s">
        <v>645</v>
      </c>
      <c r="K14" s="303"/>
      <c r="L14" s="295">
        <v>20.16</v>
      </c>
    </row>
    <row r="15" spans="1:12" s="295" customFormat="1" ht="13.5" customHeight="1">
      <c r="A15" s="738" t="s">
        <v>113</v>
      </c>
      <c r="B15" s="739" t="s">
        <v>37</v>
      </c>
      <c r="C15" s="739" t="s">
        <v>46</v>
      </c>
      <c r="D15" s="739" t="s">
        <v>534</v>
      </c>
      <c r="E15" s="739" t="s">
        <v>640</v>
      </c>
      <c r="F15" s="740" t="s">
        <v>643</v>
      </c>
      <c r="G15" s="741">
        <v>6.6</v>
      </c>
      <c r="H15" s="742">
        <v>20.815999999999999</v>
      </c>
      <c r="I15" s="742">
        <v>20.16</v>
      </c>
      <c r="J15" s="744" t="s">
        <v>645</v>
      </c>
      <c r="K15" s="303"/>
      <c r="L15" s="295">
        <v>20.16</v>
      </c>
    </row>
    <row r="16" spans="1:12" s="295" customFormat="1" ht="13.5" customHeight="1">
      <c r="A16" s="745" t="s">
        <v>113</v>
      </c>
      <c r="B16" s="746" t="s">
        <v>37</v>
      </c>
      <c r="C16" s="746" t="s">
        <v>46</v>
      </c>
      <c r="D16" s="746" t="s">
        <v>534</v>
      </c>
      <c r="E16" s="746" t="s">
        <v>641</v>
      </c>
      <c r="F16" s="747" t="s">
        <v>643</v>
      </c>
      <c r="G16" s="748">
        <v>6.6</v>
      </c>
      <c r="H16" s="749">
        <v>20.815999999999999</v>
      </c>
      <c r="I16" s="749">
        <v>20.16</v>
      </c>
      <c r="J16" s="750" t="s">
        <v>645</v>
      </c>
      <c r="K16" s="303"/>
      <c r="L16" s="295">
        <v>20.16</v>
      </c>
    </row>
    <row r="17" spans="1:13" ht="11.25" customHeight="1">
      <c r="A17" s="772" t="s">
        <v>44</v>
      </c>
      <c r="B17" s="773"/>
      <c r="C17" s="773"/>
      <c r="D17" s="773"/>
      <c r="E17" s="774"/>
      <c r="F17" s="775"/>
      <c r="G17" s="776"/>
      <c r="H17" s="777">
        <f>+SUM(H7:H16)+123.61</f>
        <v>530.48199999999986</v>
      </c>
      <c r="I17" s="777">
        <f>+SUM(L7:L16)</f>
        <v>508.85113000000007</v>
      </c>
      <c r="J17" s="778"/>
      <c r="K17" s="267"/>
      <c r="L17" s="617"/>
    </row>
    <row r="18" spans="1:13" ht="15" customHeight="1">
      <c r="A18" s="613" t="str">
        <f>"Cuadro N° 1: Relación de ingresos a operación comercial en "&amp;'1. Resumen'!Q4&amp;" "&amp;'1. Resumen'!Q5</f>
        <v>Cuadro N° 1: Relación de ingresos a operación comercial en setiembre 2018</v>
      </c>
      <c r="B18" s="153"/>
      <c r="C18" s="153"/>
      <c r="D18" s="153"/>
      <c r="E18" s="153"/>
      <c r="F18" s="153"/>
      <c r="G18" s="153"/>
      <c r="H18" s="153"/>
      <c r="I18" s="153"/>
      <c r="J18" s="153"/>
      <c r="K18" s="267"/>
    </row>
    <row r="19" spans="1:13" ht="11.25" customHeight="1">
      <c r="A19" s="902" t="s">
        <v>564</v>
      </c>
      <c r="B19" s="902"/>
      <c r="C19" s="902"/>
      <c r="D19" s="902"/>
      <c r="E19" s="902"/>
      <c r="F19" s="902"/>
      <c r="G19" s="902"/>
      <c r="H19" s="902"/>
      <c r="I19" s="902"/>
      <c r="J19" s="902"/>
      <c r="K19" s="267"/>
    </row>
    <row r="20" spans="1:13" ht="11.25" customHeight="1">
      <c r="A20" s="621" t="s">
        <v>537</v>
      </c>
      <c r="B20" s="621"/>
      <c r="C20" s="621"/>
      <c r="D20" s="621"/>
      <c r="E20" s="621"/>
      <c r="F20" s="621"/>
      <c r="G20" s="621"/>
      <c r="H20" s="621"/>
      <c r="I20" s="621"/>
      <c r="J20" s="621"/>
      <c r="K20" s="267"/>
      <c r="L20" s="95" t="s">
        <v>244</v>
      </c>
      <c r="M20" s="617">
        <f>+L7+L10</f>
        <v>189.01999999999998</v>
      </c>
    </row>
    <row r="21" spans="1:13" ht="20.25" customHeight="1">
      <c r="A21" s="903" t="s">
        <v>538</v>
      </c>
      <c r="B21" s="903"/>
      <c r="C21" s="903"/>
      <c r="D21" s="903"/>
      <c r="E21" s="903"/>
      <c r="F21" s="903"/>
      <c r="G21" s="903"/>
      <c r="H21" s="903"/>
      <c r="I21" s="903"/>
      <c r="J21" s="903"/>
      <c r="K21" s="267"/>
      <c r="L21" s="95" t="s">
        <v>535</v>
      </c>
      <c r="M21" s="617">
        <f>+L8+L16+L15+L14+L13</f>
        <v>81.179999999999993</v>
      </c>
    </row>
    <row r="22" spans="1:13" ht="11.25" customHeight="1">
      <c r="A22" s="903" t="s">
        <v>649</v>
      </c>
      <c r="B22" s="903"/>
      <c r="C22" s="903"/>
      <c r="D22" s="903"/>
      <c r="E22" s="903"/>
      <c r="F22" s="903"/>
      <c r="G22" s="903"/>
      <c r="H22" s="903"/>
      <c r="I22" s="903"/>
      <c r="J22" s="903"/>
      <c r="K22" s="267"/>
      <c r="L22" s="95" t="s">
        <v>647</v>
      </c>
      <c r="M22" s="617">
        <f>+L9</f>
        <v>103.95113000000001</v>
      </c>
    </row>
    <row r="23" spans="1:13" ht="15" customHeight="1">
      <c r="A23" s="306"/>
      <c r="B23" s="297"/>
      <c r="C23" s="297"/>
      <c r="D23" s="297"/>
      <c r="E23" s="297"/>
      <c r="F23" s="297"/>
      <c r="G23" s="297"/>
      <c r="H23" s="307"/>
      <c r="I23" s="307"/>
      <c r="J23" s="307"/>
      <c r="K23" s="267"/>
      <c r="L23" s="95" t="s">
        <v>565</v>
      </c>
      <c r="M23" s="95">
        <v>132.30000000000001</v>
      </c>
    </row>
    <row r="24" spans="1:13" ht="11.25" customHeight="1">
      <c r="A24" s="306"/>
      <c r="B24" s="297"/>
      <c r="C24" s="297"/>
      <c r="D24" s="297"/>
      <c r="E24" s="297"/>
      <c r="F24" s="297"/>
      <c r="G24" s="297"/>
      <c r="H24" s="305"/>
      <c r="I24" s="305" t="s">
        <v>8</v>
      </c>
      <c r="J24" s="305"/>
      <c r="K24" s="267"/>
      <c r="L24" s="95" t="s">
        <v>646</v>
      </c>
      <c r="M24" s="95">
        <f>+L12</f>
        <v>2.4</v>
      </c>
    </row>
    <row r="25" spans="1:13" ht="11.25" customHeight="1">
      <c r="A25" s="306"/>
      <c r="B25" s="297"/>
      <c r="C25" s="297"/>
      <c r="D25" s="297"/>
      <c r="E25" s="297"/>
      <c r="F25" s="297"/>
      <c r="G25" s="297"/>
      <c r="H25" s="305"/>
      <c r="I25" s="305"/>
      <c r="J25" s="305"/>
      <c r="K25" s="267"/>
    </row>
    <row r="26" spans="1:13" ht="11.25" customHeight="1">
      <c r="A26" s="306"/>
      <c r="B26" s="297"/>
      <c r="C26" s="297"/>
      <c r="D26" s="297"/>
      <c r="E26" s="297"/>
      <c r="F26" s="297"/>
      <c r="G26" s="297"/>
      <c r="H26" s="305"/>
      <c r="I26" s="305"/>
      <c r="J26" s="305"/>
      <c r="K26" s="267"/>
    </row>
    <row r="27" spans="1:13" ht="9" customHeight="1">
      <c r="A27" s="308"/>
      <c r="B27" s="309"/>
      <c r="C27" s="309"/>
      <c r="D27" s="309"/>
      <c r="E27" s="309"/>
      <c r="F27" s="309"/>
      <c r="G27" s="309"/>
      <c r="H27" s="310"/>
      <c r="I27" s="310"/>
      <c r="J27" s="310"/>
      <c r="K27" s="267"/>
    </row>
    <row r="28" spans="1:13" ht="9" customHeight="1">
      <c r="A28" s="311"/>
      <c r="B28" s="226"/>
      <c r="C28" s="226"/>
      <c r="D28" s="159"/>
      <c r="E28" s="159"/>
      <c r="F28" s="159"/>
      <c r="G28" s="159"/>
      <c r="H28" s="298"/>
      <c r="I28" s="298"/>
      <c r="J28" s="298"/>
      <c r="K28" s="267"/>
    </row>
    <row r="29" spans="1:13" ht="9" customHeight="1">
      <c r="A29" s="280"/>
      <c r="B29" s="159"/>
      <c r="C29" s="159"/>
      <c r="D29" s="159"/>
      <c r="E29" s="159"/>
      <c r="F29" s="159"/>
      <c r="G29" s="159"/>
      <c r="H29" s="298"/>
      <c r="I29" s="298"/>
      <c r="J29" s="298"/>
      <c r="K29" s="267"/>
    </row>
    <row r="30" spans="1:13" ht="11.25" customHeight="1">
      <c r="A30" s="280"/>
      <c r="B30" s="159"/>
      <c r="C30" s="159"/>
      <c r="D30" s="159"/>
      <c r="E30" s="159"/>
      <c r="F30" s="159"/>
      <c r="G30" s="159"/>
      <c r="H30" s="181"/>
      <c r="I30" s="181"/>
      <c r="J30" s="181"/>
      <c r="K30" s="267"/>
    </row>
    <row r="31" spans="1:13" ht="11.25" customHeight="1">
      <c r="A31" s="280"/>
      <c r="B31" s="159"/>
      <c r="C31" s="159"/>
      <c r="D31" s="159"/>
      <c r="E31" s="159"/>
      <c r="F31" s="159"/>
      <c r="G31" s="159"/>
      <c r="H31" s="298"/>
      <c r="I31" s="298"/>
      <c r="J31" s="298"/>
      <c r="K31" s="267"/>
    </row>
    <row r="32" spans="1:13" ht="11.25" customHeight="1">
      <c r="A32" s="280"/>
      <c r="B32" s="159"/>
      <c r="C32" s="159"/>
      <c r="D32" s="159"/>
      <c r="E32" s="159"/>
      <c r="F32" s="159"/>
      <c r="G32" s="159"/>
      <c r="H32" s="312"/>
      <c r="I32" s="312"/>
      <c r="J32" s="312"/>
      <c r="K32" s="267"/>
    </row>
    <row r="33" spans="1:15" ht="11.25" customHeight="1">
      <c r="A33" s="299"/>
      <c r="B33" s="192"/>
      <c r="C33" s="192"/>
      <c r="D33" s="192"/>
      <c r="E33" s="192"/>
      <c r="F33" s="192"/>
      <c r="G33" s="192"/>
      <c r="H33" s="192"/>
      <c r="I33" s="192"/>
      <c r="J33" s="192"/>
      <c r="K33" s="267"/>
    </row>
    <row r="34" spans="1:15" ht="11.25" customHeight="1">
      <c r="A34" s="297"/>
      <c r="B34" s="159"/>
      <c r="C34" s="159"/>
      <c r="D34" s="159"/>
      <c r="E34" s="159"/>
      <c r="F34" s="159"/>
      <c r="G34" s="159"/>
      <c r="H34" s="159"/>
      <c r="I34" s="159"/>
      <c r="J34" s="159"/>
      <c r="K34" s="267"/>
    </row>
    <row r="35" spans="1:15" ht="11.25" customHeight="1">
      <c r="A35" s="25"/>
      <c r="B35" s="892" t="str">
        <f>"Gráfico 2: Ingreso de Potencia Efectiva por tipo de Recurso Energético y Tecnología en "&amp;'1. Resumen'!Q4&amp;" "&amp;'1. Resumen'!Q5&amp;" (MW)"</f>
        <v>Gráfico 2: Ingreso de Potencia Efectiva por tipo de Recurso Energético y Tecnología en setiembre 2018 (MW)</v>
      </c>
      <c r="C35" s="892"/>
      <c r="D35" s="892"/>
      <c r="E35" s="892"/>
      <c r="F35" s="892"/>
      <c r="G35" s="892"/>
      <c r="H35" s="892"/>
      <c r="I35" s="892"/>
      <c r="J35" s="892"/>
      <c r="K35" s="892"/>
    </row>
    <row r="36" spans="1:15" ht="27" customHeight="1">
      <c r="B36" s="904" t="s">
        <v>545</v>
      </c>
      <c r="C36" s="904"/>
      <c r="D36" s="904"/>
      <c r="E36" s="904"/>
      <c r="F36" s="904"/>
      <c r="G36" s="904"/>
      <c r="H36" s="904"/>
    </row>
    <row r="37" spans="1:15" ht="9" customHeight="1">
      <c r="A37" s="84"/>
      <c r="B37" s="84"/>
      <c r="C37" s="84"/>
      <c r="D37" s="84"/>
      <c r="E37" s="25"/>
      <c r="F37" s="25"/>
      <c r="G37" s="84"/>
      <c r="H37" s="25"/>
      <c r="I37" s="25"/>
      <c r="J37" s="25"/>
      <c r="K37" s="267"/>
    </row>
    <row r="38" spans="1:15" ht="11.25" customHeight="1">
      <c r="A38" s="300" t="s">
        <v>485</v>
      </c>
      <c r="B38" s="153"/>
      <c r="C38" s="301"/>
      <c r="D38" s="153"/>
      <c r="E38" s="191"/>
      <c r="F38" s="191"/>
      <c r="G38" s="153"/>
      <c r="H38" s="191"/>
      <c r="I38" s="191"/>
      <c r="J38" s="191"/>
      <c r="K38" s="267"/>
    </row>
    <row r="39" spans="1:15" ht="11.25" customHeight="1">
      <c r="B39" s="153"/>
      <c r="C39" s="301"/>
      <c r="D39" s="153"/>
      <c r="E39" s="191"/>
      <c r="F39" s="191"/>
      <c r="G39" s="153"/>
      <c r="H39" s="191"/>
      <c r="I39" s="191"/>
      <c r="J39" s="191"/>
      <c r="K39" s="267"/>
    </row>
    <row r="40" spans="1:15" ht="21" customHeight="1">
      <c r="B40" s="890" t="s">
        <v>245</v>
      </c>
      <c r="C40" s="891"/>
      <c r="D40" s="779" t="str">
        <f>UPPER('1. Resumen'!Q4)&amp;" "&amp;'1. Resumen'!Q5</f>
        <v>SETIEMBRE 2018</v>
      </c>
      <c r="E40" s="779" t="str">
        <f>UPPER('1. Resumen'!Q4)&amp;" "&amp;'1. Resumen'!Q5-1</f>
        <v>SETIEMBRE 2017</v>
      </c>
      <c r="F40" s="780" t="s">
        <v>248</v>
      </c>
      <c r="G40" s="313"/>
      <c r="H40" s="314"/>
      <c r="I40" s="191"/>
      <c r="J40" s="191"/>
    </row>
    <row r="41" spans="1:15" ht="9.75" customHeight="1">
      <c r="B41" s="894" t="s">
        <v>238</v>
      </c>
      <c r="C41" s="895"/>
      <c r="D41" s="751">
        <v>4967.6492474999995</v>
      </c>
      <c r="E41" s="752">
        <v>4874.137248</v>
      </c>
      <c r="F41" s="753">
        <f>+D41/E41-1</f>
        <v>1.9185343937200505E-2</v>
      </c>
      <c r="G41" s="313"/>
      <c r="H41" s="314"/>
      <c r="I41" s="191"/>
      <c r="J41" s="191"/>
      <c r="K41" s="267"/>
    </row>
    <row r="42" spans="1:15" ht="9.75" customHeight="1">
      <c r="B42" s="896" t="s">
        <v>239</v>
      </c>
      <c r="C42" s="897"/>
      <c r="D42" s="754">
        <v>7395.9645</v>
      </c>
      <c r="E42" s="755">
        <v>7373.58</v>
      </c>
      <c r="F42" s="756">
        <f>+D42/E42-1</f>
        <v>3.0357709552211176E-3</v>
      </c>
      <c r="G42" s="315"/>
      <c r="H42" s="315"/>
      <c r="M42" s="302"/>
      <c r="N42" s="302"/>
      <c r="O42" s="153"/>
    </row>
    <row r="43" spans="1:15" ht="9.75" customHeight="1">
      <c r="B43" s="898" t="s">
        <v>240</v>
      </c>
      <c r="C43" s="899"/>
      <c r="D43" s="757">
        <v>375.46</v>
      </c>
      <c r="E43" s="758">
        <v>96</v>
      </c>
      <c r="F43" s="759">
        <f>+D43/E43-1</f>
        <v>2.9110416666666663</v>
      </c>
      <c r="G43" s="315"/>
      <c r="H43" s="315"/>
    </row>
    <row r="44" spans="1:15" ht="9.75" customHeight="1">
      <c r="B44" s="900" t="s">
        <v>84</v>
      </c>
      <c r="C44" s="901"/>
      <c r="D44" s="760">
        <v>285.02</v>
      </c>
      <c r="E44" s="761">
        <v>243.16</v>
      </c>
      <c r="F44" s="762">
        <f>+D44/E44-1</f>
        <v>0.17215002467511087</v>
      </c>
      <c r="G44" s="315"/>
      <c r="H44" s="315"/>
    </row>
    <row r="45" spans="1:15" ht="9.75" customHeight="1">
      <c r="B45" s="888" t="s">
        <v>213</v>
      </c>
      <c r="C45" s="889"/>
      <c r="D45" s="763">
        <f>+D41+D42+D43+D44</f>
        <v>13024.093747499999</v>
      </c>
      <c r="E45" s="764">
        <f>+E41+E42+E43+E44</f>
        <v>12586.877248000001</v>
      </c>
      <c r="F45" s="765">
        <f>+D45/E45-1</f>
        <v>3.4735899213561572E-2</v>
      </c>
      <c r="G45" s="619"/>
      <c r="H45" s="315"/>
    </row>
    <row r="46" spans="1:15" ht="11.25" customHeight="1">
      <c r="B46" s="613" t="str">
        <f>"Cuadro N° 2: Comparación de la potencia instalada en el SEIN al término de "&amp;'1. Resumen'!Q4&amp;" "&amp;'1. Resumen'!Q5-1&amp;" y "&amp;'1. Resumen'!Q4&amp;" "&amp;'1. Resumen'!Q5</f>
        <v>Cuadro N° 2: Comparación de la potencia instalada en el SEIN al término de setiembre 2017 y setiembre 2018</v>
      </c>
      <c r="C46" s="313"/>
      <c r="D46" s="313"/>
      <c r="E46" s="313"/>
      <c r="F46" s="313"/>
      <c r="G46" s="313"/>
      <c r="H46" s="313"/>
      <c r="I46" s="153"/>
      <c r="J46" s="153"/>
      <c r="K46" s="267"/>
    </row>
    <row r="47" spans="1:15" ht="11.25" customHeight="1">
      <c r="A47" s="153"/>
      <c r="C47" s="315"/>
      <c r="D47" s="313"/>
      <c r="E47" s="313"/>
      <c r="F47" s="313"/>
      <c r="G47" s="313"/>
      <c r="H47" s="313"/>
      <c r="I47" s="153"/>
      <c r="J47" s="153"/>
      <c r="K47" s="267"/>
    </row>
    <row r="48" spans="1:15" ht="11.25" customHeight="1">
      <c r="A48" s="153"/>
      <c r="B48" s="153"/>
      <c r="C48" s="153"/>
      <c r="D48" s="153"/>
      <c r="E48" s="153"/>
      <c r="F48" s="153"/>
      <c r="G48" s="153"/>
      <c r="H48" s="153"/>
      <c r="I48" s="153"/>
      <c r="J48" s="153"/>
      <c r="K48" s="267"/>
    </row>
    <row r="49" spans="1:11" ht="11.25" customHeight="1">
      <c r="A49" s="153"/>
      <c r="B49" s="153"/>
      <c r="C49" s="153"/>
      <c r="D49" s="153"/>
      <c r="E49" s="153"/>
      <c r="F49" s="153"/>
      <c r="G49" s="153"/>
      <c r="H49" s="153"/>
      <c r="I49" s="153"/>
      <c r="J49" s="153"/>
      <c r="K49" s="267"/>
    </row>
    <row r="50" spans="1:11">
      <c r="A50" s="158"/>
      <c r="B50" s="153"/>
      <c r="C50" s="153"/>
      <c r="D50" s="153"/>
      <c r="E50" s="153"/>
      <c r="F50" s="153"/>
      <c r="G50" s="153"/>
      <c r="H50" s="153"/>
      <c r="I50" s="153"/>
      <c r="J50" s="153"/>
    </row>
    <row r="51" spans="1:11">
      <c r="A51" s="153"/>
      <c r="B51" s="153"/>
      <c r="C51" s="153"/>
      <c r="D51" s="153"/>
      <c r="E51" s="153"/>
      <c r="F51" s="153"/>
      <c r="G51" s="153"/>
      <c r="H51" s="153"/>
      <c r="I51" s="153"/>
      <c r="J51" s="153"/>
    </row>
    <row r="52" spans="1:11">
      <c r="A52" s="153"/>
      <c r="B52" s="153"/>
      <c r="C52" s="153"/>
      <c r="D52" s="153"/>
      <c r="E52" s="153"/>
      <c r="F52" s="153"/>
      <c r="G52" s="153"/>
      <c r="H52" s="153"/>
      <c r="I52" s="153"/>
      <c r="J52" s="153"/>
    </row>
    <row r="53" spans="1:11">
      <c r="A53" s="153"/>
      <c r="B53" s="153"/>
      <c r="C53" s="153"/>
      <c r="D53" s="153"/>
      <c r="E53" s="153"/>
      <c r="F53" s="153"/>
      <c r="G53" s="153"/>
      <c r="H53" s="153"/>
      <c r="I53" s="153"/>
      <c r="J53" s="153"/>
    </row>
    <row r="54" spans="1:11">
      <c r="A54" s="153"/>
      <c r="B54" s="153"/>
      <c r="C54" s="153"/>
      <c r="D54" s="153"/>
      <c r="E54" s="153"/>
      <c r="F54" s="153"/>
      <c r="G54" s="153"/>
      <c r="H54" s="153"/>
      <c r="I54" s="153"/>
      <c r="J54" s="153"/>
    </row>
    <row r="55" spans="1:11">
      <c r="A55" s="153"/>
      <c r="B55" s="153"/>
      <c r="C55" s="153"/>
      <c r="D55" s="153"/>
      <c r="E55" s="153"/>
      <c r="F55" s="153"/>
      <c r="G55" s="153"/>
      <c r="H55" s="153"/>
      <c r="I55" s="153"/>
      <c r="J55" s="153"/>
    </row>
    <row r="56" spans="1:11">
      <c r="A56" s="153"/>
      <c r="B56" s="153"/>
      <c r="C56" s="153"/>
      <c r="D56" s="153"/>
      <c r="E56" s="153"/>
      <c r="F56" s="153"/>
      <c r="G56" s="153"/>
      <c r="H56" s="153"/>
      <c r="I56" s="153"/>
      <c r="J56" s="153"/>
    </row>
    <row r="57" spans="1:11">
      <c r="A57" s="153"/>
      <c r="B57" s="153"/>
      <c r="C57" s="153"/>
      <c r="D57" s="153"/>
      <c r="E57" s="153"/>
      <c r="F57" s="153"/>
      <c r="G57" s="153"/>
      <c r="H57" s="153"/>
      <c r="I57" s="153"/>
      <c r="J57" s="153"/>
    </row>
    <row r="58" spans="1:11">
      <c r="A58" s="614" t="str">
        <f>"Gráfico N° 3: Comparación de la potencia instalada en el SEIN al término de "&amp;'1. Resumen'!Q4&amp;" "&amp;'1. Resumen'!Q5-1&amp;" y "&amp;'1. Resumen'!Q4&amp;" "&amp;'1. Resumen'!Q5</f>
        <v>Gráfico N° 3: Comparación de la potencia instalada en el SEIN al término de setiembre 2017 y setiembre 2018</v>
      </c>
      <c r="C58" s="153"/>
      <c r="D58" s="153"/>
      <c r="E58" s="153"/>
      <c r="F58" s="153"/>
      <c r="G58" s="153"/>
      <c r="H58" s="153"/>
      <c r="I58" s="153"/>
      <c r="J58" s="153"/>
    </row>
    <row r="59" spans="1:11" ht="5.25" customHeight="1">
      <c r="A59" s="153"/>
      <c r="B59" s="153"/>
      <c r="D59" s="153"/>
      <c r="E59" s="153"/>
      <c r="F59" s="153"/>
      <c r="G59" s="153"/>
      <c r="H59" s="153"/>
      <c r="I59" s="153"/>
      <c r="J59" s="153"/>
    </row>
  </sheetData>
  <mergeCells count="12">
    <mergeCell ref="B45:C45"/>
    <mergeCell ref="B40:C40"/>
    <mergeCell ref="B35:K35"/>
    <mergeCell ref="A2:J2"/>
    <mergeCell ref="B41:C41"/>
    <mergeCell ref="B42:C42"/>
    <mergeCell ref="B43:C43"/>
    <mergeCell ref="B44:C44"/>
    <mergeCell ref="A19:J19"/>
    <mergeCell ref="A21:J21"/>
    <mergeCell ref="B36:H36"/>
    <mergeCell ref="A22:J22"/>
  </mergeCells>
  <conditionalFormatting sqref="A25:A27">
    <cfRule type="containsText" dxfId="13" priority="5" stopIfTrue="1" operator="containsText" text=" 0%">
      <formula>NOT(ISERROR(SEARCH(" 0%",A25)))</formula>
    </cfRule>
    <cfRule type="containsText" dxfId="12" priority="6" stopIfTrue="1" operator="containsText" text="0.0%">
      <formula>NOT(ISERROR(SEARCH("0.0%",A25)))</formula>
    </cfRule>
  </conditionalFormatting>
  <conditionalFormatting sqref="A23">
    <cfRule type="containsText" dxfId="11" priority="3" stopIfTrue="1" operator="containsText" text=" 0%">
      <formula>NOT(ISERROR(SEARCH(" 0%",A23)))</formula>
    </cfRule>
    <cfRule type="containsText" dxfId="10" priority="4" stopIfTrue="1" operator="containsText" text="0.0%">
      <formula>NOT(ISERROR(SEARCH("0.0%",A23)))</formula>
    </cfRule>
  </conditionalFormatting>
  <conditionalFormatting sqref="A24">
    <cfRule type="containsText" dxfId="9" priority="1" stopIfTrue="1" operator="containsText" text=" 0%">
      <formula>NOT(ISERROR(SEARCH(" 0%",A24)))</formula>
    </cfRule>
    <cfRule type="containsText" dxfId="8" priority="2" stopIfTrue="1" operator="containsText" text="0.0%">
      <formula>NOT(ISERROR(SEARCH("0.0%",A24)))</formula>
    </cfRule>
  </conditionalFormatting>
  <pageMargins left="0.7" right="0.57471264367816088" top="0.86956521739130432" bottom="0.61458333333333337" header="0.3" footer="0.3"/>
  <pageSetup orientation="portrait" r:id="rId1"/>
  <headerFooter>
    <oddHeader>&amp;R&amp;7Informe de la Operación Mensual - Setiembre 2018
INFSGI-MES-09-2018
11/10/2018
Versión: 01</oddHeader>
    <oddFooter>&amp;L&amp;7COES, 2018&amp;C2&amp;R&amp;7Dirección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zoomScale="120" zoomScaleNormal="100" zoomScaleSheetLayoutView="120" zoomScalePageLayoutView="160" workbookViewId="0">
      <selection activeCell="M27" sqref="M27"/>
    </sheetView>
  </sheetViews>
  <sheetFormatPr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10.3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909" t="s">
        <v>251</v>
      </c>
      <c r="B2" s="909"/>
      <c r="C2" s="909"/>
      <c r="D2" s="909"/>
      <c r="E2" s="909"/>
      <c r="F2" s="909"/>
      <c r="G2" s="909"/>
      <c r="H2" s="909"/>
      <c r="I2" s="909"/>
      <c r="J2" s="909"/>
      <c r="K2" s="909"/>
    </row>
    <row r="3" spans="1:11" ht="11.25" customHeight="1">
      <c r="A3" s="103"/>
      <c r="B3" s="104"/>
      <c r="C3" s="105"/>
      <c r="D3" s="106"/>
      <c r="E3" s="106"/>
      <c r="F3" s="106"/>
      <c r="G3" s="106"/>
      <c r="H3" s="103"/>
      <c r="I3" s="103"/>
      <c r="J3" s="103"/>
      <c r="K3" s="107"/>
    </row>
    <row r="4" spans="1:11" ht="11.25" customHeight="1">
      <c r="A4" s="910" t="str">
        <f>+"3.1. PRODUCCIÓN POR TIPO DE GENERACIÓN (GWh)"</f>
        <v>3.1. PRODUCCIÓN POR TIPO DE GENERACIÓN (GWh)</v>
      </c>
      <c r="B4" s="910"/>
      <c r="C4" s="910"/>
      <c r="D4" s="910"/>
      <c r="E4" s="910"/>
      <c r="F4" s="910"/>
      <c r="G4" s="910"/>
      <c r="H4" s="910"/>
      <c r="I4" s="910"/>
      <c r="J4" s="910"/>
      <c r="K4" s="910"/>
    </row>
    <row r="5" spans="1:11" ht="11.25" customHeight="1">
      <c r="A5" s="93"/>
      <c r="B5" s="108"/>
      <c r="C5" s="109"/>
      <c r="D5" s="110"/>
      <c r="E5" s="110"/>
      <c r="F5" s="110"/>
      <c r="G5" s="110"/>
      <c r="H5" s="111"/>
      <c r="I5" s="103"/>
      <c r="J5" s="103"/>
      <c r="K5" s="112"/>
    </row>
    <row r="6" spans="1:11" ht="18" customHeight="1">
      <c r="A6" s="907" t="s">
        <v>32</v>
      </c>
      <c r="B6" s="911" t="s">
        <v>33</v>
      </c>
      <c r="C6" s="912"/>
      <c r="D6" s="912"/>
      <c r="E6" s="912" t="s">
        <v>34</v>
      </c>
      <c r="F6" s="912"/>
      <c r="G6" s="913" t="str">
        <f>"Generación Acumulada a "&amp;'1. Resumen'!Q4</f>
        <v>Generación Acumulada a setiembre</v>
      </c>
      <c r="H6" s="913"/>
      <c r="I6" s="913"/>
      <c r="J6" s="913"/>
      <c r="K6" s="914"/>
    </row>
    <row r="7" spans="1:11" ht="32.25" customHeight="1">
      <c r="A7" s="908"/>
      <c r="B7" s="781">
        <f>+C7-30</f>
        <v>43286</v>
      </c>
      <c r="C7" s="781">
        <f>+D7-28</f>
        <v>43316</v>
      </c>
      <c r="D7" s="781">
        <f>+'1. Resumen'!Q6</f>
        <v>43344</v>
      </c>
      <c r="E7" s="781">
        <f>+D7-365</f>
        <v>42979</v>
      </c>
      <c r="F7" s="782" t="s">
        <v>35</v>
      </c>
      <c r="G7" s="783">
        <v>2018</v>
      </c>
      <c r="H7" s="783">
        <v>2017</v>
      </c>
      <c r="I7" s="782" t="s">
        <v>43</v>
      </c>
      <c r="J7" s="783">
        <v>2016</v>
      </c>
      <c r="K7" s="784" t="s">
        <v>36</v>
      </c>
    </row>
    <row r="8" spans="1:11" ht="15" customHeight="1">
      <c r="A8" s="137" t="s">
        <v>37</v>
      </c>
      <c r="B8" s="531">
        <v>1997.8919180625003</v>
      </c>
      <c r="C8" s="525">
        <v>1974.104242622501</v>
      </c>
      <c r="D8" s="532">
        <v>1656.4380512150008</v>
      </c>
      <c r="E8" s="531">
        <v>1850.3046790381316</v>
      </c>
      <c r="F8" s="323">
        <f>IF(E8=0,"",D8/E8-1)</f>
        <v>-0.10477551617278025</v>
      </c>
      <c r="G8" s="539">
        <v>21956.429081425005</v>
      </c>
      <c r="H8" s="525">
        <v>20893.304815372703</v>
      </c>
      <c r="I8" s="327">
        <f>IF(H8=0,"",G8/H8-1)</f>
        <v>5.0883489971872864E-2</v>
      </c>
      <c r="J8" s="531">
        <v>17232.246292571806</v>
      </c>
      <c r="K8" s="323">
        <f t="shared" ref="K8:K15" si="0">IF(J8=0,"",H8/J8-1)</f>
        <v>0.21245393436484505</v>
      </c>
    </row>
    <row r="9" spans="1:11" ht="15" customHeight="1">
      <c r="A9" s="138" t="s">
        <v>38</v>
      </c>
      <c r="B9" s="533">
        <v>2022.4257541475008</v>
      </c>
      <c r="C9" s="526">
        <v>2048.3355431300001</v>
      </c>
      <c r="D9" s="534">
        <v>2273.546356267499</v>
      </c>
      <c r="E9" s="533">
        <v>2031.5354294135193</v>
      </c>
      <c r="F9" s="324">
        <f t="shared" ref="F9:F15" si="1">IF(E9=0,"",D9/E9-1)</f>
        <v>0.11912710128016113</v>
      </c>
      <c r="G9" s="540">
        <v>14148.390674712502</v>
      </c>
      <c r="H9" s="526">
        <v>14768.310769117192</v>
      </c>
      <c r="I9" s="328">
        <f t="shared" ref="I9:I15" si="2">IF(H9=0,"",G9/H9-1)</f>
        <v>-4.1976371170427851E-2</v>
      </c>
      <c r="J9" s="533">
        <v>17649.701186156955</v>
      </c>
      <c r="K9" s="324">
        <f t="shared" si="0"/>
        <v>-0.16325434559196395</v>
      </c>
    </row>
    <row r="10" spans="1:11" ht="15" customHeight="1">
      <c r="A10" s="139" t="s">
        <v>39</v>
      </c>
      <c r="B10" s="535">
        <v>130.32940518999999</v>
      </c>
      <c r="C10" s="527">
        <v>134.3830846825</v>
      </c>
      <c r="D10" s="536">
        <v>141.62182448750002</v>
      </c>
      <c r="E10" s="535">
        <v>112.36269788254573</v>
      </c>
      <c r="F10" s="325">
        <f t="shared" si="1"/>
        <v>0.26039893270931658</v>
      </c>
      <c r="G10" s="541">
        <v>1064.91893714</v>
      </c>
      <c r="H10" s="527">
        <v>765.53162926478979</v>
      </c>
      <c r="I10" s="329">
        <f t="shared" si="2"/>
        <v>0.39108417788398797</v>
      </c>
      <c r="J10" s="535">
        <v>749.73628240370476</v>
      </c>
      <c r="K10" s="325">
        <f t="shared" si="0"/>
        <v>2.1067870438981728E-2</v>
      </c>
    </row>
    <row r="11" spans="1:11" ht="15" customHeight="1">
      <c r="A11" s="138" t="s">
        <v>30</v>
      </c>
      <c r="B11" s="533">
        <v>49.3644935425</v>
      </c>
      <c r="C11" s="526">
        <v>65.050804804999999</v>
      </c>
      <c r="D11" s="534">
        <v>71.752520337500002</v>
      </c>
      <c r="E11" s="533">
        <v>18.929945049992501</v>
      </c>
      <c r="F11" s="324">
        <f>IF(E11=0,"",D11/E11-1)</f>
        <v>2.7904241215707293</v>
      </c>
      <c r="G11" s="540">
        <v>516.96294117500008</v>
      </c>
      <c r="H11" s="526">
        <v>160.64373730200052</v>
      </c>
      <c r="I11" s="328">
        <f t="shared" si="2"/>
        <v>2.2180709304785471</v>
      </c>
      <c r="J11" s="533">
        <v>173.42612891204161</v>
      </c>
      <c r="K11" s="324">
        <f t="shared" si="0"/>
        <v>-7.3705108279987441E-2</v>
      </c>
    </row>
    <row r="12" spans="1:11" ht="15" customHeight="1">
      <c r="A12" s="168" t="s">
        <v>44</v>
      </c>
      <c r="B12" s="537">
        <f>+B8+B9+B10+B11</f>
        <v>4200.0115709425008</v>
      </c>
      <c r="C12" s="528">
        <f>+C8+C9+C10+C11</f>
        <v>4221.8736752400009</v>
      </c>
      <c r="D12" s="538">
        <f>+D8+D9+D10+D11</f>
        <v>4143.3587523074993</v>
      </c>
      <c r="E12" s="537">
        <f>+E8+E9+E10+E11</f>
        <v>4013.1327513841893</v>
      </c>
      <c r="F12" s="326">
        <f>IF(E12=0,"",D12/E12-1)</f>
        <v>3.2449960913551346E-2</v>
      </c>
      <c r="G12" s="537">
        <f>+G8+G9+G10+G11</f>
        <v>37686.701634452504</v>
      </c>
      <c r="H12" s="528">
        <f>+H8+H9+H10+H11</f>
        <v>36587.79095105669</v>
      </c>
      <c r="I12" s="330">
        <f>IF(H12=0,"",G12/H12-1)</f>
        <v>3.0034901119496915E-2</v>
      </c>
      <c r="J12" s="537">
        <f>+J8+J9+J10+J11</f>
        <v>35805.109890044507</v>
      </c>
      <c r="K12" s="326">
        <f t="shared" si="0"/>
        <v>2.1859479370842649E-2</v>
      </c>
    </row>
    <row r="13" spans="1:11" ht="15" customHeight="1">
      <c r="A13" s="133"/>
      <c r="B13" s="133"/>
      <c r="C13" s="133"/>
      <c r="D13" s="133"/>
      <c r="E13" s="133"/>
      <c r="F13" s="135"/>
      <c r="G13" s="133"/>
      <c r="H13" s="133"/>
      <c r="I13" s="135"/>
      <c r="J13" s="134"/>
      <c r="K13" s="135" t="str">
        <f t="shared" si="0"/>
        <v/>
      </c>
    </row>
    <row r="14" spans="1:11" ht="15" customHeight="1">
      <c r="A14" s="140" t="s">
        <v>40</v>
      </c>
      <c r="B14" s="321">
        <v>3.7181487299999998</v>
      </c>
      <c r="C14" s="322">
        <v>6.7408331799999992</v>
      </c>
      <c r="D14" s="530">
        <v>6.9169657400000002</v>
      </c>
      <c r="E14" s="321">
        <v>0</v>
      </c>
      <c r="F14" s="141" t="str">
        <f t="shared" si="1"/>
        <v/>
      </c>
      <c r="G14" s="321">
        <v>21.20075765</v>
      </c>
      <c r="H14" s="322">
        <v>16.595158999999999</v>
      </c>
      <c r="I14" s="144">
        <f t="shared" si="2"/>
        <v>0.27752663593039406</v>
      </c>
      <c r="J14" s="321">
        <v>22.400469620000003</v>
      </c>
      <c r="K14" s="141">
        <f t="shared" si="0"/>
        <v>-0.25916021933829447</v>
      </c>
    </row>
    <row r="15" spans="1:11" ht="15" customHeight="1">
      <c r="A15" s="139" t="s">
        <v>41</v>
      </c>
      <c r="B15" s="318">
        <v>0</v>
      </c>
      <c r="C15" s="319">
        <v>0</v>
      </c>
      <c r="D15" s="320">
        <v>0</v>
      </c>
      <c r="E15" s="318">
        <v>0</v>
      </c>
      <c r="F15" s="142" t="str">
        <f t="shared" si="1"/>
        <v/>
      </c>
      <c r="G15" s="318">
        <v>0</v>
      </c>
      <c r="H15" s="319">
        <v>0</v>
      </c>
      <c r="I15" s="136" t="str">
        <f t="shared" si="2"/>
        <v/>
      </c>
      <c r="J15" s="318">
        <v>37.352100999999998</v>
      </c>
      <c r="K15" s="142">
        <f t="shared" si="0"/>
        <v>-1</v>
      </c>
    </row>
    <row r="16" spans="1:11" ht="23.25" customHeight="1">
      <c r="A16" s="146" t="s">
        <v>42</v>
      </c>
      <c r="B16" s="331">
        <f>+B15-B14</f>
        <v>-3.7181487299999998</v>
      </c>
      <c r="C16" s="331">
        <f>+C15-C14</f>
        <v>-6.7408331799999992</v>
      </c>
      <c r="D16" s="331">
        <f>+D15-D14</f>
        <v>-6.9169657400000002</v>
      </c>
      <c r="E16" s="331">
        <f>+E15-E14</f>
        <v>0</v>
      </c>
      <c r="F16" s="143"/>
      <c r="G16" s="331">
        <f>+G15-G14</f>
        <v>-21.20075765</v>
      </c>
      <c r="H16" s="332">
        <f>+H15-H14</f>
        <v>-16.595158999999999</v>
      </c>
      <c r="I16" s="145"/>
      <c r="J16" s="331">
        <f>+J15-J14</f>
        <v>14.951631379999995</v>
      </c>
      <c r="K16" s="143"/>
    </row>
    <row r="17" spans="1:11" ht="11.25" customHeight="1">
      <c r="A17" s="333" t="s">
        <v>250</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905"/>
      <c r="C42" s="905"/>
      <c r="D42" s="905"/>
      <c r="E42" s="113"/>
      <c r="F42" s="113"/>
      <c r="G42" s="906"/>
      <c r="H42" s="906"/>
      <c r="I42" s="906"/>
      <c r="J42" s="906"/>
      <c r="K42" s="906"/>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34" t="str">
        <f>"Gráfico N° 4: Comparación de la producción de energía eléctrica por tipo de generación acumulada a "&amp;'1. Resumen'!Q4</f>
        <v>Gráfico N° 4: Comparación de la producción de energía eléctrica por tipo de generación acumulada a setiembre</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&amp;RInforme de la Operación Mensual - Setiembre 2018
INFSGI-MES-09-2018
11/10/2018
Versión: 01</oddHeader>
    <oddFooter>&amp;L&amp;7COES, 2018&amp;C3&amp;R&amp;7Dirección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topLeftCell="A27" zoomScale="130" zoomScaleNormal="100" zoomScaleSheetLayoutView="130" zoomScalePageLayoutView="145" workbookViewId="0">
      <selection activeCell="M27" sqref="M27"/>
    </sheetView>
  </sheetViews>
  <sheetFormatPr defaultRowHeight="11.25"/>
  <cols>
    <col min="1" max="1" width="16.1640625" style="3" customWidth="1"/>
    <col min="2" max="6" width="9.5" style="3" bestFit="1" customWidth="1"/>
    <col min="7" max="8" width="10.5" style="3" bestFit="1" customWidth="1"/>
    <col min="9" max="9" width="9.5" style="3" bestFit="1" customWidth="1"/>
    <col min="10" max="10" width="10.5" style="3" bestFit="1" customWidth="1"/>
    <col min="11" max="11" width="9.33203125" style="3" customWidth="1"/>
    <col min="12" max="16384" width="9.33203125" style="3"/>
  </cols>
  <sheetData>
    <row r="1" spans="1:12" ht="11.25" customHeight="1"/>
    <row r="2" spans="1:12" ht="11.25" customHeight="1">
      <c r="A2" s="915" t="str">
        <f>+"3.2. PRODUCCIÓN POR TIPO DE RECURSO ENERGÉTICO (GWh)"</f>
        <v>3.2. PRODUCCIÓN POR TIPO DE RECURSO ENERGÉTICO (GWh)</v>
      </c>
      <c r="B2" s="915"/>
      <c r="C2" s="915"/>
      <c r="D2" s="915"/>
      <c r="E2" s="915"/>
      <c r="F2" s="915"/>
      <c r="G2" s="915"/>
      <c r="H2" s="915"/>
      <c r="I2" s="915"/>
      <c r="J2" s="915"/>
      <c r="K2" s="915"/>
    </row>
    <row r="3" spans="1:12" ht="18.75" customHeight="1">
      <c r="A3" s="147"/>
      <c r="B3" s="148"/>
      <c r="C3" s="149"/>
      <c r="D3" s="150"/>
      <c r="E3" s="150"/>
      <c r="F3" s="150"/>
      <c r="G3" s="151"/>
      <c r="H3" s="151"/>
      <c r="I3" s="151"/>
      <c r="J3" s="147"/>
      <c r="K3" s="147"/>
      <c r="L3" s="45"/>
    </row>
    <row r="4" spans="1:12" ht="14.25" customHeight="1">
      <c r="A4" s="919" t="s">
        <v>45</v>
      </c>
      <c r="B4" s="916" t="s">
        <v>33</v>
      </c>
      <c r="C4" s="917"/>
      <c r="D4" s="917"/>
      <c r="E4" s="917" t="s">
        <v>34</v>
      </c>
      <c r="F4" s="917"/>
      <c r="G4" s="918" t="str">
        <f>+'3. Tipo Generación'!G6:K6</f>
        <v>Generación Acumulada a setiembre</v>
      </c>
      <c r="H4" s="918"/>
      <c r="I4" s="918"/>
      <c r="J4" s="918"/>
      <c r="K4" s="918"/>
      <c r="L4" s="152"/>
    </row>
    <row r="5" spans="1:12" ht="26.25" customHeight="1">
      <c r="A5" s="919"/>
      <c r="B5" s="785">
        <f>+'3. Tipo Generación'!B7</f>
        <v>43286</v>
      </c>
      <c r="C5" s="785">
        <f>+'3. Tipo Generación'!C7</f>
        <v>43316</v>
      </c>
      <c r="D5" s="785">
        <f>+'3. Tipo Generación'!D7</f>
        <v>43344</v>
      </c>
      <c r="E5" s="785">
        <f>+'3. Tipo Generación'!E7</f>
        <v>42979</v>
      </c>
      <c r="F5" s="786" t="s">
        <v>35</v>
      </c>
      <c r="G5" s="787">
        <v>2018</v>
      </c>
      <c r="H5" s="787">
        <v>2017</v>
      </c>
      <c r="I5" s="786" t="s">
        <v>43</v>
      </c>
      <c r="J5" s="787">
        <v>2016</v>
      </c>
      <c r="K5" s="786" t="s">
        <v>36</v>
      </c>
      <c r="L5" s="26"/>
    </row>
    <row r="6" spans="1:12" ht="11.25" customHeight="1">
      <c r="A6" s="161" t="s">
        <v>46</v>
      </c>
      <c r="B6" s="435">
        <v>1997.8919180625003</v>
      </c>
      <c r="C6" s="436">
        <v>1974.104242622501</v>
      </c>
      <c r="D6" s="437">
        <v>1656.4380512150008</v>
      </c>
      <c r="E6" s="435">
        <v>1850.3046790381316</v>
      </c>
      <c r="F6" s="345">
        <f>IF(E6=0,"",D6/E6-1)</f>
        <v>-0.10477551617278025</v>
      </c>
      <c r="G6" s="435">
        <v>21956.429081425005</v>
      </c>
      <c r="H6" s="436">
        <v>20893.304815372703</v>
      </c>
      <c r="I6" s="345">
        <f t="shared" ref="I6:I16" si="0">IF(H6=0,"",G6/H6-1)</f>
        <v>5.0883489971872864E-2</v>
      </c>
      <c r="J6" s="435">
        <v>17232.246292571806</v>
      </c>
      <c r="K6" s="345">
        <f>IF(J6=0,"",H6/J6-1)</f>
        <v>0.21245393436484505</v>
      </c>
      <c r="L6" s="31"/>
    </row>
    <row r="7" spans="1:12" ht="11.25" customHeight="1">
      <c r="A7" s="162" t="s">
        <v>52</v>
      </c>
      <c r="B7" s="438">
        <v>1851.7327688475004</v>
      </c>
      <c r="C7" s="335">
        <v>1870.6411623950003</v>
      </c>
      <c r="D7" s="439">
        <v>2095.2852496499995</v>
      </c>
      <c r="E7" s="438">
        <v>1653.8179661687636</v>
      </c>
      <c r="F7" s="346">
        <f t="shared" ref="F7:F19" si="1">IF(E7=0,"",D7/E7-1)</f>
        <v>0.26693825590971132</v>
      </c>
      <c r="G7" s="438">
        <v>13134.590879654999</v>
      </c>
      <c r="H7" s="335">
        <v>12711.04542937821</v>
      </c>
      <c r="I7" s="346">
        <f t="shared" si="0"/>
        <v>3.3321055504834884E-2</v>
      </c>
      <c r="J7" s="438">
        <v>15433.439633764816</v>
      </c>
      <c r="K7" s="346">
        <f t="shared" ref="K7:K19" si="2">IF(J7=0,"",H7/J7-1)</f>
        <v>-0.17639581771717527</v>
      </c>
      <c r="L7" s="34"/>
    </row>
    <row r="8" spans="1:12" ht="11.25" customHeight="1">
      <c r="A8" s="163" t="s">
        <v>53</v>
      </c>
      <c r="B8" s="440">
        <v>70.669869724999998</v>
      </c>
      <c r="C8" s="336">
        <v>69.072626775000018</v>
      </c>
      <c r="D8" s="441">
        <v>64.839849642499999</v>
      </c>
      <c r="E8" s="440">
        <v>65.022231922936001</v>
      </c>
      <c r="F8" s="625">
        <f t="shared" si="1"/>
        <v>-2.8049218712171697E-3</v>
      </c>
      <c r="G8" s="440">
        <v>424.75720211999999</v>
      </c>
      <c r="H8" s="336">
        <v>359.50202991758681</v>
      </c>
      <c r="I8" s="625">
        <f t="shared" si="0"/>
        <v>0.18151544851463686</v>
      </c>
      <c r="J8" s="440">
        <v>470.01898185415217</v>
      </c>
      <c r="K8" s="625">
        <f t="shared" si="2"/>
        <v>-0.23513295463215778</v>
      </c>
      <c r="L8" s="29"/>
    </row>
    <row r="9" spans="1:12" ht="11.25" customHeight="1">
      <c r="A9" s="162" t="s">
        <v>54</v>
      </c>
      <c r="B9" s="438">
        <v>61.959598970000009</v>
      </c>
      <c r="C9" s="335">
        <v>65.572510984999994</v>
      </c>
      <c r="D9" s="439">
        <v>93.527719640000001</v>
      </c>
      <c r="E9" s="438">
        <v>40.668778535391404</v>
      </c>
      <c r="F9" s="346">
        <f t="shared" si="1"/>
        <v>1.2997425299756391</v>
      </c>
      <c r="G9" s="438">
        <v>334.13843624499998</v>
      </c>
      <c r="H9" s="335">
        <v>93.662222908517805</v>
      </c>
      <c r="I9" s="346">
        <f t="shared" si="0"/>
        <v>2.5674835154335511</v>
      </c>
      <c r="J9" s="438">
        <v>323.0768771425507</v>
      </c>
      <c r="K9" s="346">
        <f t="shared" si="2"/>
        <v>-0.71009307835053947</v>
      </c>
      <c r="L9" s="29"/>
    </row>
    <row r="10" spans="1:12" ht="11.25" customHeight="1">
      <c r="A10" s="163" t="s">
        <v>55</v>
      </c>
      <c r="B10" s="440">
        <v>0</v>
      </c>
      <c r="C10" s="336">
        <v>0</v>
      </c>
      <c r="D10" s="441">
        <v>0</v>
      </c>
      <c r="E10" s="440">
        <v>0</v>
      </c>
      <c r="F10" s="625" t="str">
        <f t="shared" si="1"/>
        <v/>
      </c>
      <c r="G10" s="440">
        <v>0</v>
      </c>
      <c r="H10" s="336">
        <v>9.7034091828799998</v>
      </c>
      <c r="I10" s="625">
        <f t="shared" si="0"/>
        <v>-1</v>
      </c>
      <c r="J10" s="440">
        <v>90.266824207152155</v>
      </c>
      <c r="K10" s="625">
        <f t="shared" si="2"/>
        <v>-0.89250304009132109</v>
      </c>
      <c r="L10" s="29"/>
    </row>
    <row r="11" spans="1:12" ht="11.25" customHeight="1">
      <c r="A11" s="162" t="s">
        <v>26</v>
      </c>
      <c r="B11" s="438">
        <v>10.7779047775</v>
      </c>
      <c r="C11" s="335">
        <v>5.4412924199999999</v>
      </c>
      <c r="D11" s="439">
        <v>0</v>
      </c>
      <c r="E11" s="438">
        <v>90.171078251284897</v>
      </c>
      <c r="F11" s="346">
        <f t="shared" si="1"/>
        <v>-1</v>
      </c>
      <c r="G11" s="438">
        <v>43.120710160000002</v>
      </c>
      <c r="H11" s="335">
        <v>650.66309742779697</v>
      </c>
      <c r="I11" s="346">
        <f t="shared" si="0"/>
        <v>-0.93372805322683139</v>
      </c>
      <c r="J11" s="438">
        <v>582.02784516054737</v>
      </c>
      <c r="K11" s="346">
        <f t="shared" si="2"/>
        <v>0.11792434475075186</v>
      </c>
      <c r="L11" s="31"/>
    </row>
    <row r="12" spans="1:12" ht="11.25" customHeight="1">
      <c r="A12" s="163" t="s">
        <v>47</v>
      </c>
      <c r="B12" s="440">
        <v>2.6472260375000003</v>
      </c>
      <c r="C12" s="336">
        <v>0.80491174749999994</v>
      </c>
      <c r="D12" s="441">
        <v>1.3090175000000001E-2</v>
      </c>
      <c r="E12" s="440">
        <v>16.762877692585725</v>
      </c>
      <c r="F12" s="625">
        <f t="shared" si="1"/>
        <v>-0.99921909738649528</v>
      </c>
      <c r="G12" s="440">
        <v>5.2678937075000016</v>
      </c>
      <c r="H12" s="336">
        <v>119.67878300010726</v>
      </c>
      <c r="I12" s="625">
        <f t="shared" si="0"/>
        <v>-0.95598306086137863</v>
      </c>
      <c r="J12" s="440">
        <v>170.64651117976175</v>
      </c>
      <c r="K12" s="625">
        <f t="shared" si="2"/>
        <v>-0.29867430530685901</v>
      </c>
      <c r="L12" s="34"/>
    </row>
    <row r="13" spans="1:12" ht="11.25" customHeight="1">
      <c r="A13" s="162" t="s">
        <v>48</v>
      </c>
      <c r="B13" s="438">
        <v>0.56992320750000003</v>
      </c>
      <c r="C13" s="335">
        <v>0.44003538249999996</v>
      </c>
      <c r="D13" s="439">
        <v>0</v>
      </c>
      <c r="E13" s="438">
        <v>1.2339376972</v>
      </c>
      <c r="F13" s="346">
        <f>IF(E13=0,"",D13/E13-1)</f>
        <v>-1</v>
      </c>
      <c r="G13" s="438">
        <v>2.4329590024999996</v>
      </c>
      <c r="H13" s="335">
        <v>1.5090185460960002</v>
      </c>
      <c r="I13" s="346">
        <f t="shared" si="0"/>
        <v>0.61227905965392981</v>
      </c>
      <c r="J13" s="438">
        <v>3.1951939469593698</v>
      </c>
      <c r="K13" s="346">
        <f t="shared" si="2"/>
        <v>-0.52772239458827785</v>
      </c>
      <c r="L13" s="29"/>
    </row>
    <row r="14" spans="1:12" ht="11.25" customHeight="1">
      <c r="A14" s="163" t="s">
        <v>49</v>
      </c>
      <c r="B14" s="440">
        <v>13.038341987499997</v>
      </c>
      <c r="C14" s="336">
        <v>26.244350392499999</v>
      </c>
      <c r="D14" s="441">
        <v>6.3323882375</v>
      </c>
      <c r="E14" s="440">
        <v>154.25454487779672</v>
      </c>
      <c r="F14" s="625">
        <f t="shared" si="1"/>
        <v>-0.95894844950911085</v>
      </c>
      <c r="G14" s="440">
        <v>104.10815407999999</v>
      </c>
      <c r="H14" s="336">
        <v>730.52436019047695</v>
      </c>
      <c r="I14" s="625">
        <f t="shared" si="0"/>
        <v>-0.85748845657541817</v>
      </c>
      <c r="J14" s="440">
        <v>471.92522711161297</v>
      </c>
      <c r="K14" s="625">
        <f t="shared" si="2"/>
        <v>0.54796632649117494</v>
      </c>
      <c r="L14" s="29"/>
    </row>
    <row r="15" spans="1:12" ht="11.25" customHeight="1">
      <c r="A15" s="162" t="s">
        <v>50</v>
      </c>
      <c r="B15" s="438">
        <v>8.1191125700000004</v>
      </c>
      <c r="C15" s="335">
        <v>7.4378331324999998</v>
      </c>
      <c r="D15" s="439">
        <v>8.4465523725000011</v>
      </c>
      <c r="E15" s="438">
        <v>5.9671680675609249</v>
      </c>
      <c r="F15" s="346">
        <f t="shared" si="1"/>
        <v>0.4155043526287876</v>
      </c>
      <c r="G15" s="438">
        <v>66.387170037499999</v>
      </c>
      <c r="H15" s="335">
        <v>62.207928659824432</v>
      </c>
      <c r="I15" s="346">
        <f>IF(H15=0,"",G15/H15-1)</f>
        <v>6.7181812153386034E-2</v>
      </c>
      <c r="J15" s="438">
        <v>68.669420829330392</v>
      </c>
      <c r="K15" s="346">
        <f t="shared" si="2"/>
        <v>-9.4095626429778978E-2</v>
      </c>
      <c r="L15" s="29"/>
    </row>
    <row r="16" spans="1:12" ht="11.25" customHeight="1">
      <c r="A16" s="163" t="s">
        <v>51</v>
      </c>
      <c r="B16" s="440">
        <v>2.9110080250000001</v>
      </c>
      <c r="C16" s="336">
        <v>2.6808198999999999</v>
      </c>
      <c r="D16" s="441">
        <v>5.1015065499999999</v>
      </c>
      <c r="E16" s="440">
        <v>3.6368461999999999</v>
      </c>
      <c r="F16" s="625">
        <f t="shared" si="1"/>
        <v>0.4027281522105608</v>
      </c>
      <c r="G16" s="440">
        <v>33.587269704999997</v>
      </c>
      <c r="H16" s="336">
        <v>29.814489905696625</v>
      </c>
      <c r="I16" s="625">
        <f t="shared" si="0"/>
        <v>0.12654181947223297</v>
      </c>
      <c r="J16" s="440">
        <v>36.434670960075003</v>
      </c>
      <c r="K16" s="625">
        <f t="shared" si="2"/>
        <v>-0.18170003680375624</v>
      </c>
      <c r="L16" s="29"/>
    </row>
    <row r="17" spans="1:12" ht="11.25" customHeight="1">
      <c r="A17" s="162" t="s">
        <v>30</v>
      </c>
      <c r="B17" s="438">
        <v>49.3644935425</v>
      </c>
      <c r="C17" s="335">
        <v>65.050804804999999</v>
      </c>
      <c r="D17" s="439">
        <v>71.752520337500002</v>
      </c>
      <c r="E17" s="438">
        <v>18.929945049992501</v>
      </c>
      <c r="F17" s="346">
        <f t="shared" si="1"/>
        <v>2.7904241215707293</v>
      </c>
      <c r="G17" s="438">
        <v>516.96294117500008</v>
      </c>
      <c r="H17" s="335">
        <v>160.64373730200052</v>
      </c>
      <c r="I17" s="346">
        <f>IF(H17=0,"",G17/H17-1)</f>
        <v>2.2180709304785471</v>
      </c>
      <c r="J17" s="438">
        <v>173.42612891204161</v>
      </c>
      <c r="K17" s="346">
        <f t="shared" si="2"/>
        <v>-7.3705108279987441E-2</v>
      </c>
      <c r="L17" s="29"/>
    </row>
    <row r="18" spans="1:12" ht="11.25" customHeight="1">
      <c r="A18" s="163" t="s">
        <v>29</v>
      </c>
      <c r="B18" s="440">
        <v>130.32940518999999</v>
      </c>
      <c r="C18" s="336">
        <v>134.3830846825</v>
      </c>
      <c r="D18" s="441">
        <v>141.62182448750002</v>
      </c>
      <c r="E18" s="440">
        <v>112.36269788254573</v>
      </c>
      <c r="F18" s="625">
        <f t="shared" si="1"/>
        <v>0.26039893270931658</v>
      </c>
      <c r="G18" s="440">
        <v>1064.91893714</v>
      </c>
      <c r="H18" s="336">
        <v>765.53162926478979</v>
      </c>
      <c r="I18" s="625">
        <f>IF(H18=0,"",G18/H18-1)</f>
        <v>0.39108417788398797</v>
      </c>
      <c r="J18" s="440">
        <v>749.73628240370476</v>
      </c>
      <c r="K18" s="625">
        <f t="shared" si="2"/>
        <v>2.1067870438981728E-2</v>
      </c>
      <c r="L18" s="29"/>
    </row>
    <row r="19" spans="1:12" ht="11.25" customHeight="1">
      <c r="A19" s="169" t="s">
        <v>44</v>
      </c>
      <c r="B19" s="442">
        <f>SUM(B6:B18)</f>
        <v>4200.0115709425008</v>
      </c>
      <c r="C19" s="443">
        <f>SUM(C6:C18)</f>
        <v>4221.8736752400018</v>
      </c>
      <c r="D19" s="444">
        <f>SUM(D6:D18)</f>
        <v>4143.3587523075003</v>
      </c>
      <c r="E19" s="442">
        <f>SUM(E6:E18)</f>
        <v>4013.1327513841898</v>
      </c>
      <c r="F19" s="626">
        <f t="shared" si="1"/>
        <v>3.2449960913551568E-2</v>
      </c>
      <c r="G19" s="442">
        <f>SUM(G6:G18)</f>
        <v>37686.701634452511</v>
      </c>
      <c r="H19" s="443">
        <f>SUM(H6:H18)</f>
        <v>36587.790951056682</v>
      </c>
      <c r="I19" s="626">
        <f>IF(H19=0,"",G19/H19-1)</f>
        <v>3.0034901119497359E-2</v>
      </c>
      <c r="J19" s="442">
        <f>SUM(J6:J18)</f>
        <v>35805.109890044507</v>
      </c>
      <c r="K19" s="626">
        <f t="shared" si="2"/>
        <v>2.1859479370842427E-2</v>
      </c>
      <c r="L19" s="39"/>
    </row>
    <row r="20" spans="1:12" ht="11.25" customHeight="1">
      <c r="A20" s="29"/>
      <c r="B20" s="29"/>
      <c r="C20" s="29"/>
      <c r="D20" s="29"/>
      <c r="E20" s="29"/>
      <c r="F20" s="29"/>
      <c r="G20" s="29"/>
      <c r="H20" s="29"/>
      <c r="I20" s="29"/>
      <c r="J20" s="29"/>
      <c r="K20" s="29"/>
      <c r="L20" s="29"/>
    </row>
    <row r="21" spans="1:12" ht="11.25" customHeight="1">
      <c r="A21" s="165" t="s">
        <v>40</v>
      </c>
      <c r="B21" s="321">
        <v>3.7181487299999998</v>
      </c>
      <c r="C21" s="322">
        <v>6.7408331799999992</v>
      </c>
      <c r="D21" s="530">
        <v>6.9169657400000002</v>
      </c>
      <c r="E21" s="321">
        <v>0</v>
      </c>
      <c r="F21" s="141" t="str">
        <f>IF(E21=0,"",D21/E21-1)</f>
        <v/>
      </c>
      <c r="G21" s="321">
        <v>21.20075765</v>
      </c>
      <c r="H21" s="529">
        <v>16.595158999999999</v>
      </c>
      <c r="I21" s="144">
        <f>IF(H21=0,"",G21/H21-1)</f>
        <v>0.27752663593039406</v>
      </c>
      <c r="J21" s="321">
        <v>22.400469620000003</v>
      </c>
      <c r="K21" s="141">
        <f>IF(J21=0,"",H21/J21-1)</f>
        <v>-0.25916021933829447</v>
      </c>
      <c r="L21" s="29"/>
    </row>
    <row r="22" spans="1:12" ht="11.25" customHeight="1">
      <c r="A22" s="166" t="s">
        <v>41</v>
      </c>
      <c r="B22" s="318">
        <v>0</v>
      </c>
      <c r="C22" s="319">
        <v>0</v>
      </c>
      <c r="D22" s="320">
        <v>0</v>
      </c>
      <c r="E22" s="318">
        <v>0</v>
      </c>
      <c r="F22" s="142" t="str">
        <f>IF(E22=0,"",D22/E22-1)</f>
        <v/>
      </c>
      <c r="G22" s="318">
        <v>0</v>
      </c>
      <c r="H22" s="319">
        <v>0</v>
      </c>
      <c r="I22" s="136" t="str">
        <f>IF(H22=0,"",G22/H22-1)</f>
        <v/>
      </c>
      <c r="J22" s="318">
        <v>37.352100999999998</v>
      </c>
      <c r="K22" s="142">
        <f>IF(J22=0,"",H22/J22-1)</f>
        <v>-1</v>
      </c>
      <c r="L22" s="29"/>
    </row>
    <row r="23" spans="1:12" ht="23.25" customHeight="1">
      <c r="A23" s="167" t="s">
        <v>42</v>
      </c>
      <c r="B23" s="331">
        <f>+B22-B21</f>
        <v>-3.7181487299999998</v>
      </c>
      <c r="C23" s="332">
        <f>+C22-C21</f>
        <v>-6.7408331799999992</v>
      </c>
      <c r="D23" s="630">
        <f>+D22-D21</f>
        <v>-6.9169657400000002</v>
      </c>
      <c r="E23" s="331">
        <f>+E22-E21</f>
        <v>0</v>
      </c>
      <c r="F23" s="143"/>
      <c r="G23" s="331">
        <f>+G22-G21</f>
        <v>-21.20075765</v>
      </c>
      <c r="H23" s="332">
        <f>+H22-H21</f>
        <v>-16.595158999999999</v>
      </c>
      <c r="I23" s="145"/>
      <c r="J23" s="331">
        <f>+J22-J21</f>
        <v>14.951631379999995</v>
      </c>
      <c r="K23" s="143"/>
      <c r="L23" s="39"/>
    </row>
    <row r="24" spans="1:12" ht="11.25" customHeight="1">
      <c r="A24" s="316" t="s">
        <v>252</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316" t="str">
        <f>"Gráfico N° 5: Comparación de la producción de energía eléctrica (GWh) por tipo de recurso energético acumulado a "&amp;'1. Resumen'!Q4</f>
        <v>Gráfico N° 5: Comparación de la producción de energía eléctrica (GWh) por tipo de recurso energético acumulado a setiembre</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Setiembre 2018
INFSGI-MES-09-2018
11/10/2018
Versión: 01</oddHeader>
    <oddFooter>&amp;L&amp;7COES, 2018&amp;C4&amp;R&amp;7Dirección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Normal="100" zoomScaleSheetLayoutView="100" zoomScalePageLayoutView="160" workbookViewId="0">
      <selection activeCell="M27" sqref="M27"/>
    </sheetView>
  </sheetViews>
  <sheetFormatPr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921" t="s">
        <v>260</v>
      </c>
      <c r="B2" s="921"/>
      <c r="C2" s="921"/>
      <c r="D2" s="921"/>
      <c r="E2" s="921"/>
      <c r="F2" s="921"/>
      <c r="G2" s="921"/>
      <c r="H2" s="921"/>
      <c r="I2" s="921"/>
      <c r="J2" s="921"/>
      <c r="K2" s="921"/>
      <c r="L2" s="45"/>
    </row>
    <row r="3" spans="1:12" ht="11.25" customHeight="1">
      <c r="A3" s="92"/>
      <c r="B3" s="91"/>
      <c r="C3" s="91"/>
      <c r="D3" s="91"/>
      <c r="E3" s="91"/>
      <c r="F3" s="91"/>
      <c r="G3" s="91"/>
      <c r="H3" s="91"/>
      <c r="I3" s="91"/>
      <c r="J3" s="91"/>
      <c r="K3" s="91"/>
      <c r="L3" s="45"/>
    </row>
    <row r="4" spans="1:12" ht="15.75" customHeight="1">
      <c r="A4" s="919" t="s">
        <v>256</v>
      </c>
      <c r="B4" s="916" t="s">
        <v>33</v>
      </c>
      <c r="C4" s="917"/>
      <c r="D4" s="917"/>
      <c r="E4" s="917" t="s">
        <v>34</v>
      </c>
      <c r="F4" s="917"/>
      <c r="G4" s="918" t="str">
        <f>+'4. Tipo Recurso'!G4:K4</f>
        <v>Generación Acumulada a setiembre</v>
      </c>
      <c r="H4" s="918"/>
      <c r="I4" s="918"/>
      <c r="J4" s="918"/>
      <c r="K4" s="918"/>
      <c r="L4" s="29"/>
    </row>
    <row r="5" spans="1:12" ht="29.25" customHeight="1">
      <c r="A5" s="919"/>
      <c r="B5" s="785">
        <f>+'4. Tipo Recurso'!B5</f>
        <v>43286</v>
      </c>
      <c r="C5" s="785">
        <f>+'4. Tipo Recurso'!C5</f>
        <v>43316</v>
      </c>
      <c r="D5" s="785">
        <f>+'4. Tipo Recurso'!D5</f>
        <v>43344</v>
      </c>
      <c r="E5" s="785">
        <f>+'4. Tipo Recurso'!E5</f>
        <v>42979</v>
      </c>
      <c r="F5" s="785" t="s">
        <v>35</v>
      </c>
      <c r="G5" s="787">
        <v>2018</v>
      </c>
      <c r="H5" s="787">
        <v>2017</v>
      </c>
      <c r="I5" s="786" t="s">
        <v>43</v>
      </c>
      <c r="J5" s="787">
        <v>2016</v>
      </c>
      <c r="K5" s="786" t="s">
        <v>36</v>
      </c>
      <c r="L5" s="31"/>
    </row>
    <row r="6" spans="1:12" ht="11.25" customHeight="1">
      <c r="A6" s="161" t="s">
        <v>46</v>
      </c>
      <c r="B6" s="435">
        <v>67.579665022500023</v>
      </c>
      <c r="C6" s="436">
        <v>87.314617757499988</v>
      </c>
      <c r="D6" s="437">
        <v>75.896690332499986</v>
      </c>
      <c r="E6" s="435">
        <v>50.662149629927427</v>
      </c>
      <c r="F6" s="345">
        <f t="shared" ref="F6:F11" si="0">IF(E6=0,"",D6/E6-1)</f>
        <v>0.49809455159134952</v>
      </c>
      <c r="G6" s="435">
        <v>904.28470140500019</v>
      </c>
      <c r="H6" s="436">
        <v>768.31012750653929</v>
      </c>
      <c r="I6" s="349">
        <f t="shared" ref="I6:I11" si="1">IF(H6=0,"",G6/H6-1)</f>
        <v>0.17697876030835413</v>
      </c>
      <c r="J6" s="435">
        <v>627.22444221401224</v>
      </c>
      <c r="K6" s="345">
        <f t="shared" ref="K6:K11" si="2">IF(J6=0,"",H6/J6-1)</f>
        <v>0.2249365231917857</v>
      </c>
      <c r="L6" s="339"/>
    </row>
    <row r="7" spans="1:12" ht="11.25" customHeight="1">
      <c r="A7" s="162" t="s">
        <v>39</v>
      </c>
      <c r="B7" s="438">
        <v>130.32940518999999</v>
      </c>
      <c r="C7" s="335">
        <v>134.3830846825</v>
      </c>
      <c r="D7" s="439">
        <v>141.62182448750002</v>
      </c>
      <c r="E7" s="438">
        <v>112.36269788254573</v>
      </c>
      <c r="F7" s="346">
        <f t="shared" si="0"/>
        <v>0.26039893270931658</v>
      </c>
      <c r="G7" s="438">
        <v>1064.91893714</v>
      </c>
      <c r="H7" s="335">
        <v>765.53162926478979</v>
      </c>
      <c r="I7" s="328">
        <f t="shared" si="1"/>
        <v>0.39108417788398797</v>
      </c>
      <c r="J7" s="438">
        <v>749.73628240370476</v>
      </c>
      <c r="K7" s="346">
        <f t="shared" si="2"/>
        <v>2.1067870438981728E-2</v>
      </c>
      <c r="L7" s="339"/>
    </row>
    <row r="8" spans="1:12" ht="11.25" customHeight="1">
      <c r="A8" s="343" t="s">
        <v>30</v>
      </c>
      <c r="B8" s="647">
        <v>49.3644935425</v>
      </c>
      <c r="C8" s="446">
        <v>65.050804804999999</v>
      </c>
      <c r="D8" s="648">
        <v>71.752520337500002</v>
      </c>
      <c r="E8" s="647">
        <v>18.929945049992501</v>
      </c>
      <c r="F8" s="347">
        <f t="shared" si="0"/>
        <v>2.7904241215707293</v>
      </c>
      <c r="G8" s="647">
        <v>516.96294117500008</v>
      </c>
      <c r="H8" s="446">
        <v>160.64373730200052</v>
      </c>
      <c r="I8" s="342">
        <f t="shared" si="1"/>
        <v>2.2180709304785471</v>
      </c>
      <c r="J8" s="647">
        <v>173.42612891204161</v>
      </c>
      <c r="K8" s="347">
        <f t="shared" si="2"/>
        <v>-7.3705108279987441E-2</v>
      </c>
      <c r="L8" s="339"/>
    </row>
    <row r="9" spans="1:12" ht="11.25" customHeight="1">
      <c r="A9" s="162" t="s">
        <v>50</v>
      </c>
      <c r="B9" s="438">
        <v>8.1191125700000004</v>
      </c>
      <c r="C9" s="335">
        <v>7.4378331324999998</v>
      </c>
      <c r="D9" s="439">
        <v>8.4465523725000011</v>
      </c>
      <c r="E9" s="438">
        <v>5.9671680675609249</v>
      </c>
      <c r="F9" s="346">
        <f t="shared" si="0"/>
        <v>0.4155043526287876</v>
      </c>
      <c r="G9" s="438">
        <v>66.387170037499999</v>
      </c>
      <c r="H9" s="335">
        <v>62.207928659824432</v>
      </c>
      <c r="I9" s="328">
        <f t="shared" si="1"/>
        <v>6.7181812153386034E-2</v>
      </c>
      <c r="J9" s="438">
        <v>68.669420829330392</v>
      </c>
      <c r="K9" s="346">
        <f t="shared" si="2"/>
        <v>-9.4095626429778978E-2</v>
      </c>
      <c r="L9" s="44"/>
    </row>
    <row r="10" spans="1:12" ht="11.25" customHeight="1">
      <c r="A10" s="344" t="s">
        <v>51</v>
      </c>
      <c r="B10" s="649">
        <v>2.9110080250000001</v>
      </c>
      <c r="C10" s="650">
        <v>2.6808198999999999</v>
      </c>
      <c r="D10" s="651">
        <v>5.1015065499999999</v>
      </c>
      <c r="E10" s="649">
        <v>3.6368461999999999</v>
      </c>
      <c r="F10" s="348">
        <f t="shared" si="0"/>
        <v>0.4027281522105608</v>
      </c>
      <c r="G10" s="649">
        <v>33.587269704999997</v>
      </c>
      <c r="H10" s="650">
        <v>29.814489905696625</v>
      </c>
      <c r="I10" s="350">
        <f t="shared" si="1"/>
        <v>0.12654181947223297</v>
      </c>
      <c r="J10" s="649">
        <v>36.434670960075003</v>
      </c>
      <c r="K10" s="348">
        <f t="shared" si="2"/>
        <v>-0.18170003680375624</v>
      </c>
      <c r="L10" s="340"/>
    </row>
    <row r="11" spans="1:12" ht="11.25" customHeight="1">
      <c r="A11" s="351" t="s">
        <v>253</v>
      </c>
      <c r="B11" s="542">
        <f>+SUM(B6:B10)</f>
        <v>258.30368434999997</v>
      </c>
      <c r="C11" s="543">
        <f>+SUM(C6:C10)</f>
        <v>296.86716027749998</v>
      </c>
      <c r="D11" s="544">
        <f>+SUM(D6:D10)</f>
        <v>302.81909408000001</v>
      </c>
      <c r="E11" s="545">
        <f>+SUM(E6:E10)</f>
        <v>191.55880683002661</v>
      </c>
      <c r="F11" s="352">
        <f t="shared" si="0"/>
        <v>0.58081530727374253</v>
      </c>
      <c r="G11" s="645">
        <f>+SUM(G6:G10)</f>
        <v>2586.1410194625</v>
      </c>
      <c r="H11" s="646">
        <f>+SUM(H6:H10)</f>
        <v>1786.5079126388505</v>
      </c>
      <c r="I11" s="353">
        <f t="shared" si="1"/>
        <v>0.44759561441992801</v>
      </c>
      <c r="J11" s="645">
        <f>+SUM(J6:J10)</f>
        <v>1655.490945319164</v>
      </c>
      <c r="K11" s="352">
        <f t="shared" si="2"/>
        <v>7.9140854071193756E-2</v>
      </c>
      <c r="L11" s="29"/>
    </row>
    <row r="12" spans="1:12" ht="24.75" customHeight="1">
      <c r="A12" s="354" t="s">
        <v>254</v>
      </c>
      <c r="B12" s="355">
        <f>B11/'4. Tipo Recurso'!B19</f>
        <v>6.150070779258246E-2</v>
      </c>
      <c r="C12" s="353">
        <f>C11/'4. Tipo Recurso'!C19</f>
        <v>7.0316447888655473E-2</v>
      </c>
      <c r="D12" s="352">
        <f>D11/'4. Tipo Recurso'!D19</f>
        <v>7.3085415041928337E-2</v>
      </c>
      <c r="E12" s="355">
        <f>E11/'4. Tipo Recurso'!E19</f>
        <v>4.7732985350149484E-2</v>
      </c>
      <c r="F12" s="356"/>
      <c r="G12" s="355">
        <f>G11/'4. Tipo Recurso'!G19</f>
        <v>6.8622110911884526E-2</v>
      </c>
      <c r="H12" s="353">
        <f>H11/'4. Tipo Recurso'!H19</f>
        <v>4.8827979667552319E-2</v>
      </c>
      <c r="I12" s="353"/>
      <c r="J12" s="355">
        <f>J11/'4. Tipo Recurso'!J19</f>
        <v>4.6236164346460162E-2</v>
      </c>
      <c r="K12" s="356"/>
      <c r="L12" s="29"/>
    </row>
    <row r="13" spans="1:12" ht="11.25" customHeight="1">
      <c r="A13" s="357" t="s">
        <v>255</v>
      </c>
      <c r="B13" s="155"/>
      <c r="C13" s="155"/>
      <c r="D13" s="155"/>
      <c r="E13" s="155"/>
      <c r="F13" s="155"/>
      <c r="G13" s="155"/>
      <c r="H13" s="155"/>
      <c r="I13" s="155"/>
      <c r="J13" s="155"/>
      <c r="K13" s="156"/>
      <c r="L13" s="29"/>
    </row>
    <row r="14" spans="1:12" ht="23.25" customHeight="1">
      <c r="A14" s="922" t="s">
        <v>56</v>
      </c>
      <c r="B14" s="922"/>
      <c r="C14" s="922"/>
      <c r="D14" s="922"/>
      <c r="E14" s="922"/>
      <c r="F14" s="922"/>
      <c r="G14" s="922"/>
      <c r="H14" s="922"/>
      <c r="I14" s="922"/>
      <c r="J14" s="922"/>
      <c r="K14" s="922"/>
      <c r="L14" s="29"/>
    </row>
    <row r="15" spans="1:12" ht="11.25" customHeight="1">
      <c r="L15" s="29"/>
    </row>
    <row r="16" spans="1:12" ht="11.25" customHeight="1">
      <c r="A16" s="157"/>
      <c r="B16" s="170"/>
      <c r="C16" s="170"/>
      <c r="D16" s="170"/>
      <c r="E16" s="170"/>
      <c r="F16" s="170"/>
      <c r="G16" s="170"/>
      <c r="H16" s="170"/>
      <c r="I16" s="170"/>
      <c r="J16" s="170"/>
      <c r="K16" s="170"/>
      <c r="L16" s="29"/>
    </row>
    <row r="17" spans="1:12" ht="11.25" customHeight="1">
      <c r="A17" s="170"/>
      <c r="B17" s="170"/>
      <c r="C17" s="170"/>
      <c r="D17" s="170"/>
      <c r="E17" s="170"/>
      <c r="F17" s="170"/>
      <c r="G17" s="170"/>
      <c r="H17" s="170"/>
      <c r="I17" s="170"/>
      <c r="J17" s="170"/>
      <c r="K17" s="170"/>
      <c r="L17" s="29"/>
    </row>
    <row r="18" spans="1:12" ht="11.25" customHeight="1">
      <c r="A18" s="170"/>
      <c r="B18" s="170"/>
      <c r="C18" s="170"/>
      <c r="D18" s="170"/>
      <c r="E18" s="170"/>
      <c r="F18" s="170"/>
      <c r="G18" s="170"/>
      <c r="H18" s="170"/>
      <c r="I18" s="170"/>
      <c r="J18" s="170"/>
      <c r="K18" s="170"/>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920" t="str">
        <f>"Gráfico N° 6: Comparación de la producción de energía eléctrica acumulada (GWh) con recursos energéticos renovables en "&amp;'1. Resumen'!Q4</f>
        <v>Gráfico N° 6: Comparación de la producción de energía eléctrica acumulada (GWh) con recursos energéticos renovables en setiembre</v>
      </c>
      <c r="B34" s="920"/>
      <c r="C34" s="920"/>
      <c r="D34" s="920"/>
      <c r="E34" s="920"/>
      <c r="F34" s="920"/>
      <c r="G34" s="920"/>
      <c r="H34" s="920"/>
      <c r="I34" s="920"/>
      <c r="J34" s="920"/>
      <c r="K34" s="920"/>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358" t="s">
        <v>258</v>
      </c>
      <c r="D39" s="192"/>
      <c r="E39" s="192"/>
      <c r="F39" s="644">
        <f>+'4. Tipo Recurso'!D19</f>
        <v>4143.3587523075003</v>
      </c>
      <c r="G39" s="358" t="s">
        <v>257</v>
      </c>
      <c r="H39" s="159"/>
      <c r="I39" s="159"/>
      <c r="J39" s="159"/>
      <c r="K39" s="159"/>
      <c r="L39" s="29"/>
      <c r="M39" s="359">
        <f>+F39-F40</f>
        <v>3840.5387523075001</v>
      </c>
      <c r="P39" s="546"/>
    </row>
    <row r="40" spans="1:16" ht="11.25" customHeight="1">
      <c r="A40" s="157"/>
      <c r="B40" s="159"/>
      <c r="C40" s="358" t="s">
        <v>259</v>
      </c>
      <c r="D40" s="192"/>
      <c r="E40" s="192"/>
      <c r="F40" s="644">
        <f>ROUND(D11,2)</f>
        <v>302.82</v>
      </c>
      <c r="G40" s="358" t="s">
        <v>257</v>
      </c>
      <c r="H40" s="159"/>
      <c r="I40" s="159"/>
      <c r="J40" s="159"/>
      <c r="K40" s="159"/>
      <c r="L40" s="29"/>
      <c r="M40" s="546"/>
      <c r="P40" s="546"/>
    </row>
    <row r="41" spans="1:16" ht="11.25" customHeight="1">
      <c r="A41" s="157"/>
      <c r="B41" s="159"/>
      <c r="C41" s="159"/>
      <c r="D41" s="159"/>
      <c r="E41" s="159"/>
      <c r="F41" s="159"/>
      <c r="G41" s="159"/>
      <c r="H41" s="159"/>
      <c r="I41" s="159"/>
      <c r="J41" s="159"/>
      <c r="K41" s="159"/>
      <c r="L41" s="29"/>
      <c r="P41" s="546"/>
    </row>
    <row r="42" spans="1:16" ht="11.25" customHeight="1">
      <c r="A42" s="157"/>
      <c r="B42" s="159"/>
      <c r="C42" s="159"/>
      <c r="D42" s="159"/>
      <c r="E42" s="159"/>
      <c r="F42" s="159"/>
      <c r="G42" s="159"/>
      <c r="H42" s="159"/>
      <c r="I42" s="159"/>
      <c r="J42" s="159"/>
      <c r="K42" s="159"/>
      <c r="L42" s="29"/>
      <c r="P42" s="546"/>
    </row>
    <row r="43" spans="1:16" ht="11.25" customHeight="1">
      <c r="A43" s="157"/>
      <c r="B43" s="159"/>
      <c r="C43" s="159"/>
      <c r="D43" s="159"/>
      <c r="E43" s="159"/>
      <c r="F43" s="159"/>
      <c r="G43" s="159"/>
      <c r="H43" s="159"/>
      <c r="I43" s="159"/>
      <c r="J43" s="159"/>
      <c r="K43" s="159"/>
      <c r="L43" s="29"/>
      <c r="P43" s="546"/>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316" t="str">
        <f>"Gráfico N° 7: Participación de las RER en la Matriz de Generación del SEIN en "&amp;'1. Resumen'!Q4&amp;" "&amp;'1. Resumen'!Q5</f>
        <v>Gráfico N° 7: Participación de las RER en la Matriz de Generación del SEIN en setiembre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Setiembre 2018
INFSGI-MES-09-2018
11/10/2018
Versión: 01</oddHeader>
    <oddFooter>&amp;L&amp;7COES, 2018&amp;C5&amp;R&amp;7Dirección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V64"/>
  <sheetViews>
    <sheetView showGridLines="0" view="pageBreakPreview" zoomScale="160" zoomScaleNormal="100" zoomScaleSheetLayoutView="160" zoomScalePageLayoutView="160" workbookViewId="0">
      <selection activeCell="M27" sqref="M27"/>
    </sheetView>
  </sheetViews>
  <sheetFormatPr defaultRowHeight="11.25"/>
  <cols>
    <col min="1" max="11" width="10.33203125" style="3" customWidth="1"/>
    <col min="12" max="12" width="21.1640625" style="654" bestFit="1" customWidth="1"/>
    <col min="13" max="14" width="9.33203125" style="654"/>
    <col min="15" max="15" width="11.83203125" style="654" customWidth="1"/>
    <col min="16" max="17" width="9.33203125" style="654"/>
    <col min="18" max="19" width="9.33203125" style="655"/>
    <col min="20" max="20" width="15" style="655" customWidth="1"/>
    <col min="21" max="22" width="9.33203125" style="655"/>
    <col min="23" max="16384" width="9.33203125" style="3"/>
  </cols>
  <sheetData>
    <row r="2" spans="1:22" ht="11.25" customHeight="1">
      <c r="A2" s="923" t="s">
        <v>265</v>
      </c>
      <c r="B2" s="923"/>
      <c r="C2" s="923"/>
      <c r="D2" s="923"/>
      <c r="E2" s="923"/>
      <c r="F2" s="923"/>
      <c r="G2" s="923"/>
      <c r="H2" s="923"/>
      <c r="I2" s="923"/>
      <c r="J2" s="923"/>
      <c r="K2" s="923"/>
    </row>
    <row r="3" spans="1:22" ht="11.25" customHeight="1"/>
    <row r="4" spans="1:22" ht="11.25" customHeight="1">
      <c r="L4" s="656" t="s">
        <v>57</v>
      </c>
      <c r="M4" s="657" t="s">
        <v>31</v>
      </c>
      <c r="N4" s="656" t="s">
        <v>588</v>
      </c>
      <c r="O4" s="658">
        <v>43282</v>
      </c>
      <c r="P4" s="659"/>
      <c r="Q4" s="659"/>
    </row>
    <row r="5" spans="1:22" ht="11.25" customHeight="1">
      <c r="A5" s="172"/>
      <c r="B5" s="159"/>
      <c r="C5" s="159"/>
      <c r="D5" s="159"/>
      <c r="E5" s="159"/>
      <c r="F5" s="159"/>
      <c r="G5" s="159"/>
      <c r="H5" s="159"/>
      <c r="I5" s="159"/>
      <c r="J5" s="159"/>
      <c r="K5" s="159"/>
      <c r="L5" s="656"/>
      <c r="M5" s="657"/>
      <c r="N5" s="656"/>
      <c r="O5" s="656" t="s">
        <v>58</v>
      </c>
      <c r="P5" s="656" t="s">
        <v>59</v>
      </c>
      <c r="Q5" s="656"/>
      <c r="U5" s="655">
        <v>2018</v>
      </c>
      <c r="V5" s="655">
        <v>2017</v>
      </c>
    </row>
    <row r="6" spans="1:22" ht="11.25" customHeight="1">
      <c r="A6" s="132"/>
      <c r="B6" s="159"/>
      <c r="C6" s="159"/>
      <c r="D6" s="159"/>
      <c r="E6" s="159"/>
      <c r="F6" s="159"/>
      <c r="G6" s="159"/>
      <c r="H6" s="159"/>
      <c r="I6" s="159"/>
      <c r="J6" s="159"/>
      <c r="K6" s="159"/>
      <c r="L6" s="660" t="s">
        <v>526</v>
      </c>
      <c r="M6" s="660" t="s">
        <v>61</v>
      </c>
      <c r="N6" s="662">
        <v>20</v>
      </c>
      <c r="O6" s="661">
        <v>12.828282440000001</v>
      </c>
      <c r="P6" s="661">
        <v>0.8908529472222223</v>
      </c>
      <c r="Q6" s="661"/>
      <c r="S6" s="655" t="s">
        <v>61</v>
      </c>
      <c r="T6" s="655" t="s">
        <v>62</v>
      </c>
      <c r="U6" s="663">
        <v>1.0030220009920636</v>
      </c>
      <c r="V6" s="663">
        <v>0.78100000000000003</v>
      </c>
    </row>
    <row r="7" spans="1:22" ht="11.25" customHeight="1">
      <c r="A7" s="157"/>
      <c r="B7" s="159"/>
      <c r="C7" s="159"/>
      <c r="D7" s="159"/>
      <c r="E7" s="159"/>
      <c r="F7" s="159"/>
      <c r="G7" s="159"/>
      <c r="H7" s="159"/>
      <c r="I7" s="159"/>
      <c r="J7" s="159"/>
      <c r="K7" s="159"/>
      <c r="L7" s="660" t="s">
        <v>62</v>
      </c>
      <c r="M7" s="660" t="s">
        <v>61</v>
      </c>
      <c r="N7" s="662">
        <v>15</v>
      </c>
      <c r="O7" s="661">
        <v>11.132157489999999</v>
      </c>
      <c r="P7" s="661">
        <v>1.0307553231481481</v>
      </c>
      <c r="Q7" s="661"/>
      <c r="T7" s="655" t="s">
        <v>526</v>
      </c>
      <c r="U7" s="663">
        <v>0.9274880959401709</v>
      </c>
      <c r="V7" s="663"/>
    </row>
    <row r="8" spans="1:22" ht="11.25" customHeight="1">
      <c r="A8" s="157"/>
      <c r="B8" s="159"/>
      <c r="C8" s="159"/>
      <c r="D8" s="159"/>
      <c r="E8" s="159"/>
      <c r="F8" s="159"/>
      <c r="G8" s="159"/>
      <c r="H8" s="159"/>
      <c r="I8" s="159"/>
      <c r="J8" s="159"/>
      <c r="K8" s="159"/>
      <c r="L8" s="660" t="s">
        <v>65</v>
      </c>
      <c r="M8" s="660" t="s">
        <v>61</v>
      </c>
      <c r="N8" s="662">
        <v>9.9830000000000005</v>
      </c>
      <c r="O8" s="661">
        <v>6.0806972775000006</v>
      </c>
      <c r="P8" s="661">
        <v>0.84597945361280846</v>
      </c>
      <c r="Q8" s="661"/>
      <c r="T8" s="655" t="s">
        <v>75</v>
      </c>
      <c r="U8" s="663">
        <v>0.80489530188641167</v>
      </c>
      <c r="V8" s="663">
        <v>0.82799999999999996</v>
      </c>
    </row>
    <row r="9" spans="1:22" ht="11.25" customHeight="1">
      <c r="A9" s="157"/>
      <c r="B9" s="159"/>
      <c r="C9" s="159"/>
      <c r="D9" s="159"/>
      <c r="E9" s="159"/>
      <c r="F9" s="159"/>
      <c r="G9" s="159"/>
      <c r="H9" s="159"/>
      <c r="I9" s="159"/>
      <c r="J9" s="159"/>
      <c r="K9" s="159"/>
      <c r="L9" s="660" t="s">
        <v>60</v>
      </c>
      <c r="M9" s="871" t="s">
        <v>61</v>
      </c>
      <c r="N9" s="662">
        <v>19.966000000000001</v>
      </c>
      <c r="O9" s="661">
        <v>5.1479017325000003</v>
      </c>
      <c r="P9" s="661">
        <v>0.35810194918166438</v>
      </c>
      <c r="Q9" s="661"/>
      <c r="T9" s="655" t="s">
        <v>65</v>
      </c>
      <c r="U9" s="663">
        <v>0.8033628646492077</v>
      </c>
      <c r="V9" s="663">
        <v>0.93700000000000006</v>
      </c>
    </row>
    <row r="10" spans="1:22" ht="11.25" customHeight="1">
      <c r="A10" s="157"/>
      <c r="B10" s="159"/>
      <c r="C10" s="159"/>
      <c r="D10" s="159"/>
      <c r="E10" s="159"/>
      <c r="F10" s="159"/>
      <c r="G10" s="159"/>
      <c r="H10" s="159"/>
      <c r="I10" s="159"/>
      <c r="J10" s="159"/>
      <c r="K10" s="159"/>
      <c r="L10" s="660" t="s">
        <v>69</v>
      </c>
      <c r="M10" s="871" t="s">
        <v>61</v>
      </c>
      <c r="N10" s="662">
        <v>7.7450000000000001</v>
      </c>
      <c r="O10" s="661">
        <v>4.599406535</v>
      </c>
      <c r="P10" s="661">
        <v>0.82479853220715882</v>
      </c>
      <c r="Q10" s="661"/>
      <c r="T10" s="655" t="s">
        <v>69</v>
      </c>
      <c r="U10" s="663">
        <v>0.79297419092904087</v>
      </c>
      <c r="V10" s="663">
        <v>0.74</v>
      </c>
    </row>
    <row r="11" spans="1:22" ht="11.25" customHeight="1">
      <c r="A11" s="157"/>
      <c r="B11" s="159"/>
      <c r="C11" s="159"/>
      <c r="D11" s="159"/>
      <c r="E11" s="159"/>
      <c r="F11" s="159"/>
      <c r="G11" s="159"/>
      <c r="H11" s="159"/>
      <c r="I11" s="159"/>
      <c r="J11" s="159"/>
      <c r="K11" s="159"/>
      <c r="L11" s="660" t="s">
        <v>604</v>
      </c>
      <c r="M11" s="871" t="s">
        <v>61</v>
      </c>
      <c r="N11" s="662">
        <v>20.16</v>
      </c>
      <c r="O11" s="661">
        <v>4.5104109724999999</v>
      </c>
      <c r="P11" s="661">
        <v>0.31073708750137785</v>
      </c>
      <c r="Q11" s="661"/>
      <c r="T11" s="655" t="s">
        <v>73</v>
      </c>
      <c r="U11" s="663">
        <v>0.76831971200171956</v>
      </c>
      <c r="V11" s="663">
        <v>0.57399999999999995</v>
      </c>
    </row>
    <row r="12" spans="1:22" ht="11.25" customHeight="1">
      <c r="A12" s="157"/>
      <c r="B12" s="159"/>
      <c r="C12" s="159"/>
      <c r="D12" s="159"/>
      <c r="E12" s="159"/>
      <c r="F12" s="159"/>
      <c r="G12" s="159"/>
      <c r="H12" s="159"/>
      <c r="I12" s="159"/>
      <c r="J12" s="159"/>
      <c r="K12" s="159"/>
      <c r="L12" s="660" t="s">
        <v>605</v>
      </c>
      <c r="M12" s="660" t="s">
        <v>61</v>
      </c>
      <c r="N12" s="662">
        <v>20.16</v>
      </c>
      <c r="O12" s="661">
        <v>4.4938710549999996</v>
      </c>
      <c r="P12" s="661">
        <v>0.30959759803516312</v>
      </c>
      <c r="Q12" s="661"/>
      <c r="T12" s="655" t="s">
        <v>76</v>
      </c>
      <c r="U12" s="663">
        <v>0.73506635754606375</v>
      </c>
      <c r="V12" s="663">
        <v>0.65</v>
      </c>
    </row>
    <row r="13" spans="1:22" ht="11.25" customHeight="1">
      <c r="A13" s="157"/>
      <c r="B13" s="159"/>
      <c r="C13" s="159"/>
      <c r="D13" s="159"/>
      <c r="E13" s="159"/>
      <c r="F13" s="159"/>
      <c r="G13" s="159"/>
      <c r="H13" s="159"/>
      <c r="I13" s="159"/>
      <c r="J13" s="159"/>
      <c r="K13" s="159"/>
      <c r="L13" s="660" t="s">
        <v>63</v>
      </c>
      <c r="M13" s="660" t="s">
        <v>61</v>
      </c>
      <c r="N13" s="662">
        <v>19.966999999999999</v>
      </c>
      <c r="O13" s="661">
        <v>3.6050917924999997</v>
      </c>
      <c r="P13" s="661">
        <v>0.25076736285009155</v>
      </c>
      <c r="Q13" s="661"/>
      <c r="T13" s="655" t="s">
        <v>60</v>
      </c>
      <c r="U13" s="663">
        <v>0.72224786794525664</v>
      </c>
      <c r="V13" s="663">
        <v>0.71099999999999997</v>
      </c>
    </row>
    <row r="14" spans="1:22" ht="11.25" customHeight="1">
      <c r="A14" s="157"/>
      <c r="B14" s="159"/>
      <c r="C14" s="159"/>
      <c r="D14" s="159"/>
      <c r="E14" s="159"/>
      <c r="F14" s="159"/>
      <c r="G14" s="159"/>
      <c r="H14" s="159"/>
      <c r="I14" s="159"/>
      <c r="J14" s="159"/>
      <c r="K14" s="159"/>
      <c r="L14" s="660" t="s">
        <v>606</v>
      </c>
      <c r="M14" s="660" t="s">
        <v>61</v>
      </c>
      <c r="N14" s="662">
        <v>20.16</v>
      </c>
      <c r="O14" s="661">
        <v>3.4580596799999999</v>
      </c>
      <c r="P14" s="661">
        <v>0.23823713624338622</v>
      </c>
      <c r="Q14" s="661"/>
      <c r="T14" s="655" t="s">
        <v>77</v>
      </c>
      <c r="U14" s="663">
        <v>0.71783875391342589</v>
      </c>
      <c r="V14" s="663">
        <v>0.71899999999999997</v>
      </c>
    </row>
    <row r="15" spans="1:22" ht="11.25" customHeight="1">
      <c r="A15" s="157"/>
      <c r="B15" s="159"/>
      <c r="C15" s="159"/>
      <c r="D15" s="159"/>
      <c r="E15" s="159"/>
      <c r="F15" s="159"/>
      <c r="G15" s="159"/>
      <c r="H15" s="159"/>
      <c r="I15" s="159"/>
      <c r="J15" s="159"/>
      <c r="K15" s="159"/>
      <c r="L15" s="660" t="s">
        <v>72</v>
      </c>
      <c r="M15" s="660" t="s">
        <v>61</v>
      </c>
      <c r="N15" s="662">
        <v>9.5660000000000007</v>
      </c>
      <c r="O15" s="661">
        <v>3.4331638524999999</v>
      </c>
      <c r="P15" s="661">
        <v>0.49846154385032632</v>
      </c>
      <c r="Q15" s="661"/>
      <c r="T15" s="655" t="s">
        <v>72</v>
      </c>
      <c r="U15" s="663">
        <v>0.64635739583102003</v>
      </c>
      <c r="V15" s="663">
        <v>0.51900000000000002</v>
      </c>
    </row>
    <row r="16" spans="1:22" ht="11.25" customHeight="1">
      <c r="A16" s="157"/>
      <c r="B16" s="159"/>
      <c r="C16" s="159"/>
      <c r="D16" s="159"/>
      <c r="E16" s="159"/>
      <c r="F16" s="159"/>
      <c r="G16" s="159"/>
      <c r="H16" s="159"/>
      <c r="I16" s="159"/>
      <c r="J16" s="159"/>
      <c r="K16" s="159"/>
      <c r="L16" s="660" t="s">
        <v>73</v>
      </c>
      <c r="M16" s="660" t="s">
        <v>61</v>
      </c>
      <c r="N16" s="662">
        <v>5.1890000000000001</v>
      </c>
      <c r="O16" s="661">
        <v>2.7998043450000001</v>
      </c>
      <c r="P16" s="661">
        <v>0.74939625088327877</v>
      </c>
      <c r="Q16" s="661"/>
      <c r="T16" s="655" t="s">
        <v>67</v>
      </c>
      <c r="U16" s="663">
        <v>0.64192518421625988</v>
      </c>
      <c r="V16" s="663">
        <v>0.55000000000000004</v>
      </c>
    </row>
    <row r="17" spans="1:22" ht="11.25" customHeight="1">
      <c r="A17" s="157"/>
      <c r="B17" s="159"/>
      <c r="C17" s="159"/>
      <c r="D17" s="159"/>
      <c r="E17" s="159"/>
      <c r="F17" s="159"/>
      <c r="G17" s="159"/>
      <c r="H17" s="159"/>
      <c r="I17" s="159"/>
      <c r="J17" s="159"/>
      <c r="K17" s="159"/>
      <c r="L17" s="660" t="s">
        <v>77</v>
      </c>
      <c r="M17" s="660" t="s">
        <v>61</v>
      </c>
      <c r="N17" s="662">
        <v>3.964</v>
      </c>
      <c r="O17" s="661">
        <v>2.2961</v>
      </c>
      <c r="P17" s="661">
        <v>0.80449742123556456</v>
      </c>
      <c r="Q17" s="661"/>
      <c r="T17" s="655" t="s">
        <v>68</v>
      </c>
      <c r="U17" s="663">
        <v>0.63082701531054963</v>
      </c>
      <c r="V17" s="663">
        <v>0.54400000000000004</v>
      </c>
    </row>
    <row r="18" spans="1:22">
      <c r="A18" s="157"/>
      <c r="B18" s="159"/>
      <c r="C18" s="159"/>
      <c r="D18" s="159"/>
      <c r="E18" s="159"/>
      <c r="F18" s="159"/>
      <c r="G18" s="159"/>
      <c r="H18" s="159"/>
      <c r="I18" s="159"/>
      <c r="J18" s="159"/>
      <c r="K18" s="159"/>
      <c r="L18" s="660" t="s">
        <v>64</v>
      </c>
      <c r="M18" s="660" t="s">
        <v>61</v>
      </c>
      <c r="N18" s="662">
        <v>19.1995</v>
      </c>
      <c r="O18" s="661">
        <v>1.7073725375</v>
      </c>
      <c r="P18" s="661">
        <v>0.12351106781571279</v>
      </c>
      <c r="Q18" s="661"/>
      <c r="T18" s="655" t="s">
        <v>64</v>
      </c>
      <c r="U18" s="663">
        <v>0.62176274481433802</v>
      </c>
      <c r="V18" s="663">
        <v>0.69299999999999995</v>
      </c>
    </row>
    <row r="19" spans="1:22">
      <c r="A19" s="157"/>
      <c r="B19" s="159"/>
      <c r="C19" s="159"/>
      <c r="D19" s="159"/>
      <c r="E19" s="159"/>
      <c r="F19" s="159"/>
      <c r="G19" s="159"/>
      <c r="H19" s="159"/>
      <c r="I19" s="159"/>
      <c r="J19" s="159"/>
      <c r="K19" s="159"/>
      <c r="L19" s="660" t="s">
        <v>67</v>
      </c>
      <c r="M19" s="660" t="s">
        <v>61</v>
      </c>
      <c r="N19" s="662">
        <v>10.222</v>
      </c>
      <c r="O19" s="661">
        <v>1.5718242574999999</v>
      </c>
      <c r="P19" s="661">
        <v>0.21356772124122264</v>
      </c>
      <c r="Q19" s="661"/>
      <c r="T19" s="655" t="s">
        <v>607</v>
      </c>
      <c r="U19" s="663">
        <v>0.60700272042410719</v>
      </c>
      <c r="V19" s="663"/>
    </row>
    <row r="20" spans="1:22">
      <c r="A20" s="157"/>
      <c r="B20" s="159"/>
      <c r="C20" s="159"/>
      <c r="D20" s="159"/>
      <c r="E20" s="159"/>
      <c r="F20" s="159"/>
      <c r="G20" s="159"/>
      <c r="H20" s="159"/>
      <c r="I20" s="159"/>
      <c r="J20" s="159"/>
      <c r="K20" s="159"/>
      <c r="L20" s="660" t="s">
        <v>68</v>
      </c>
      <c r="M20" s="660" t="s">
        <v>61</v>
      </c>
      <c r="N20" s="662">
        <v>9.85</v>
      </c>
      <c r="O20" s="661">
        <v>1.3982985525</v>
      </c>
      <c r="P20" s="661">
        <v>0.19716561653976314</v>
      </c>
      <c r="Q20" s="661"/>
      <c r="T20" s="655" t="s">
        <v>74</v>
      </c>
      <c r="U20" s="663">
        <v>0.58920329017567774</v>
      </c>
      <c r="V20" s="663">
        <v>0.72599999999999998</v>
      </c>
    </row>
    <row r="21" spans="1:22">
      <c r="A21" s="157"/>
      <c r="B21" s="159"/>
      <c r="C21" s="159"/>
      <c r="D21" s="159"/>
      <c r="E21" s="159"/>
      <c r="F21" s="159"/>
      <c r="G21" s="159"/>
      <c r="H21" s="159"/>
      <c r="I21" s="159"/>
      <c r="J21" s="159"/>
      <c r="K21" s="159"/>
      <c r="L21" s="660" t="s">
        <v>66</v>
      </c>
      <c r="M21" s="660" t="s">
        <v>61</v>
      </c>
      <c r="N21" s="662">
        <v>19.899999999999999</v>
      </c>
      <c r="O21" s="661">
        <v>1.3720825024999999</v>
      </c>
      <c r="P21" s="661">
        <v>9.5762318711613628E-2</v>
      </c>
      <c r="Q21" s="661"/>
      <c r="T21" s="655" t="s">
        <v>63</v>
      </c>
      <c r="U21" s="663">
        <v>0.56548956185979149</v>
      </c>
      <c r="V21" s="663">
        <v>0.58199999999999996</v>
      </c>
    </row>
    <row r="22" spans="1:22">
      <c r="A22" s="157"/>
      <c r="B22" s="159"/>
      <c r="C22" s="159"/>
      <c r="D22" s="159"/>
      <c r="E22" s="159"/>
      <c r="F22" s="159"/>
      <c r="G22" s="159"/>
      <c r="H22" s="159"/>
      <c r="I22" s="159"/>
      <c r="J22" s="159"/>
      <c r="K22" s="159"/>
      <c r="L22" s="660" t="s">
        <v>76</v>
      </c>
      <c r="M22" s="660" t="s">
        <v>61</v>
      </c>
      <c r="N22" s="662">
        <v>3.91621</v>
      </c>
      <c r="O22" s="661">
        <v>1.288954275</v>
      </c>
      <c r="P22" s="661">
        <v>0.45712928337176334</v>
      </c>
      <c r="Q22" s="661"/>
      <c r="T22" s="655" t="s">
        <v>66</v>
      </c>
      <c r="U22" s="663">
        <v>0.53640348328562837</v>
      </c>
      <c r="V22" s="663">
        <v>0.34699999999999998</v>
      </c>
    </row>
    <row r="23" spans="1:22">
      <c r="A23" s="157"/>
      <c r="B23" s="159"/>
      <c r="C23" s="159"/>
      <c r="D23" s="159"/>
      <c r="E23" s="159"/>
      <c r="F23" s="159"/>
      <c r="G23" s="159"/>
      <c r="H23" s="159"/>
      <c r="I23" s="159"/>
      <c r="J23" s="159"/>
      <c r="K23" s="159"/>
      <c r="L23" s="660" t="s">
        <v>70</v>
      </c>
      <c r="M23" s="660" t="s">
        <v>61</v>
      </c>
      <c r="N23" s="662">
        <v>7.4240000000000004</v>
      </c>
      <c r="O23" s="661">
        <v>1.1264236475</v>
      </c>
      <c r="P23" s="661">
        <v>0.21073239334515684</v>
      </c>
      <c r="Q23" s="661"/>
      <c r="T23" s="655" t="s">
        <v>70</v>
      </c>
      <c r="U23" s="663">
        <v>0.52568299519378792</v>
      </c>
      <c r="V23" s="663">
        <v>0.57199999999999995</v>
      </c>
    </row>
    <row r="24" spans="1:22">
      <c r="A24" s="157"/>
      <c r="B24" s="159"/>
      <c r="C24" s="159"/>
      <c r="D24" s="159"/>
      <c r="E24" s="159"/>
      <c r="F24" s="159"/>
      <c r="G24" s="159"/>
      <c r="H24" s="159"/>
      <c r="I24" s="159"/>
      <c r="J24" s="159"/>
      <c r="K24" s="159"/>
      <c r="L24" s="660" t="s">
        <v>75</v>
      </c>
      <c r="M24" s="660" t="s">
        <v>61</v>
      </c>
      <c r="N24" s="662">
        <v>3.48</v>
      </c>
      <c r="O24" s="661">
        <v>1.0513025</v>
      </c>
      <c r="P24" s="661">
        <v>0.41958113825031929</v>
      </c>
      <c r="Q24" s="661"/>
      <c r="T24" s="655" t="s">
        <v>71</v>
      </c>
      <c r="U24" s="663">
        <v>0.5044610853679552</v>
      </c>
      <c r="V24" s="663">
        <v>0.57099999999999995</v>
      </c>
    </row>
    <row r="25" spans="1:22">
      <c r="A25" s="157"/>
      <c r="B25" s="159"/>
      <c r="C25" s="159"/>
      <c r="D25" s="159"/>
      <c r="E25" s="159"/>
      <c r="F25" s="159"/>
      <c r="G25" s="159"/>
      <c r="H25" s="159"/>
      <c r="I25" s="159"/>
      <c r="J25" s="159"/>
      <c r="K25" s="159"/>
      <c r="L25" s="660" t="s">
        <v>71</v>
      </c>
      <c r="M25" s="660" t="s">
        <v>61</v>
      </c>
      <c r="N25" s="662">
        <v>6.9580000000000002</v>
      </c>
      <c r="O25" s="661">
        <v>0.91080538750000006</v>
      </c>
      <c r="P25" s="661">
        <v>0.1818061918135799</v>
      </c>
      <c r="Q25" s="661"/>
      <c r="T25" s="655" t="s">
        <v>604</v>
      </c>
      <c r="U25" s="663">
        <v>0.31301159554940677</v>
      </c>
      <c r="V25" s="663"/>
    </row>
    <row r="26" spans="1:22">
      <c r="A26" s="157"/>
      <c r="B26" s="159"/>
      <c r="C26" s="159"/>
      <c r="D26" s="159"/>
      <c r="E26" s="159"/>
      <c r="F26" s="159"/>
      <c r="G26" s="159"/>
      <c r="H26" s="159"/>
      <c r="I26" s="159"/>
      <c r="J26" s="159"/>
      <c r="K26" s="159"/>
      <c r="L26" s="660" t="s">
        <v>74</v>
      </c>
      <c r="M26" s="660" t="s">
        <v>61</v>
      </c>
      <c r="N26" s="662">
        <v>5.67</v>
      </c>
      <c r="O26" s="661">
        <v>0.67523039000000007</v>
      </c>
      <c r="P26" s="661">
        <v>0.1654003502841466</v>
      </c>
      <c r="Q26" s="661"/>
      <c r="T26" s="655" t="s">
        <v>605</v>
      </c>
      <c r="U26" s="663">
        <v>0.3107486497990038</v>
      </c>
      <c r="V26" s="663"/>
    </row>
    <row r="27" spans="1:22">
      <c r="A27" s="157"/>
      <c r="B27" s="159"/>
      <c r="C27" s="159"/>
      <c r="D27" s="159"/>
      <c r="E27" s="159"/>
      <c r="F27" s="159"/>
      <c r="G27" s="159"/>
      <c r="H27" s="159"/>
      <c r="I27" s="159"/>
      <c r="J27" s="159"/>
      <c r="K27" s="159"/>
      <c r="L27" s="660" t="s">
        <v>607</v>
      </c>
      <c r="M27" s="660" t="s">
        <v>61</v>
      </c>
      <c r="N27" s="662">
        <v>0.7</v>
      </c>
      <c r="O27" s="661">
        <v>0.3037856625</v>
      </c>
      <c r="P27" s="661">
        <v>0.60274933035714295</v>
      </c>
      <c r="Q27" s="661"/>
      <c r="T27" s="655" t="s">
        <v>606</v>
      </c>
      <c r="U27" s="663">
        <v>0.24204189918154759</v>
      </c>
      <c r="V27" s="663"/>
    </row>
    <row r="28" spans="1:22">
      <c r="A28" s="157"/>
      <c r="B28" s="159"/>
      <c r="C28" s="159"/>
      <c r="D28" s="159"/>
      <c r="E28" s="159"/>
      <c r="F28" s="159"/>
      <c r="G28" s="159"/>
      <c r="H28" s="159"/>
      <c r="I28" s="159"/>
      <c r="J28" s="159"/>
      <c r="K28" s="159"/>
      <c r="L28" s="660" t="s">
        <v>78</v>
      </c>
      <c r="M28" s="660" t="s">
        <v>61</v>
      </c>
      <c r="N28" s="662">
        <v>1.714</v>
      </c>
      <c r="O28" s="661">
        <v>0.10566344750000001</v>
      </c>
      <c r="P28" s="661">
        <v>8.5621229985090114E-2</v>
      </c>
      <c r="Q28" s="661"/>
      <c r="T28" s="655" t="s">
        <v>78</v>
      </c>
      <c r="U28" s="663">
        <v>0.16512139710250859</v>
      </c>
      <c r="V28" s="663">
        <v>0.128</v>
      </c>
    </row>
    <row r="29" spans="1:22">
      <c r="A29" s="157"/>
      <c r="B29" s="159"/>
      <c r="C29" s="159"/>
      <c r="D29" s="159"/>
      <c r="E29" s="159"/>
      <c r="F29" s="159"/>
      <c r="G29" s="159"/>
      <c r="H29" s="159"/>
      <c r="I29" s="159"/>
      <c r="J29" s="159"/>
      <c r="K29" s="159"/>
      <c r="L29" s="660" t="s">
        <v>550</v>
      </c>
      <c r="M29" s="660" t="s">
        <v>240</v>
      </c>
      <c r="N29" s="662">
        <v>132.30000000000001</v>
      </c>
      <c r="O29" s="661">
        <v>50.189089787500002</v>
      </c>
      <c r="P29" s="661">
        <v>0.52688638812778188</v>
      </c>
      <c r="Q29" s="661"/>
      <c r="S29" s="655" t="s">
        <v>80</v>
      </c>
      <c r="T29" s="655" t="s">
        <v>79</v>
      </c>
      <c r="U29" s="663">
        <v>0.54278751066726483</v>
      </c>
      <c r="V29" s="663">
        <v>0.57699999999999996</v>
      </c>
    </row>
    <row r="30" spans="1:22">
      <c r="A30" s="157"/>
      <c r="B30" s="159"/>
      <c r="C30" s="159"/>
      <c r="D30" s="159"/>
      <c r="E30" s="159"/>
      <c r="F30" s="159"/>
      <c r="G30" s="159"/>
      <c r="H30" s="159"/>
      <c r="I30" s="159"/>
      <c r="J30" s="159"/>
      <c r="K30" s="159"/>
      <c r="L30" s="660" t="s">
        <v>79</v>
      </c>
      <c r="M30" s="660" t="s">
        <v>240</v>
      </c>
      <c r="N30" s="662">
        <v>97.15</v>
      </c>
      <c r="O30" s="661">
        <v>39.327510820000001</v>
      </c>
      <c r="P30" s="661">
        <v>0.56223924658317603</v>
      </c>
      <c r="Q30" s="661"/>
      <c r="T30" s="655" t="s">
        <v>82</v>
      </c>
      <c r="U30" s="663">
        <v>0.52655182699462</v>
      </c>
      <c r="V30" s="663">
        <v>0.59299999999999997</v>
      </c>
    </row>
    <row r="31" spans="1:22">
      <c r="A31" s="157"/>
      <c r="B31" s="159"/>
      <c r="C31" s="159"/>
      <c r="D31" s="159"/>
      <c r="E31" s="159"/>
      <c r="F31" s="159"/>
      <c r="G31" s="159"/>
      <c r="H31" s="159"/>
      <c r="I31" s="159"/>
      <c r="J31" s="159"/>
      <c r="K31" s="159"/>
      <c r="L31" s="660" t="s">
        <v>81</v>
      </c>
      <c r="M31" s="660" t="s">
        <v>240</v>
      </c>
      <c r="N31" s="662">
        <v>83.15</v>
      </c>
      <c r="O31" s="661">
        <v>27.27548891</v>
      </c>
      <c r="P31" s="661">
        <v>0.45559378816730134</v>
      </c>
      <c r="Q31" s="661"/>
      <c r="T31" s="655" t="s">
        <v>550</v>
      </c>
      <c r="U31" s="663">
        <v>0.51381918585472586</v>
      </c>
      <c r="V31" s="663"/>
    </row>
    <row r="32" spans="1:22">
      <c r="A32" s="157"/>
      <c r="B32" s="159"/>
      <c r="C32" s="159"/>
      <c r="D32" s="159"/>
      <c r="E32" s="159"/>
      <c r="F32" s="159"/>
      <c r="G32" s="159"/>
      <c r="H32" s="159"/>
      <c r="I32" s="159"/>
      <c r="J32" s="159"/>
      <c r="K32" s="159"/>
      <c r="L32" s="660" t="s">
        <v>82</v>
      </c>
      <c r="M32" s="660" t="s">
        <v>240</v>
      </c>
      <c r="N32" s="662">
        <v>32</v>
      </c>
      <c r="O32" s="661">
        <v>13.180229862500001</v>
      </c>
      <c r="P32" s="661">
        <v>0.57205858778211804</v>
      </c>
      <c r="Q32" s="661"/>
      <c r="T32" s="655" t="s">
        <v>83</v>
      </c>
      <c r="U32" s="663">
        <v>0.43026682119839738</v>
      </c>
      <c r="V32" s="663">
        <v>0.42</v>
      </c>
    </row>
    <row r="33" spans="1:22">
      <c r="A33" s="157"/>
      <c r="B33" s="159"/>
      <c r="C33" s="159"/>
      <c r="D33" s="159"/>
      <c r="E33" s="159"/>
      <c r="F33" s="159"/>
      <c r="G33" s="159"/>
      <c r="H33" s="159"/>
      <c r="I33" s="159"/>
      <c r="J33" s="159"/>
      <c r="K33" s="159"/>
      <c r="L33" s="660" t="s">
        <v>83</v>
      </c>
      <c r="M33" s="660" t="s">
        <v>240</v>
      </c>
      <c r="N33" s="662">
        <v>30.86</v>
      </c>
      <c r="O33" s="661">
        <v>11.6495051075</v>
      </c>
      <c r="P33" s="661">
        <v>0.52429903450619275</v>
      </c>
      <c r="Q33" s="661"/>
      <c r="T33" s="655" t="s">
        <v>81</v>
      </c>
      <c r="U33" s="663">
        <v>0.37654029466474598</v>
      </c>
      <c r="V33" s="663">
        <v>0.34599999999999997</v>
      </c>
    </row>
    <row r="34" spans="1:22">
      <c r="B34" s="159"/>
      <c r="C34" s="159"/>
      <c r="D34" s="159"/>
      <c r="E34" s="159"/>
      <c r="F34" s="159"/>
      <c r="G34" s="159"/>
      <c r="H34" s="159"/>
      <c r="I34" s="159"/>
      <c r="J34" s="159"/>
      <c r="K34" s="159"/>
      <c r="L34" s="660" t="s">
        <v>86</v>
      </c>
      <c r="M34" s="660" t="s">
        <v>84</v>
      </c>
      <c r="N34" s="662">
        <v>144.47999999999999</v>
      </c>
      <c r="O34" s="661">
        <v>39.740338997500004</v>
      </c>
      <c r="P34" s="661">
        <v>0.38202460738029875</v>
      </c>
      <c r="Q34" s="661"/>
      <c r="S34" s="655" t="s">
        <v>84</v>
      </c>
      <c r="T34" s="655" t="s">
        <v>85</v>
      </c>
      <c r="U34" s="663">
        <v>0.32481071979452841</v>
      </c>
      <c r="V34" s="663">
        <v>0.31</v>
      </c>
    </row>
    <row r="35" spans="1:22">
      <c r="A35" s="157"/>
      <c r="B35" s="159"/>
      <c r="C35" s="159"/>
      <c r="D35" s="159"/>
      <c r="E35" s="159"/>
      <c r="F35" s="159"/>
      <c r="G35" s="159"/>
      <c r="H35" s="159"/>
      <c r="I35" s="159"/>
      <c r="J35" s="159"/>
      <c r="K35" s="159"/>
      <c r="L35" s="660" t="s">
        <v>527</v>
      </c>
      <c r="M35" s="660" t="s">
        <v>84</v>
      </c>
      <c r="N35" s="662">
        <v>44.54</v>
      </c>
      <c r="O35" s="661">
        <v>10.036928847499999</v>
      </c>
      <c r="P35" s="661">
        <v>0.31298111708264725</v>
      </c>
      <c r="Q35" s="661"/>
      <c r="T35" s="655" t="s">
        <v>86</v>
      </c>
      <c r="U35" s="663">
        <v>0.30661076948650223</v>
      </c>
      <c r="V35" s="663"/>
    </row>
    <row r="36" spans="1:22">
      <c r="A36" s="157"/>
      <c r="B36" s="159"/>
      <c r="C36" s="159"/>
      <c r="D36" s="159"/>
      <c r="E36" s="159"/>
      <c r="F36" s="159"/>
      <c r="G36" s="159"/>
      <c r="H36" s="159"/>
      <c r="I36" s="159"/>
      <c r="J36" s="159"/>
      <c r="K36" s="159"/>
      <c r="L36" s="660" t="s">
        <v>262</v>
      </c>
      <c r="M36" s="660" t="s">
        <v>84</v>
      </c>
      <c r="N36" s="662">
        <v>20</v>
      </c>
      <c r="O36" s="661">
        <v>4.9280429450000005</v>
      </c>
      <c r="P36" s="661">
        <v>0.34222520451388888</v>
      </c>
      <c r="Q36" s="661"/>
      <c r="T36" s="655" t="s">
        <v>262</v>
      </c>
      <c r="U36" s="663">
        <v>0.28205015766178271</v>
      </c>
      <c r="V36" s="663">
        <v>0.26600000000000001</v>
      </c>
    </row>
    <row r="37" spans="1:22">
      <c r="A37" s="157"/>
      <c r="B37" s="159"/>
      <c r="C37" s="159"/>
      <c r="D37" s="159"/>
      <c r="E37" s="159"/>
      <c r="F37" s="159"/>
      <c r="G37" s="159"/>
      <c r="H37" s="159"/>
      <c r="I37" s="159"/>
      <c r="J37" s="159"/>
      <c r="K37" s="159"/>
      <c r="L37" s="660" t="s">
        <v>85</v>
      </c>
      <c r="M37" s="660" t="s">
        <v>84</v>
      </c>
      <c r="N37" s="662">
        <v>16</v>
      </c>
      <c r="O37" s="661">
        <v>4.5598398200000005</v>
      </c>
      <c r="P37" s="661">
        <v>0.39581942881944443</v>
      </c>
      <c r="Q37" s="661"/>
      <c r="T37" s="655" t="s">
        <v>261</v>
      </c>
      <c r="U37" s="663">
        <v>0.26449013991910869</v>
      </c>
      <c r="V37" s="663">
        <v>0.245</v>
      </c>
    </row>
    <row r="38" spans="1:22" ht="11.25" customHeight="1">
      <c r="A38" s="157"/>
      <c r="B38" s="159"/>
      <c r="C38" s="159"/>
      <c r="D38" s="159"/>
      <c r="E38" s="159"/>
      <c r="F38" s="159"/>
      <c r="G38" s="159"/>
      <c r="H38" s="159"/>
      <c r="I38" s="159"/>
      <c r="J38" s="159"/>
      <c r="K38" s="159"/>
      <c r="L38" s="664" t="s">
        <v>261</v>
      </c>
      <c r="M38" s="872" t="s">
        <v>84</v>
      </c>
      <c r="N38" s="662">
        <v>20</v>
      </c>
      <c r="O38" s="661">
        <v>4.4811652224999996</v>
      </c>
      <c r="P38" s="661">
        <v>0.31119202934027779</v>
      </c>
      <c r="Q38" s="664"/>
      <c r="T38" s="655" t="s">
        <v>263</v>
      </c>
      <c r="U38" s="663">
        <v>0.24516076055021369</v>
      </c>
      <c r="V38" s="663">
        <v>0.24399999999999999</v>
      </c>
    </row>
    <row r="39" spans="1:22">
      <c r="A39" s="157"/>
      <c r="B39" s="159"/>
      <c r="C39" s="159"/>
      <c r="D39" s="159"/>
      <c r="E39" s="159"/>
      <c r="F39" s="159"/>
      <c r="G39" s="159"/>
      <c r="H39" s="159"/>
      <c r="I39" s="159"/>
      <c r="J39" s="159"/>
      <c r="K39" s="159"/>
      <c r="L39" s="654" t="s">
        <v>263</v>
      </c>
      <c r="M39" s="873" t="s">
        <v>84</v>
      </c>
      <c r="N39" s="662">
        <v>20</v>
      </c>
      <c r="O39" s="661">
        <v>4.0318943825</v>
      </c>
      <c r="P39" s="661">
        <v>0.2799926654513889</v>
      </c>
      <c r="T39" s="655" t="s">
        <v>527</v>
      </c>
      <c r="U39" s="663">
        <v>0.24386285951745865</v>
      </c>
      <c r="V39" s="663"/>
    </row>
    <row r="40" spans="1:22">
      <c r="A40" s="157"/>
      <c r="B40" s="159"/>
      <c r="C40" s="159"/>
      <c r="D40" s="159"/>
      <c r="E40" s="159"/>
      <c r="F40" s="159"/>
      <c r="G40" s="159"/>
      <c r="H40" s="159"/>
      <c r="I40" s="159"/>
      <c r="J40" s="159"/>
      <c r="K40" s="159"/>
      <c r="L40" s="654" t="s">
        <v>87</v>
      </c>
      <c r="M40" s="873" t="s">
        <v>84</v>
      </c>
      <c r="N40" s="662">
        <v>20</v>
      </c>
      <c r="O40" s="661">
        <v>3.9743101224999999</v>
      </c>
      <c r="P40" s="661">
        <v>0.27599375850694446</v>
      </c>
      <c r="T40" s="655" t="s">
        <v>87</v>
      </c>
      <c r="U40" s="663">
        <v>0.22493853208943834</v>
      </c>
      <c r="V40" s="663">
        <v>0.223</v>
      </c>
    </row>
    <row r="41" spans="1:22">
      <c r="A41" s="157"/>
      <c r="B41" s="159"/>
      <c r="C41" s="159"/>
      <c r="D41" s="159"/>
      <c r="E41" s="159"/>
      <c r="F41" s="159"/>
      <c r="G41" s="159"/>
      <c r="H41" s="159"/>
      <c r="I41" s="159"/>
      <c r="J41" s="159"/>
      <c r="K41" s="159"/>
      <c r="L41" s="654" t="s">
        <v>88</v>
      </c>
      <c r="M41" s="873" t="s">
        <v>512</v>
      </c>
      <c r="N41" s="662">
        <v>12.74105</v>
      </c>
      <c r="O41" s="661">
        <v>8.4465523725000011</v>
      </c>
      <c r="P41" s="661">
        <v>0.92075007472565729</v>
      </c>
      <c r="S41" s="655" t="s">
        <v>264</v>
      </c>
      <c r="T41" s="655" t="s">
        <v>89</v>
      </c>
      <c r="U41" s="663">
        <v>0.8464303342714633</v>
      </c>
      <c r="V41" s="663">
        <v>0.76300000000000001</v>
      </c>
    </row>
    <row r="42" spans="1:22">
      <c r="A42" s="157"/>
      <c r="B42" s="159"/>
      <c r="C42" s="159"/>
      <c r="D42" s="159"/>
      <c r="E42" s="159"/>
      <c r="F42" s="159"/>
      <c r="G42" s="159"/>
      <c r="H42" s="159"/>
      <c r="I42" s="159"/>
      <c r="J42" s="159"/>
      <c r="K42" s="159"/>
      <c r="L42" s="654" t="s">
        <v>90</v>
      </c>
      <c r="M42" s="654" t="s">
        <v>512</v>
      </c>
      <c r="N42" s="662">
        <v>2.9537</v>
      </c>
      <c r="O42" s="661">
        <v>1.8762201250000001</v>
      </c>
      <c r="P42" s="661">
        <v>0.88223627474767985</v>
      </c>
      <c r="T42" s="655" t="s">
        <v>608</v>
      </c>
      <c r="U42" s="663">
        <v>0.82567104640151534</v>
      </c>
      <c r="V42" s="663"/>
    </row>
    <row r="43" spans="1:22" ht="26.25" customHeight="1">
      <c r="A43" s="920" t="str">
        <f>"Gráfico N° 8: Producción de energía eléctrica (GWh) y factor de planta de las centrales con recursos energético renovables por tipo de generación en "&amp;'1. Resumen'!Q4&amp;" "&amp;'1. Resumen'!Q5</f>
        <v>Gráfico N° 8: Producción de energía eléctrica (GWh) y factor de planta de las centrales con recursos energético renovables por tipo de generación en setiembre 2018</v>
      </c>
      <c r="B43" s="920"/>
      <c r="C43" s="920"/>
      <c r="D43" s="920"/>
      <c r="E43" s="920"/>
      <c r="F43" s="920"/>
      <c r="G43" s="920"/>
      <c r="H43" s="920"/>
      <c r="I43" s="920"/>
      <c r="J43" s="920"/>
      <c r="K43" s="920"/>
      <c r="L43" s="654" t="s">
        <v>89</v>
      </c>
      <c r="M43" s="654" t="s">
        <v>512</v>
      </c>
      <c r="N43" s="662">
        <v>4.2625000000000002</v>
      </c>
      <c r="O43" s="661">
        <v>1.7815869000000002</v>
      </c>
      <c r="P43" s="661">
        <v>0.58051055718475075</v>
      </c>
      <c r="T43" s="655" t="s">
        <v>88</v>
      </c>
      <c r="U43" s="663">
        <v>0.79525250739345632</v>
      </c>
      <c r="V43" s="663">
        <v>0.748</v>
      </c>
    </row>
    <row r="44" spans="1:22">
      <c r="A44" s="157"/>
      <c r="B44" s="159"/>
      <c r="C44" s="159"/>
      <c r="D44" s="159"/>
      <c r="E44" s="159"/>
      <c r="F44" s="159"/>
      <c r="G44" s="159"/>
      <c r="H44" s="159"/>
      <c r="I44" s="159"/>
      <c r="J44" s="159"/>
      <c r="K44" s="159"/>
      <c r="L44" s="654" t="s">
        <v>608</v>
      </c>
      <c r="M44" s="654" t="s">
        <v>512</v>
      </c>
      <c r="N44" s="662">
        <v>2.4</v>
      </c>
      <c r="O44" s="661">
        <v>1.443699525</v>
      </c>
      <c r="P44" s="661">
        <v>0.83547426215277787</v>
      </c>
      <c r="T44" s="655" t="s">
        <v>90</v>
      </c>
      <c r="U44" s="663">
        <v>0.42768907219098928</v>
      </c>
      <c r="V44" s="663">
        <v>0.434</v>
      </c>
    </row>
    <row r="45" spans="1:22" ht="12">
      <c r="A45" s="157"/>
      <c r="B45" s="159"/>
      <c r="C45" s="924" t="str">
        <f>"Factor de planta de las centrales RER  Acumulado al "&amp;'1. Resumen'!Q7&amp;" de "&amp;'1. Resumen'!Q4</f>
        <v>Factor de planta de las centrales RER  Acumulado al 30 de setiembre</v>
      </c>
      <c r="D45" s="924"/>
      <c r="E45" s="924"/>
      <c r="F45" s="924"/>
      <c r="G45" s="924"/>
      <c r="H45" s="924"/>
      <c r="I45" s="924"/>
      <c r="J45" s="159"/>
      <c r="K45" s="159"/>
    </row>
    <row r="46" spans="1:22">
      <c r="A46" s="157"/>
      <c r="B46" s="159"/>
      <c r="C46" s="159"/>
      <c r="D46" s="159"/>
      <c r="E46" s="159"/>
      <c r="F46" s="159"/>
      <c r="G46" s="159"/>
      <c r="H46" s="159"/>
      <c r="I46" s="159"/>
      <c r="J46" s="159"/>
      <c r="K46" s="159"/>
    </row>
    <row r="47" spans="1:22">
      <c r="A47" s="157"/>
      <c r="B47" s="159"/>
      <c r="C47" s="159"/>
      <c r="D47" s="159"/>
      <c r="E47" s="159"/>
      <c r="F47" s="159"/>
      <c r="G47" s="159"/>
      <c r="H47" s="159"/>
      <c r="I47" s="159"/>
      <c r="J47" s="159"/>
      <c r="K47" s="159"/>
    </row>
    <row r="48" spans="1:22">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316" t="str">
        <f>"Gráfico N° 9: factor de planta de las centrales con recursos energético renovables en el SEIN en "&amp;'1. Resumen'!Q4</f>
        <v>Gráfico N° 9: factor de planta de las centrales con recursos energético renovables en el SEIN en setiembre</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Setiembre 2018
INFSGI-MES-09-2018
11/10/2018
Versión: 01</oddHeader>
    <oddFooter>&amp;L&amp;7COES, 2018&amp;C6&amp;R&amp;7Dirección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2"/>
  <sheetViews>
    <sheetView showGridLines="0" view="pageBreakPreview" zoomScale="145" zoomScaleNormal="100" zoomScaleSheetLayoutView="145" zoomScalePageLayoutView="145" workbookViewId="0">
      <selection activeCell="M27" sqref="M27"/>
    </sheetView>
  </sheetViews>
  <sheetFormatPr defaultRowHeight="11.25"/>
  <cols>
    <col min="1" max="1" width="30.1640625" style="3" customWidth="1"/>
    <col min="2" max="3" width="9.5" style="3" bestFit="1" customWidth="1"/>
    <col min="4" max="4" width="10.1640625" style="3" bestFit="1" customWidth="1"/>
    <col min="5" max="9" width="9.33203125" style="3"/>
    <col min="10" max="10" width="9.33203125" style="3" customWidth="1"/>
    <col min="11" max="11" width="22.83203125" style="3" customWidth="1"/>
    <col min="12" max="12" width="19.1640625" style="3" customWidth="1"/>
    <col min="13" max="14" width="9.5" style="3" bestFit="1" customWidth="1"/>
    <col min="15" max="16384" width="9.33203125" style="3"/>
  </cols>
  <sheetData>
    <row r="1" spans="1:14" ht="11.25" customHeight="1"/>
    <row r="2" spans="1:14" ht="11.25" customHeight="1">
      <c r="A2" s="921" t="s">
        <v>266</v>
      </c>
      <c r="B2" s="921"/>
      <c r="C2" s="921"/>
      <c r="D2" s="921"/>
      <c r="E2" s="921"/>
      <c r="F2" s="921"/>
      <c r="G2" s="921"/>
      <c r="H2" s="921"/>
      <c r="I2" s="921"/>
      <c r="J2" s="84"/>
    </row>
    <row r="3" spans="1:14" ht="6" customHeight="1">
      <c r="A3" s="84"/>
      <c r="B3" s="84"/>
      <c r="C3" s="84"/>
      <c r="D3" s="84"/>
      <c r="E3" s="84"/>
      <c r="F3" s="84"/>
      <c r="G3" s="84"/>
      <c r="H3" s="84"/>
      <c r="I3" s="84"/>
      <c r="J3" s="84"/>
      <c r="K3" s="505"/>
      <c r="L3" s="505"/>
    </row>
    <row r="4" spans="1:14" ht="11.25" customHeight="1">
      <c r="A4" s="927" t="s">
        <v>278</v>
      </c>
      <c r="B4" s="928" t="str">
        <f>+'1. Resumen'!Q4</f>
        <v>setiembre</v>
      </c>
      <c r="C4" s="929"/>
      <c r="D4" s="929"/>
      <c r="E4" s="159"/>
      <c r="F4" s="159"/>
      <c r="G4" s="930" t="s">
        <v>279</v>
      </c>
      <c r="H4" s="930"/>
      <c r="I4" s="930"/>
      <c r="J4" s="159"/>
      <c r="K4" s="160"/>
      <c r="L4" s="506"/>
      <c r="M4" s="507">
        <v>2018</v>
      </c>
      <c r="N4" s="507">
        <v>2017</v>
      </c>
    </row>
    <row r="5" spans="1:14" ht="11.25" customHeight="1">
      <c r="A5" s="927"/>
      <c r="B5" s="788">
        <f>+'1. Resumen'!Q5</f>
        <v>2018</v>
      </c>
      <c r="C5" s="789">
        <f>+B5-1</f>
        <v>2017</v>
      </c>
      <c r="D5" s="789" t="s">
        <v>35</v>
      </c>
      <c r="E5" s="159"/>
      <c r="F5" s="159"/>
      <c r="G5" s="159"/>
      <c r="H5" s="159"/>
      <c r="I5" s="159"/>
      <c r="J5" s="159"/>
      <c r="K5" s="508"/>
      <c r="L5" s="513" t="s">
        <v>128</v>
      </c>
      <c r="M5" s="510"/>
      <c r="N5" s="510">
        <v>0</v>
      </c>
    </row>
    <row r="6" spans="1:14" ht="10.5" customHeight="1">
      <c r="A6" s="589" t="s">
        <v>92</v>
      </c>
      <c r="B6" s="633">
        <v>673.0898931349999</v>
      </c>
      <c r="C6" s="634">
        <v>719.20259550250012</v>
      </c>
      <c r="D6" s="590">
        <f>IF(C6=0,"",B6/C6-1)</f>
        <v>-6.4116429300817068E-2</v>
      </c>
      <c r="E6" s="159"/>
      <c r="F6" s="159"/>
      <c r="G6" s="159"/>
      <c r="H6" s="159"/>
      <c r="I6" s="159"/>
      <c r="J6" s="159"/>
      <c r="K6" s="511"/>
      <c r="L6" s="513" t="s">
        <v>574</v>
      </c>
      <c r="M6" s="510"/>
      <c r="N6" s="510">
        <v>1.539862675</v>
      </c>
    </row>
    <row r="7" spans="1:14" ht="10.5" customHeight="1">
      <c r="A7" s="591" t="s">
        <v>555</v>
      </c>
      <c r="B7" s="635">
        <v>652.72241572500002</v>
      </c>
      <c r="C7" s="635">
        <v>407.39152436500001</v>
      </c>
      <c r="D7" s="592">
        <f t="shared" ref="D7:D59" si="0">IF(C7=0,"",B7/C7-1)</f>
        <v>0.60219930137819278</v>
      </c>
      <c r="E7" s="623"/>
      <c r="F7" s="159"/>
      <c r="G7" s="159"/>
      <c r="H7" s="159"/>
      <c r="I7" s="159"/>
      <c r="J7" s="159"/>
      <c r="K7" s="160"/>
      <c r="L7" s="510" t="s">
        <v>129</v>
      </c>
      <c r="M7" s="510"/>
      <c r="N7" s="510">
        <v>179.76445146999998</v>
      </c>
    </row>
    <row r="8" spans="1:14" ht="10.5" customHeight="1">
      <c r="A8" s="589" t="s">
        <v>93</v>
      </c>
      <c r="B8" s="634">
        <v>556.10075069250001</v>
      </c>
      <c r="C8" s="634">
        <v>456.55576276250002</v>
      </c>
      <c r="D8" s="590">
        <f t="shared" si="0"/>
        <v>0.2180346762631562</v>
      </c>
      <c r="E8" s="159"/>
      <c r="F8" s="159"/>
      <c r="G8" s="159"/>
      <c r="H8" s="159"/>
      <c r="I8" s="159"/>
      <c r="J8" s="159"/>
      <c r="K8" s="160"/>
      <c r="L8" s="513" t="s">
        <v>127</v>
      </c>
      <c r="M8" s="510">
        <v>0</v>
      </c>
      <c r="N8" s="510">
        <v>0</v>
      </c>
    </row>
    <row r="9" spans="1:14" ht="10.5" customHeight="1">
      <c r="A9" s="591" t="s">
        <v>94</v>
      </c>
      <c r="B9" s="635">
        <v>533.19888551999998</v>
      </c>
      <c r="C9" s="635">
        <v>593.55368475000012</v>
      </c>
      <c r="D9" s="592">
        <f t="shared" si="0"/>
        <v>-0.10168380852596526</v>
      </c>
      <c r="E9" s="159"/>
      <c r="F9" s="159"/>
      <c r="G9" s="159"/>
      <c r="H9" s="159"/>
      <c r="I9" s="159"/>
      <c r="J9" s="159"/>
      <c r="K9" s="160"/>
      <c r="L9" s="513" t="s">
        <v>125</v>
      </c>
      <c r="M9" s="510">
        <v>0</v>
      </c>
      <c r="N9" s="510">
        <v>10.9024739975</v>
      </c>
    </row>
    <row r="10" spans="1:14" ht="10.5" customHeight="1">
      <c r="A10" s="589" t="s">
        <v>271</v>
      </c>
      <c r="B10" s="634">
        <v>397.68801867999997</v>
      </c>
      <c r="C10" s="634">
        <v>367.54370767499995</v>
      </c>
      <c r="D10" s="590">
        <f t="shared" si="0"/>
        <v>8.2015581754034894E-2</v>
      </c>
      <c r="E10" s="159"/>
      <c r="F10" s="159"/>
      <c r="G10" s="159"/>
      <c r="H10" s="159"/>
      <c r="I10" s="159"/>
      <c r="J10" s="159"/>
      <c r="K10" s="508"/>
      <c r="L10" s="510" t="s">
        <v>267</v>
      </c>
      <c r="M10" s="510">
        <v>2E-8</v>
      </c>
      <c r="N10" s="510">
        <v>0.44963797499999997</v>
      </c>
    </row>
    <row r="11" spans="1:14" ht="10.5" customHeight="1">
      <c r="A11" s="591" t="s">
        <v>105</v>
      </c>
      <c r="B11" s="635">
        <v>210.44338141999998</v>
      </c>
      <c r="C11" s="635">
        <v>67.517150242500009</v>
      </c>
      <c r="D11" s="592">
        <f t="shared" si="0"/>
        <v>2.1168877931629915</v>
      </c>
      <c r="E11" s="159"/>
      <c r="F11" s="159"/>
      <c r="G11" s="159"/>
      <c r="H11" s="159"/>
      <c r="I11" s="159"/>
      <c r="J11" s="159"/>
      <c r="K11" s="511"/>
      <c r="L11" s="510" t="s">
        <v>603</v>
      </c>
      <c r="M11" s="510">
        <v>1.302E-3</v>
      </c>
      <c r="N11" s="510"/>
    </row>
    <row r="12" spans="1:14" ht="10.5" customHeight="1">
      <c r="A12" s="589" t="s">
        <v>95</v>
      </c>
      <c r="B12" s="634">
        <v>125.84359294000001</v>
      </c>
      <c r="C12" s="634">
        <v>137.80627296499998</v>
      </c>
      <c r="D12" s="590">
        <f t="shared" si="0"/>
        <v>-8.6807949795131956E-2</v>
      </c>
      <c r="E12" s="159"/>
      <c r="F12" s="159"/>
      <c r="G12" s="159"/>
      <c r="H12" s="159"/>
      <c r="I12" s="159"/>
      <c r="J12" s="159"/>
      <c r="K12" s="511"/>
      <c r="L12" s="510" t="s">
        <v>275</v>
      </c>
      <c r="M12" s="510">
        <v>2.2426149999999999E-3</v>
      </c>
      <c r="N12" s="510">
        <v>3.0065915000000002E-2</v>
      </c>
    </row>
    <row r="13" spans="1:14" ht="10.5" customHeight="1">
      <c r="A13" s="591" t="s">
        <v>110</v>
      </c>
      <c r="B13" s="635">
        <v>93.527719640000001</v>
      </c>
      <c r="C13" s="635">
        <v>40.668778625000002</v>
      </c>
      <c r="D13" s="593">
        <f t="shared" si="0"/>
        <v>1.2997425249084427</v>
      </c>
      <c r="E13" s="159"/>
      <c r="F13" s="159"/>
      <c r="G13" s="159"/>
      <c r="H13" s="159"/>
      <c r="I13" s="159"/>
      <c r="J13" s="159"/>
      <c r="K13" s="511"/>
      <c r="L13" s="513" t="s">
        <v>124</v>
      </c>
      <c r="M13" s="510">
        <v>0.10566344750000001</v>
      </c>
      <c r="N13" s="510">
        <v>0.20728031750000001</v>
      </c>
    </row>
    <row r="14" spans="1:14" ht="10.5" customHeight="1">
      <c r="A14" s="589" t="s">
        <v>103</v>
      </c>
      <c r="B14" s="634">
        <v>89.929428784999999</v>
      </c>
      <c r="C14" s="634"/>
      <c r="D14" s="590" t="str">
        <f t="shared" si="0"/>
        <v/>
      </c>
      <c r="E14" s="159"/>
      <c r="F14" s="159"/>
      <c r="G14" s="159"/>
      <c r="H14" s="159"/>
      <c r="I14" s="159"/>
      <c r="J14" s="159"/>
      <c r="K14" s="511"/>
      <c r="L14" s="513" t="s">
        <v>123</v>
      </c>
      <c r="M14" s="510">
        <v>0.12731671249999998</v>
      </c>
      <c r="N14" s="510">
        <v>0.84292083249999994</v>
      </c>
    </row>
    <row r="15" spans="1:14" ht="10.5" customHeight="1">
      <c r="A15" s="591" t="s">
        <v>96</v>
      </c>
      <c r="B15" s="635">
        <v>70.811768407499997</v>
      </c>
      <c r="C15" s="635">
        <v>120.38524270750001</v>
      </c>
      <c r="D15" s="592">
        <f t="shared" si="0"/>
        <v>-0.4117902924401512</v>
      </c>
      <c r="E15" s="159"/>
      <c r="F15" s="159"/>
      <c r="G15" s="159"/>
      <c r="H15" s="159"/>
      <c r="I15" s="159"/>
      <c r="J15" s="159"/>
      <c r="K15" s="511"/>
      <c r="L15" s="516" t="s">
        <v>276</v>
      </c>
      <c r="M15" s="510">
        <v>0.40214331249999996</v>
      </c>
      <c r="N15" s="510">
        <v>126.8524035825</v>
      </c>
    </row>
    <row r="16" spans="1:14" ht="10.5" customHeight="1">
      <c r="A16" s="589" t="s">
        <v>97</v>
      </c>
      <c r="B16" s="634">
        <v>69.465119695000013</v>
      </c>
      <c r="C16" s="634">
        <v>75.592430555000007</v>
      </c>
      <c r="D16" s="590">
        <f t="shared" si="0"/>
        <v>-8.105720129665428E-2</v>
      </c>
      <c r="E16" s="159"/>
      <c r="F16" s="159"/>
      <c r="G16" s="159"/>
      <c r="H16" s="159"/>
      <c r="I16" s="159"/>
      <c r="J16" s="159" t="s">
        <v>8</v>
      </c>
      <c r="K16" s="511"/>
      <c r="L16" s="510" t="s">
        <v>122</v>
      </c>
      <c r="M16" s="510">
        <v>1.0513025</v>
      </c>
      <c r="N16" s="510">
        <v>1.4360482499999998</v>
      </c>
    </row>
    <row r="17" spans="1:14" ht="10.5" customHeight="1">
      <c r="A17" s="591" t="s">
        <v>273</v>
      </c>
      <c r="B17" s="635">
        <v>65.488063177499996</v>
      </c>
      <c r="C17" s="635">
        <v>100.00767748749999</v>
      </c>
      <c r="D17" s="592">
        <f t="shared" si="0"/>
        <v>-0.34516964274382456</v>
      </c>
      <c r="E17" s="159"/>
      <c r="F17" s="159"/>
      <c r="G17" s="159"/>
      <c r="H17" s="159"/>
      <c r="I17" s="159"/>
      <c r="J17" s="159"/>
      <c r="K17" s="511"/>
      <c r="L17" s="510" t="s">
        <v>120</v>
      </c>
      <c r="M17" s="510">
        <v>1.288954275</v>
      </c>
      <c r="N17" s="510">
        <v>1.1956567224999999</v>
      </c>
    </row>
    <row r="18" spans="1:14" ht="10.5" customHeight="1">
      <c r="A18" s="589" t="s">
        <v>101</v>
      </c>
      <c r="B18" s="634">
        <v>64.839849642499999</v>
      </c>
      <c r="C18" s="634">
        <v>65.022231925</v>
      </c>
      <c r="D18" s="590">
        <f t="shared" si="0"/>
        <v>-2.8049219028711825E-3</v>
      </c>
      <c r="E18" s="159"/>
      <c r="F18" s="159"/>
      <c r="G18" s="159"/>
      <c r="H18" s="159"/>
      <c r="I18" s="159"/>
      <c r="J18" s="159"/>
      <c r="K18" s="515"/>
      <c r="L18" s="510" t="s">
        <v>126</v>
      </c>
      <c r="M18" s="510">
        <v>1.3720825024999999</v>
      </c>
      <c r="N18" s="510">
        <v>1.6794516149999998</v>
      </c>
    </row>
    <row r="19" spans="1:14" ht="10.5" customHeight="1">
      <c r="A19" s="591" t="s">
        <v>98</v>
      </c>
      <c r="B19" s="635">
        <v>52.429864202499999</v>
      </c>
      <c r="C19" s="635">
        <v>58.0858974</v>
      </c>
      <c r="D19" s="592">
        <f t="shared" si="0"/>
        <v>-9.7373604449124018E-2</v>
      </c>
      <c r="E19" s="159"/>
      <c r="F19" s="159"/>
      <c r="G19" s="159"/>
      <c r="H19" s="159"/>
      <c r="I19" s="159"/>
      <c r="J19" s="159"/>
      <c r="K19" s="511"/>
      <c r="L19" s="512" t="s">
        <v>109</v>
      </c>
      <c r="M19" s="510">
        <v>1.7073725375</v>
      </c>
      <c r="N19" s="510">
        <v>2.8754565049999998</v>
      </c>
    </row>
    <row r="20" spans="1:14" ht="10.5" customHeight="1">
      <c r="A20" s="589" t="s">
        <v>99</v>
      </c>
      <c r="B20" s="634">
        <v>50.394623122499993</v>
      </c>
      <c r="C20" s="634">
        <v>54.254294110000004</v>
      </c>
      <c r="D20" s="590">
        <f t="shared" si="0"/>
        <v>-7.114037793348793E-2</v>
      </c>
      <c r="E20" s="159"/>
      <c r="F20" s="159"/>
      <c r="G20" s="159"/>
      <c r="H20" s="159"/>
      <c r="I20" s="159"/>
      <c r="J20" s="159"/>
      <c r="K20" s="511"/>
      <c r="L20" s="510" t="s">
        <v>121</v>
      </c>
      <c r="M20" s="510">
        <v>2.2961</v>
      </c>
      <c r="N20" s="510">
        <v>2.2254999999999998</v>
      </c>
    </row>
    <row r="21" spans="1:14" ht="10.5" customHeight="1">
      <c r="A21" s="591" t="s">
        <v>268</v>
      </c>
      <c r="B21" s="635">
        <v>50.138634234999998</v>
      </c>
      <c r="C21" s="635">
        <v>64.234235374999997</v>
      </c>
      <c r="D21" s="592">
        <f t="shared" si="0"/>
        <v>-0.21944063096119637</v>
      </c>
      <c r="E21" s="159"/>
      <c r="F21" s="159"/>
      <c r="G21" s="159"/>
      <c r="H21" s="159"/>
      <c r="I21" s="159"/>
      <c r="J21" s="159"/>
      <c r="K21" s="511"/>
      <c r="L21" s="512" t="s">
        <v>119</v>
      </c>
      <c r="M21" s="510">
        <v>2.7998043450000001</v>
      </c>
      <c r="N21" s="510">
        <v>3.2322862499999996</v>
      </c>
    </row>
    <row r="22" spans="1:14" ht="10.5" customHeight="1">
      <c r="A22" s="589" t="s">
        <v>100</v>
      </c>
      <c r="B22" s="634">
        <v>47.85234011</v>
      </c>
      <c r="C22" s="634">
        <v>38.237539975000004</v>
      </c>
      <c r="D22" s="590">
        <f t="shared" si="0"/>
        <v>0.25144923395402063</v>
      </c>
      <c r="E22" s="159"/>
      <c r="F22" s="159"/>
      <c r="G22" s="159"/>
      <c r="H22" s="159"/>
      <c r="I22" s="159"/>
      <c r="J22" s="159"/>
      <c r="K22" s="515"/>
      <c r="L22" s="510" t="s">
        <v>118</v>
      </c>
      <c r="M22" s="510">
        <v>3.4331638524999999</v>
      </c>
      <c r="N22" s="510">
        <v>3.9125136824999998</v>
      </c>
    </row>
    <row r="23" spans="1:14" ht="10.5" customHeight="1">
      <c r="A23" s="591" t="s">
        <v>269</v>
      </c>
      <c r="B23" s="635">
        <v>40.684881500000003</v>
      </c>
      <c r="C23" s="635">
        <v>47.158638144999998</v>
      </c>
      <c r="D23" s="592">
        <f t="shared" si="0"/>
        <v>-0.13727615765949286</v>
      </c>
      <c r="E23" s="159"/>
      <c r="F23" s="159"/>
      <c r="G23" s="159"/>
      <c r="H23" s="159"/>
      <c r="I23" s="159"/>
      <c r="J23" s="159"/>
      <c r="K23" s="511"/>
      <c r="L23" s="513" t="s">
        <v>117</v>
      </c>
      <c r="M23" s="510">
        <v>3.9743101224999999</v>
      </c>
      <c r="N23" s="510">
        <v>3.4976170600000001</v>
      </c>
    </row>
    <row r="24" spans="1:14" ht="10.5" customHeight="1">
      <c r="A24" s="589" t="s">
        <v>104</v>
      </c>
      <c r="B24" s="634">
        <v>39.327510820000001</v>
      </c>
      <c r="C24" s="634">
        <v>52.047798812499998</v>
      </c>
      <c r="D24" s="590">
        <f t="shared" si="0"/>
        <v>-0.24439627194080382</v>
      </c>
      <c r="E24" s="159"/>
      <c r="F24" s="159"/>
      <c r="G24" s="159"/>
      <c r="H24" s="159"/>
      <c r="I24" s="159"/>
      <c r="J24" s="159"/>
      <c r="K24" s="511"/>
      <c r="L24" s="513" t="s">
        <v>116</v>
      </c>
      <c r="M24" s="510">
        <v>4.0318943825</v>
      </c>
      <c r="N24" s="510">
        <v>3.8434443200000001</v>
      </c>
    </row>
    <row r="25" spans="1:14" ht="10.5" customHeight="1">
      <c r="A25" s="591" t="s">
        <v>102</v>
      </c>
      <c r="B25" s="635">
        <v>38.924994017499998</v>
      </c>
      <c r="C25" s="635">
        <v>42.949859150000002</v>
      </c>
      <c r="D25" s="592">
        <f t="shared" si="0"/>
        <v>-9.3710787698823128E-2</v>
      </c>
      <c r="E25" s="159"/>
      <c r="F25" s="159"/>
      <c r="G25" s="159"/>
      <c r="H25" s="159"/>
      <c r="I25" s="159"/>
      <c r="J25" s="159"/>
      <c r="K25" s="511"/>
      <c r="L25" s="513" t="s">
        <v>114</v>
      </c>
      <c r="M25" s="510">
        <v>4.4811652224999996</v>
      </c>
      <c r="N25" s="510">
        <v>3.3480214350000002</v>
      </c>
    </row>
    <row r="26" spans="1:14" ht="10.5" customHeight="1">
      <c r="A26" s="589" t="s">
        <v>573</v>
      </c>
      <c r="B26" s="634">
        <v>37.008764194999998</v>
      </c>
      <c r="C26" s="634">
        <v>37.642318162500004</v>
      </c>
      <c r="D26" s="590">
        <f t="shared" si="0"/>
        <v>-1.6830896672329954E-2</v>
      </c>
      <c r="E26" s="159"/>
      <c r="F26" s="159"/>
      <c r="G26" s="159"/>
      <c r="H26" s="159"/>
      <c r="I26" s="159"/>
      <c r="J26" s="159"/>
      <c r="K26" s="511"/>
      <c r="L26" s="510" t="s">
        <v>115</v>
      </c>
      <c r="M26" s="510">
        <v>4.5598398200000005</v>
      </c>
      <c r="N26" s="510">
        <v>3.9837779074999999</v>
      </c>
    </row>
    <row r="27" spans="1:14" ht="10.5" customHeight="1">
      <c r="A27" s="591" t="s">
        <v>106</v>
      </c>
      <c r="B27" s="635">
        <v>23.673690965000002</v>
      </c>
      <c r="C27" s="635">
        <v>21.05359322</v>
      </c>
      <c r="D27" s="592">
        <f t="shared" si="0"/>
        <v>0.12444895831420477</v>
      </c>
      <c r="E27" s="159"/>
      <c r="F27" s="159"/>
      <c r="G27" s="159"/>
      <c r="H27" s="159"/>
      <c r="I27" s="159"/>
      <c r="J27" s="159"/>
      <c r="K27" s="511"/>
      <c r="L27" s="513" t="s">
        <v>112</v>
      </c>
      <c r="M27" s="510">
        <v>4.9280429450000005</v>
      </c>
      <c r="N27" s="510">
        <v>4.2570842500000001</v>
      </c>
    </row>
    <row r="28" spans="1:14" ht="10.5" customHeight="1">
      <c r="A28" s="594" t="s">
        <v>107</v>
      </c>
      <c r="B28" s="634">
        <v>20.172410259999999</v>
      </c>
      <c r="C28" s="634">
        <v>15.7906386675</v>
      </c>
      <c r="D28" s="590">
        <f t="shared" si="0"/>
        <v>0.27749172688742996</v>
      </c>
      <c r="E28" s="159"/>
      <c r="F28" s="159"/>
      <c r="G28" s="159"/>
      <c r="H28" s="159"/>
      <c r="I28" s="159"/>
      <c r="J28" s="159"/>
      <c r="K28" s="511"/>
      <c r="L28" s="513" t="s">
        <v>277</v>
      </c>
      <c r="M28" s="510">
        <v>5.0073518450000005</v>
      </c>
      <c r="N28" s="510">
        <v>6.2081082875</v>
      </c>
    </row>
    <row r="29" spans="1:14" ht="10.5" customHeight="1">
      <c r="A29" s="595" t="s">
        <v>113</v>
      </c>
      <c r="B29" s="635">
        <v>17.061748242499998</v>
      </c>
      <c r="C29" s="635">
        <v>4.7002241974999999</v>
      </c>
      <c r="D29" s="592">
        <f t="shared" si="0"/>
        <v>2.6299860444050656</v>
      </c>
      <c r="E29" s="159"/>
      <c r="F29" s="159"/>
      <c r="G29" s="159"/>
      <c r="H29" s="159"/>
      <c r="I29" s="159"/>
      <c r="J29" s="159"/>
      <c r="K29" s="511"/>
      <c r="L29" s="513" t="s">
        <v>575</v>
      </c>
      <c r="M29" s="510">
        <v>5.1015065500000008</v>
      </c>
      <c r="N29" s="510">
        <v>2.0969835250000002</v>
      </c>
    </row>
    <row r="30" spans="1:14" ht="10.5" customHeight="1">
      <c r="A30" s="596" t="s">
        <v>274</v>
      </c>
      <c r="B30" s="634">
        <v>13.180229862500001</v>
      </c>
      <c r="C30" s="634">
        <v>17.365040282499997</v>
      </c>
      <c r="D30" s="590">
        <f t="shared" si="0"/>
        <v>-0.24099053914763047</v>
      </c>
      <c r="E30" s="159"/>
      <c r="F30" s="159"/>
      <c r="G30" s="159"/>
      <c r="H30" s="159"/>
      <c r="I30" s="159"/>
      <c r="J30" s="159"/>
      <c r="K30" s="511"/>
      <c r="L30" s="510" t="s">
        <v>111</v>
      </c>
      <c r="M30" s="510">
        <v>8.4465523725000011</v>
      </c>
      <c r="N30" s="510">
        <v>5.96716801</v>
      </c>
    </row>
    <row r="31" spans="1:14" ht="10.5" customHeight="1">
      <c r="A31" s="595" t="s">
        <v>511</v>
      </c>
      <c r="B31" s="635">
        <v>12.828282440000001</v>
      </c>
      <c r="C31" s="635"/>
      <c r="D31" s="592" t="str">
        <f t="shared" si="0"/>
        <v/>
      </c>
      <c r="E31" s="159"/>
      <c r="F31" s="159"/>
      <c r="G31" s="159"/>
      <c r="H31" s="159"/>
      <c r="I31" s="159"/>
      <c r="J31" s="159"/>
      <c r="K31" s="511"/>
      <c r="L31" s="510" t="s">
        <v>270</v>
      </c>
      <c r="M31" s="510">
        <v>8.7529935250000008</v>
      </c>
      <c r="N31" s="510">
        <v>7.5729428399999996</v>
      </c>
    </row>
    <row r="32" spans="1:14" ht="10.5" customHeight="1">
      <c r="A32" s="596" t="s">
        <v>108</v>
      </c>
      <c r="B32" s="634">
        <v>12.488337000000001</v>
      </c>
      <c r="C32" s="634">
        <v>12.538457000000001</v>
      </c>
      <c r="D32" s="590">
        <f t="shared" si="0"/>
        <v>-3.9973020603730758E-3</v>
      </c>
      <c r="E32" s="159"/>
      <c r="F32" s="159"/>
      <c r="G32" s="159"/>
      <c r="H32" s="159"/>
      <c r="I32" s="159"/>
      <c r="J32" s="159"/>
      <c r="K32" s="511"/>
      <c r="L32" s="510" t="s">
        <v>572</v>
      </c>
      <c r="M32" s="510">
        <v>9.0402914800000005</v>
      </c>
      <c r="N32" s="510">
        <v>10.190191055</v>
      </c>
    </row>
    <row r="33" spans="1:14" ht="10.5" customHeight="1">
      <c r="A33" s="595" t="s">
        <v>272</v>
      </c>
      <c r="B33" s="635">
        <v>11.132157489999999</v>
      </c>
      <c r="C33" s="635">
        <v>7.71581618</v>
      </c>
      <c r="D33" s="592">
        <f t="shared" si="0"/>
        <v>0.44277121568233091</v>
      </c>
      <c r="E33" s="159"/>
      <c r="F33" s="159"/>
      <c r="G33" s="159"/>
      <c r="H33" s="159"/>
      <c r="I33" s="159"/>
      <c r="J33" s="159"/>
      <c r="K33" s="511"/>
      <c r="L33" s="513" t="s">
        <v>272</v>
      </c>
      <c r="M33" s="510">
        <v>11.132157489999999</v>
      </c>
      <c r="N33" s="510">
        <v>7.71581618</v>
      </c>
    </row>
    <row r="34" spans="1:14" ht="10.5" customHeight="1">
      <c r="A34" s="596" t="s">
        <v>572</v>
      </c>
      <c r="B34" s="634">
        <v>9.0402914800000005</v>
      </c>
      <c r="C34" s="634">
        <v>10.190191055</v>
      </c>
      <c r="D34" s="590">
        <f>IF(C34=0,"",B34/C34-1)</f>
        <v>-0.11284376993459611</v>
      </c>
      <c r="E34" s="159"/>
      <c r="F34" s="159"/>
      <c r="G34" s="159"/>
      <c r="H34" s="159"/>
      <c r="I34" s="159"/>
      <c r="J34" s="159"/>
      <c r="K34" s="517"/>
      <c r="L34" s="513" t="s">
        <v>108</v>
      </c>
      <c r="M34" s="510">
        <v>12.488337000000001</v>
      </c>
      <c r="N34" s="510">
        <v>12.538457000000001</v>
      </c>
    </row>
    <row r="35" spans="1:14" ht="10.5" customHeight="1">
      <c r="A35" s="595" t="s">
        <v>270</v>
      </c>
      <c r="B35" s="635">
        <v>8.7529935250000008</v>
      </c>
      <c r="C35" s="635">
        <v>7.5729428399999996</v>
      </c>
      <c r="D35" s="592"/>
      <c r="E35" s="159"/>
      <c r="F35" s="159"/>
      <c r="G35" s="159"/>
      <c r="H35" s="159"/>
      <c r="I35" s="159"/>
      <c r="J35" s="159"/>
      <c r="K35" s="517"/>
      <c r="L35" s="513" t="s">
        <v>511</v>
      </c>
      <c r="M35" s="510">
        <v>12.828282440000001</v>
      </c>
      <c r="N35" s="510"/>
    </row>
    <row r="36" spans="1:14" ht="10.5" customHeight="1">
      <c r="A36" s="596" t="s">
        <v>111</v>
      </c>
      <c r="B36" s="634">
        <v>8.4465523725000011</v>
      </c>
      <c r="C36" s="634">
        <v>5.96716801</v>
      </c>
      <c r="D36" s="590">
        <f t="shared" si="0"/>
        <v>0.41550436628312748</v>
      </c>
      <c r="E36" s="159"/>
      <c r="F36" s="159"/>
      <c r="G36" s="159"/>
      <c r="H36" s="159"/>
      <c r="I36" s="159"/>
      <c r="J36" s="159"/>
      <c r="K36" s="515"/>
      <c r="L36" s="513" t="s">
        <v>274</v>
      </c>
      <c r="M36" s="510">
        <v>13.180229862500001</v>
      </c>
      <c r="N36" s="510">
        <v>17.365040282499997</v>
      </c>
    </row>
    <row r="37" spans="1:14" ht="10.5" customHeight="1">
      <c r="A37" s="595" t="s">
        <v>575</v>
      </c>
      <c r="B37" s="635">
        <v>5.1015065500000008</v>
      </c>
      <c r="C37" s="635">
        <v>2.0969835250000002</v>
      </c>
      <c r="D37" s="592">
        <f t="shared" si="0"/>
        <v>1.4327833238460945</v>
      </c>
      <c r="E37" s="159"/>
      <c r="F37" s="159"/>
      <c r="G37" s="159"/>
      <c r="H37" s="159"/>
      <c r="I37" s="159"/>
      <c r="J37" s="159"/>
      <c r="K37" s="515"/>
      <c r="L37" s="516" t="s">
        <v>113</v>
      </c>
      <c r="M37" s="510">
        <v>17.061748242499998</v>
      </c>
      <c r="N37" s="510">
        <v>4.7002241974999999</v>
      </c>
    </row>
    <row r="38" spans="1:14" ht="10.5" customHeight="1">
      <c r="A38" s="596" t="s">
        <v>277</v>
      </c>
      <c r="B38" s="634">
        <v>5.0073518450000005</v>
      </c>
      <c r="C38" s="634">
        <v>6.2081082875</v>
      </c>
      <c r="D38" s="590">
        <f t="shared" si="0"/>
        <v>-0.19341744487893642</v>
      </c>
      <c r="E38" s="159"/>
      <c r="F38" s="159"/>
      <c r="G38" s="159"/>
      <c r="H38" s="159"/>
      <c r="I38" s="159"/>
      <c r="J38" s="159"/>
      <c r="K38" s="515"/>
      <c r="L38" s="513" t="s">
        <v>107</v>
      </c>
      <c r="M38" s="510">
        <v>20.172410259999999</v>
      </c>
      <c r="N38" s="510">
        <v>15.7906386675</v>
      </c>
    </row>
    <row r="39" spans="1:14" ht="10.5" customHeight="1">
      <c r="A39" s="595" t="s">
        <v>112</v>
      </c>
      <c r="B39" s="635">
        <v>4.9280429450000005</v>
      </c>
      <c r="C39" s="635">
        <v>4.2570842500000001</v>
      </c>
      <c r="D39" s="592">
        <f t="shared" si="0"/>
        <v>0.15760991692847059</v>
      </c>
      <c r="E39" s="159"/>
      <c r="F39" s="159"/>
      <c r="G39" s="159"/>
      <c r="H39" s="159"/>
      <c r="I39" s="159"/>
      <c r="J39" s="159"/>
      <c r="K39" s="517"/>
      <c r="L39" s="510" t="s">
        <v>106</v>
      </c>
      <c r="M39" s="510">
        <v>23.673690965000002</v>
      </c>
      <c r="N39" s="510">
        <v>21.05359322</v>
      </c>
    </row>
    <row r="40" spans="1:14" ht="10.5" customHeight="1">
      <c r="A40" s="596" t="s">
        <v>115</v>
      </c>
      <c r="B40" s="634">
        <v>4.5598398200000005</v>
      </c>
      <c r="C40" s="634">
        <v>3.9837779074999999</v>
      </c>
      <c r="D40" s="590">
        <f t="shared" si="0"/>
        <v>0.14460191453330928</v>
      </c>
      <c r="E40" s="159"/>
      <c r="F40" s="159"/>
      <c r="G40" s="159"/>
      <c r="H40" s="159"/>
      <c r="I40" s="159"/>
      <c r="J40" s="159"/>
      <c r="K40" s="517"/>
      <c r="L40" s="513" t="s">
        <v>573</v>
      </c>
      <c r="M40" s="510">
        <v>37.008764194999998</v>
      </c>
      <c r="N40" s="510">
        <v>37.642318162500004</v>
      </c>
    </row>
    <row r="41" spans="1:14" ht="10.5" customHeight="1">
      <c r="A41" s="595" t="s">
        <v>114</v>
      </c>
      <c r="B41" s="635">
        <v>4.4811652224999996</v>
      </c>
      <c r="C41" s="635">
        <v>3.3480214350000002</v>
      </c>
      <c r="D41" s="592">
        <f t="shared" si="0"/>
        <v>0.33845177203890842</v>
      </c>
      <c r="E41" s="159"/>
      <c r="F41" s="159"/>
      <c r="G41" s="159"/>
      <c r="H41" s="159"/>
      <c r="I41" s="159"/>
      <c r="J41" s="159"/>
      <c r="K41" s="517"/>
      <c r="L41" s="510" t="s">
        <v>102</v>
      </c>
      <c r="M41" s="510">
        <v>38.924994017499998</v>
      </c>
      <c r="N41" s="510">
        <v>42.949859150000002</v>
      </c>
    </row>
    <row r="42" spans="1:14" ht="10.5" customHeight="1">
      <c r="A42" s="596" t="s">
        <v>116</v>
      </c>
      <c r="B42" s="634">
        <v>4.0318943825</v>
      </c>
      <c r="C42" s="634">
        <v>3.8434443200000001</v>
      </c>
      <c r="D42" s="590">
        <f t="shared" si="0"/>
        <v>4.9031557844969598E-2</v>
      </c>
      <c r="E42" s="159"/>
      <c r="F42" s="159"/>
      <c r="G42" s="159"/>
      <c r="H42" s="159"/>
      <c r="I42" s="159"/>
      <c r="J42" s="159"/>
      <c r="K42" s="160"/>
      <c r="L42" s="513" t="s">
        <v>104</v>
      </c>
      <c r="M42" s="510">
        <v>39.327510820000001</v>
      </c>
      <c r="N42" s="510">
        <v>52.047798812499998</v>
      </c>
    </row>
    <row r="43" spans="1:14" ht="10.5" customHeight="1">
      <c r="A43" s="595" t="s">
        <v>117</v>
      </c>
      <c r="B43" s="635">
        <v>3.9743101224999999</v>
      </c>
      <c r="C43" s="635">
        <v>3.4976170600000001</v>
      </c>
      <c r="D43" s="592">
        <f t="shared" si="0"/>
        <v>0.13629081009228594</v>
      </c>
      <c r="E43" s="159"/>
      <c r="F43" s="159"/>
      <c r="G43" s="159"/>
      <c r="H43" s="159"/>
      <c r="I43" s="159"/>
      <c r="J43" s="159"/>
      <c r="L43" s="513" t="s">
        <v>269</v>
      </c>
      <c r="M43" s="510">
        <v>40.684881500000003</v>
      </c>
      <c r="N43" s="510">
        <v>47.158638144999998</v>
      </c>
    </row>
    <row r="44" spans="1:14" ht="10.5" customHeight="1">
      <c r="A44" s="596" t="s">
        <v>118</v>
      </c>
      <c r="B44" s="634">
        <v>3.4331638524999999</v>
      </c>
      <c r="C44" s="634">
        <v>3.9125136824999998</v>
      </c>
      <c r="D44" s="590">
        <f t="shared" si="0"/>
        <v>-0.12251709997694049</v>
      </c>
      <c r="E44" s="159"/>
      <c r="F44" s="159"/>
      <c r="G44" s="159"/>
      <c r="H44" s="159"/>
      <c r="I44" s="159"/>
      <c r="J44" s="159"/>
      <c r="L44" s="514" t="s">
        <v>100</v>
      </c>
      <c r="M44" s="510">
        <v>47.85234011</v>
      </c>
      <c r="N44" s="510">
        <v>38.237539975000004</v>
      </c>
    </row>
    <row r="45" spans="1:14" ht="10.5" customHeight="1">
      <c r="A45" s="595" t="s">
        <v>119</v>
      </c>
      <c r="B45" s="635">
        <v>2.7998043450000001</v>
      </c>
      <c r="C45" s="635">
        <v>3.2322862499999996</v>
      </c>
      <c r="D45" s="592">
        <f t="shared" si="0"/>
        <v>-0.13380062022662742</v>
      </c>
      <c r="E45" s="159"/>
      <c r="F45" s="159"/>
      <c r="G45" s="159"/>
      <c r="H45" s="159"/>
      <c r="I45" s="159"/>
      <c r="J45" s="159"/>
      <c r="L45" s="513" t="s">
        <v>268</v>
      </c>
      <c r="M45" s="510">
        <v>50.138634234999998</v>
      </c>
      <c r="N45" s="510">
        <v>64.234235374999997</v>
      </c>
    </row>
    <row r="46" spans="1:14" ht="10.5" customHeight="1">
      <c r="A46" s="596" t="s">
        <v>121</v>
      </c>
      <c r="B46" s="634">
        <v>2.2961</v>
      </c>
      <c r="C46" s="634">
        <v>2.2254999999999998</v>
      </c>
      <c r="D46" s="590">
        <f t="shared" si="0"/>
        <v>3.172320826780517E-2</v>
      </c>
      <c r="E46" s="159"/>
      <c r="F46" s="159"/>
      <c r="G46" s="159"/>
      <c r="H46" s="159"/>
      <c r="I46" s="159"/>
      <c r="J46" s="159"/>
      <c r="L46" s="513" t="s">
        <v>99</v>
      </c>
      <c r="M46" s="510">
        <v>50.394623122499993</v>
      </c>
      <c r="N46" s="510">
        <v>54.254294110000004</v>
      </c>
    </row>
    <row r="47" spans="1:14" ht="10.5" customHeight="1">
      <c r="A47" s="595" t="s">
        <v>109</v>
      </c>
      <c r="B47" s="635">
        <v>1.7073725375</v>
      </c>
      <c r="C47" s="635">
        <v>2.8754565049999998</v>
      </c>
      <c r="D47" s="592">
        <f t="shared" si="0"/>
        <v>-0.40622557338943299</v>
      </c>
      <c r="E47" s="159"/>
      <c r="F47" s="159"/>
      <c r="G47" s="159"/>
      <c r="H47" s="159"/>
      <c r="I47" s="159"/>
      <c r="J47" s="159"/>
      <c r="L47" s="513" t="s">
        <v>98</v>
      </c>
      <c r="M47" s="510">
        <v>52.429864202499999</v>
      </c>
      <c r="N47" s="510">
        <v>58.0858974</v>
      </c>
    </row>
    <row r="48" spans="1:14" ht="10.5" customHeight="1">
      <c r="A48" s="596" t="s">
        <v>126</v>
      </c>
      <c r="B48" s="634">
        <v>1.3720825024999999</v>
      </c>
      <c r="C48" s="634">
        <v>1.6794516149999998</v>
      </c>
      <c r="D48" s="590">
        <f t="shared" si="0"/>
        <v>-0.18301754558138905</v>
      </c>
      <c r="E48" s="159"/>
      <c r="F48" s="159"/>
      <c r="G48" s="159"/>
      <c r="H48" s="159"/>
      <c r="I48" s="159"/>
      <c r="J48" s="159"/>
      <c r="L48" s="510" t="s">
        <v>101</v>
      </c>
      <c r="M48" s="510">
        <v>64.839849642499999</v>
      </c>
      <c r="N48" s="510">
        <v>65.022231925</v>
      </c>
    </row>
    <row r="49" spans="1:14" ht="10.5" customHeight="1">
      <c r="A49" s="595" t="s">
        <v>120</v>
      </c>
      <c r="B49" s="635">
        <v>1.288954275</v>
      </c>
      <c r="C49" s="635">
        <v>1.1956567224999999</v>
      </c>
      <c r="D49" s="592">
        <f t="shared" si="0"/>
        <v>7.8030383423867811E-2</v>
      </c>
      <c r="E49" s="159"/>
      <c r="F49" s="159"/>
      <c r="G49" s="159"/>
      <c r="H49" s="159"/>
      <c r="I49" s="159"/>
      <c r="J49" s="159"/>
      <c r="L49" s="509" t="s">
        <v>273</v>
      </c>
      <c r="M49" s="510">
        <v>65.488063177499996</v>
      </c>
      <c r="N49" s="510">
        <v>100.00767748749999</v>
      </c>
    </row>
    <row r="50" spans="1:14" ht="10.5" customHeight="1">
      <c r="A50" s="596" t="s">
        <v>122</v>
      </c>
      <c r="B50" s="634">
        <v>1.0513025</v>
      </c>
      <c r="C50" s="634">
        <v>1.4360482499999998</v>
      </c>
      <c r="D50" s="590">
        <f t="shared" si="0"/>
        <v>-0.26791979308494673</v>
      </c>
      <c r="E50" s="159"/>
      <c r="F50" s="159"/>
      <c r="G50" s="159"/>
      <c r="H50" s="159"/>
      <c r="I50" s="159"/>
      <c r="J50" s="159"/>
      <c r="L50" s="513" t="s">
        <v>97</v>
      </c>
      <c r="M50" s="510">
        <v>69.465119695000013</v>
      </c>
      <c r="N50" s="510">
        <v>75.592430555000007</v>
      </c>
    </row>
    <row r="51" spans="1:14" ht="10.5" customHeight="1">
      <c r="A51" s="595" t="s">
        <v>276</v>
      </c>
      <c r="B51" s="635">
        <v>0.40214331249999996</v>
      </c>
      <c r="C51" s="635">
        <v>126.8524035825</v>
      </c>
      <c r="D51" s="592">
        <f t="shared" si="0"/>
        <v>-0.9968298329306905</v>
      </c>
      <c r="E51" s="159"/>
      <c r="F51" s="159"/>
      <c r="G51" s="159"/>
      <c r="H51" s="159"/>
      <c r="I51" s="159"/>
      <c r="J51" s="159"/>
      <c r="L51" s="513" t="s">
        <v>96</v>
      </c>
      <c r="M51" s="510">
        <v>70.811768407499997</v>
      </c>
      <c r="N51" s="510">
        <v>120.38524270750001</v>
      </c>
    </row>
    <row r="52" spans="1:14" ht="10.5" customHeight="1">
      <c r="A52" s="596" t="s">
        <v>123</v>
      </c>
      <c r="B52" s="634">
        <v>0.12731671249999998</v>
      </c>
      <c r="C52" s="634">
        <v>0.84292083249999994</v>
      </c>
      <c r="D52" s="590">
        <f t="shared" si="0"/>
        <v>-0.84895768666388971</v>
      </c>
      <c r="E52" s="159"/>
      <c r="F52" s="159"/>
      <c r="G52" s="159"/>
      <c r="H52" s="159"/>
      <c r="I52" s="159"/>
      <c r="J52" s="159"/>
      <c r="L52" s="513" t="s">
        <v>103</v>
      </c>
      <c r="M52" s="510">
        <v>89.929428784999999</v>
      </c>
      <c r="N52" s="510"/>
    </row>
    <row r="53" spans="1:14" ht="10.5" customHeight="1">
      <c r="A53" s="595" t="s">
        <v>124</v>
      </c>
      <c r="B53" s="635">
        <v>0.10566344750000001</v>
      </c>
      <c r="C53" s="635">
        <v>0.20728031750000001</v>
      </c>
      <c r="D53" s="592">
        <f t="shared" si="0"/>
        <v>-0.49023887663622479</v>
      </c>
      <c r="E53" s="159"/>
      <c r="F53" s="159"/>
      <c r="G53" s="159"/>
      <c r="H53" s="159"/>
      <c r="I53" s="159"/>
      <c r="J53" s="159"/>
      <c r="L53" s="513" t="s">
        <v>110</v>
      </c>
      <c r="M53" s="510">
        <v>93.527719640000001</v>
      </c>
      <c r="N53" s="510">
        <v>40.668778625000002</v>
      </c>
    </row>
    <row r="54" spans="1:14" ht="10.5" customHeight="1">
      <c r="A54" s="596" t="s">
        <v>275</v>
      </c>
      <c r="B54" s="634">
        <v>2.2426149999999999E-3</v>
      </c>
      <c r="C54" s="634">
        <v>3.0065915000000002E-2</v>
      </c>
      <c r="D54" s="590">
        <f t="shared" si="0"/>
        <v>-0.925410053211419</v>
      </c>
      <c r="E54" s="159"/>
      <c r="F54" s="159"/>
      <c r="G54" s="159"/>
      <c r="H54" s="159"/>
      <c r="I54" s="159"/>
      <c r="J54" s="159"/>
      <c r="L54" s="513" t="s">
        <v>95</v>
      </c>
      <c r="M54" s="510">
        <v>125.84359294000001</v>
      </c>
      <c r="N54" s="510">
        <v>137.80627296499998</v>
      </c>
    </row>
    <row r="55" spans="1:14" ht="10.5" customHeight="1">
      <c r="A55" s="595" t="s">
        <v>603</v>
      </c>
      <c r="B55" s="635">
        <v>1.302E-3</v>
      </c>
      <c r="C55" s="635"/>
      <c r="D55" s="592" t="str">
        <f t="shared" si="0"/>
        <v/>
      </c>
      <c r="E55" s="159"/>
      <c r="F55" s="159"/>
      <c r="G55" s="159"/>
      <c r="H55" s="159"/>
      <c r="I55" s="159"/>
      <c r="J55" s="159"/>
      <c r="L55" s="513" t="s">
        <v>105</v>
      </c>
      <c r="M55" s="510">
        <v>210.44338141999998</v>
      </c>
      <c r="N55" s="510">
        <v>67.517150242500009</v>
      </c>
    </row>
    <row r="56" spans="1:14" ht="10.5" customHeight="1">
      <c r="A56" s="596" t="s">
        <v>267</v>
      </c>
      <c r="B56" s="634">
        <v>2E-8</v>
      </c>
      <c r="C56" s="634">
        <v>0.44963797499999997</v>
      </c>
      <c r="D56" s="590">
        <f t="shared" si="0"/>
        <v>-0.99999995551977117</v>
      </c>
      <c r="E56" s="159"/>
      <c r="F56" s="159"/>
      <c r="G56" s="159"/>
      <c r="H56" s="159"/>
      <c r="I56" s="159"/>
      <c r="J56" s="159"/>
      <c r="L56" s="510" t="s">
        <v>271</v>
      </c>
      <c r="M56" s="510">
        <v>397.68801867999997</v>
      </c>
      <c r="N56" s="510">
        <v>367.54370767499995</v>
      </c>
    </row>
    <row r="57" spans="1:14" ht="10.5" customHeight="1">
      <c r="A57" s="595" t="s">
        <v>127</v>
      </c>
      <c r="B57" s="635">
        <v>0</v>
      </c>
      <c r="C57" s="635">
        <v>0</v>
      </c>
      <c r="D57" s="592" t="str">
        <f t="shared" si="0"/>
        <v/>
      </c>
      <c r="E57" s="159"/>
      <c r="F57" s="159"/>
      <c r="G57" s="159"/>
      <c r="H57" s="159"/>
      <c r="I57" s="159"/>
      <c r="J57" s="159"/>
      <c r="L57" s="513" t="s">
        <v>94</v>
      </c>
      <c r="M57" s="510">
        <v>533.19888551999998</v>
      </c>
      <c r="N57" s="510">
        <v>593.55368475000012</v>
      </c>
    </row>
    <row r="58" spans="1:14" ht="10.5" customHeight="1">
      <c r="A58" s="596" t="s">
        <v>125</v>
      </c>
      <c r="B58" s="634">
        <v>0</v>
      </c>
      <c r="C58" s="634">
        <v>10.9024739975</v>
      </c>
      <c r="D58" s="590">
        <f t="shared" si="0"/>
        <v>-1</v>
      </c>
      <c r="E58" s="159"/>
      <c r="F58" s="159"/>
      <c r="G58" s="159"/>
      <c r="H58" s="159"/>
      <c r="I58" s="159"/>
      <c r="J58" s="159"/>
      <c r="L58" s="513" t="s">
        <v>93</v>
      </c>
      <c r="M58" s="510">
        <v>556.10075069250001</v>
      </c>
      <c r="N58" s="510">
        <v>456.55576276250002</v>
      </c>
    </row>
    <row r="59" spans="1:14" ht="10.5" customHeight="1">
      <c r="A59" s="595" t="s">
        <v>129</v>
      </c>
      <c r="B59" s="635"/>
      <c r="C59" s="635">
        <v>179.76445146999998</v>
      </c>
      <c r="D59" s="592">
        <f t="shared" si="0"/>
        <v>-1</v>
      </c>
      <c r="E59" s="159"/>
      <c r="F59" s="159"/>
      <c r="G59" s="159"/>
      <c r="H59" s="159"/>
      <c r="I59" s="159"/>
      <c r="J59" s="159"/>
      <c r="L59" s="510" t="s">
        <v>555</v>
      </c>
      <c r="M59" s="510">
        <v>652.72241572500002</v>
      </c>
      <c r="N59" s="510">
        <v>407.39152436500001</v>
      </c>
    </row>
    <row r="60" spans="1:14" ht="10.5" customHeight="1">
      <c r="A60" s="596" t="s">
        <v>574</v>
      </c>
      <c r="B60" s="636"/>
      <c r="C60" s="636">
        <v>1.539862675</v>
      </c>
      <c r="D60" s="597">
        <f>IF(C60=0,"",B60/C60-1)</f>
        <v>-1</v>
      </c>
      <c r="E60" s="159"/>
      <c r="F60" s="159"/>
      <c r="G60" s="159"/>
      <c r="H60" s="159"/>
      <c r="I60" s="159"/>
      <c r="J60" s="159"/>
      <c r="L60" s="513" t="s">
        <v>92</v>
      </c>
      <c r="M60" s="510">
        <v>673.0898931349999</v>
      </c>
      <c r="N60" s="510">
        <v>719.20259550250012</v>
      </c>
    </row>
    <row r="61" spans="1:14" ht="10.5" customHeight="1">
      <c r="A61" s="598" t="s">
        <v>128</v>
      </c>
      <c r="B61" s="635"/>
      <c r="C61" s="635">
        <v>0</v>
      </c>
      <c r="D61" s="592"/>
      <c r="E61" s="159"/>
      <c r="F61" s="159"/>
      <c r="G61" s="159"/>
      <c r="H61" s="159"/>
      <c r="I61" s="159"/>
      <c r="J61" s="159"/>
      <c r="L61" s="513"/>
      <c r="M61" s="510"/>
      <c r="N61" s="510"/>
    </row>
    <row r="62" spans="1:14" ht="12" customHeight="1">
      <c r="A62" s="561" t="s">
        <v>44</v>
      </c>
      <c r="B62" s="632">
        <f>SUM(B6:B61)</f>
        <v>4143.3587523074984</v>
      </c>
      <c r="C62" s="632">
        <f>SUM(C6:C61)</f>
        <v>4013.1327587200003</v>
      </c>
      <c r="D62" s="562">
        <f>+B62/C62-1</f>
        <v>3.2449959026283004E-2</v>
      </c>
      <c r="E62" s="159"/>
      <c r="F62" s="159"/>
      <c r="G62" s="159"/>
      <c r="H62" s="159"/>
      <c r="I62" s="159"/>
      <c r="J62" s="159"/>
    </row>
    <row r="63" spans="1:14" ht="36" customHeight="1">
      <c r="A63" s="932" t="str">
        <f>"Cuadro N° 6: Participación de las empresas generadoras del COES en la producción de energía eléctrica (GWh) en "&amp;'1. Resumen'!Q4</f>
        <v>Cuadro N° 6: Participación de las empresas generadoras del COES en la producción de energía eléctrica (GWh) en setiembre</v>
      </c>
      <c r="B63" s="932"/>
      <c r="C63" s="932"/>
      <c r="D63" s="174"/>
      <c r="E63" s="931" t="str">
        <f>"Gráfico N° 10: Comparación de producción energética (GWh) de las empresas generadoras del COES en "&amp;'1. Resumen'!Q4</f>
        <v>Gráfico N° 10: Comparación de producción energética (GWh) de las empresas generadoras del COES en setiembre</v>
      </c>
      <c r="F63" s="931"/>
      <c r="G63" s="931"/>
      <c r="H63" s="931"/>
      <c r="I63" s="931"/>
      <c r="J63" s="931"/>
    </row>
    <row r="64" spans="1:14" ht="12.75" customHeight="1">
      <c r="A64" s="560"/>
      <c r="B64" s="560"/>
      <c r="C64" s="560"/>
      <c r="D64" s="174"/>
      <c r="E64" s="559"/>
      <c r="F64" s="559"/>
      <c r="G64" s="559"/>
      <c r="H64" s="559"/>
      <c r="I64" s="559"/>
      <c r="J64" s="559"/>
    </row>
    <row r="65" spans="1:10" ht="12.75" customHeight="1">
      <c r="A65" s="933" t="s">
        <v>554</v>
      </c>
      <c r="B65" s="933"/>
      <c r="C65" s="933"/>
      <c r="D65" s="933"/>
      <c r="E65" s="933"/>
      <c r="F65" s="933"/>
      <c r="G65" s="933"/>
      <c r="H65" s="933"/>
      <c r="I65" s="933"/>
      <c r="J65" s="933"/>
    </row>
    <row r="66" spans="1:10" ht="12.75" customHeight="1">
      <c r="A66" s="933" t="s">
        <v>577</v>
      </c>
      <c r="B66" s="933"/>
      <c r="C66" s="933"/>
      <c r="D66" s="933"/>
      <c r="E66" s="933"/>
      <c r="F66" s="933"/>
      <c r="G66" s="933"/>
      <c r="H66" s="933"/>
      <c r="I66" s="933"/>
      <c r="J66" s="933"/>
    </row>
    <row r="67" spans="1:10" ht="12.75" customHeight="1">
      <c r="A67" s="933" t="s">
        <v>570</v>
      </c>
      <c r="B67" s="933"/>
      <c r="C67" s="933"/>
      <c r="D67" s="933"/>
      <c r="E67" s="933"/>
      <c r="F67" s="933"/>
      <c r="G67" s="933"/>
      <c r="H67" s="933"/>
      <c r="I67" s="933"/>
      <c r="J67" s="933"/>
    </row>
    <row r="68" spans="1:10">
      <c r="A68" s="933" t="s">
        <v>571</v>
      </c>
      <c r="B68" s="933"/>
      <c r="C68" s="933"/>
      <c r="D68" s="933"/>
      <c r="E68" s="933"/>
      <c r="F68" s="933"/>
      <c r="G68" s="933"/>
      <c r="H68" s="933"/>
      <c r="I68" s="933"/>
      <c r="J68" s="933"/>
    </row>
    <row r="69" spans="1:10">
      <c r="A69" s="925"/>
      <c r="B69" s="925"/>
      <c r="C69" s="925"/>
      <c r="D69" s="925"/>
      <c r="E69" s="925"/>
      <c r="F69" s="925"/>
      <c r="G69" s="925"/>
      <c r="H69" s="925"/>
      <c r="I69" s="925"/>
      <c r="J69" s="925"/>
    </row>
    <row r="70" spans="1:10">
      <c r="A70" s="926"/>
      <c r="B70" s="926"/>
      <c r="C70" s="926"/>
      <c r="D70" s="926"/>
      <c r="E70" s="926"/>
      <c r="F70" s="926"/>
      <c r="G70" s="926"/>
      <c r="H70" s="926"/>
      <c r="I70" s="926"/>
      <c r="J70" s="926"/>
    </row>
    <row r="71" spans="1:10">
      <c r="A71" s="925"/>
      <c r="B71" s="925"/>
      <c r="C71" s="925"/>
      <c r="D71" s="925"/>
      <c r="E71" s="925"/>
      <c r="F71" s="925"/>
      <c r="G71" s="925"/>
      <c r="H71" s="925"/>
      <c r="I71" s="925"/>
      <c r="J71" s="925"/>
    </row>
    <row r="72" spans="1:10">
      <c r="A72" s="926"/>
      <c r="B72" s="926"/>
      <c r="C72" s="926"/>
      <c r="D72" s="926"/>
      <c r="E72" s="926"/>
      <c r="F72" s="926"/>
      <c r="G72" s="926"/>
      <c r="H72" s="926"/>
      <c r="I72" s="926"/>
      <c r="J72" s="926"/>
    </row>
  </sheetData>
  <autoFilter ref="L4:N61" xr:uid="{3128C184-458A-46DA-932F-AF8150F6A815}">
    <sortState ref="L5:N61">
      <sortCondition ref="M4:M61"/>
    </sortState>
  </autoFilter>
  <mergeCells count="14">
    <mergeCell ref="A69:J69"/>
    <mergeCell ref="A70:J70"/>
    <mergeCell ref="A71:J71"/>
    <mergeCell ref="A72:J72"/>
    <mergeCell ref="A2:I2"/>
    <mergeCell ref="A4:A5"/>
    <mergeCell ref="B4:D4"/>
    <mergeCell ref="G4:I4"/>
    <mergeCell ref="E63:J63"/>
    <mergeCell ref="A63:C63"/>
    <mergeCell ref="A67:J67"/>
    <mergeCell ref="A68:J68"/>
    <mergeCell ref="A65:J65"/>
    <mergeCell ref="A66:J66"/>
  </mergeCells>
  <pageMargins left="0.7" right="0.59782608695652173" top="0.86956521739130432" bottom="0.61458333333333337" header="0.3" footer="0.3"/>
  <pageSetup orientation="portrait" r:id="rId1"/>
  <headerFooter>
    <oddHeader>&amp;R&amp;7Informe de la Operación Mensual - Setiembre 2018
INFSGI-MES-09-2018
11/10/2018
Versión: 01</oddHeader>
    <oddFooter>&amp;L&amp;7COES, 2018&amp;C7&amp;R&amp;7Dirección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14</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2018-10-11T21:19:32Z</cp:lastPrinted>
  <dcterms:created xsi:type="dcterms:W3CDTF">2018-02-13T14:18:17Z</dcterms:created>
  <dcterms:modified xsi:type="dcterms:W3CDTF">2018-11-15T15:03:15Z</dcterms:modified>
</cp:coreProperties>
</file>