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style7.xml" ContentType="application/vnd.ms-office.chartstyle+xml"/>
  <Override PartName="/xl/charts/colors7.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19\"/>
    </mc:Choice>
  </mc:AlternateContent>
  <xr:revisionPtr revIDLastSave="0" documentId="13_ncr:1_{45C042EE-A9A0-4011-BE4F-499A289C55E4}" xr6:coauthVersionLast="45" xr6:coauthVersionMax="45" xr10:uidLastSave="{00000000-0000-0000-0000-000000000000}"/>
  <bookViews>
    <workbookView xWindow="7455" yWindow="0" windowWidth="19020" windowHeight="12510" tabRatio="896"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7. Generacion empresa" sheetId="11" r:id="rId8"/>
    <sheet name="6. FP RER" sheetId="10"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Contraportada" sheetId="59" r:id="rId29"/>
  </sheets>
  <definedNames>
    <definedName name="_xlnm._FilterDatabase" localSheetId="8" hidden="1">'6. FP RER'!$T$52:$V$54</definedName>
    <definedName name="_xlnm._FilterDatabase" localSheetId="7" hidden="1">'7. Generacion empresa'!$L$4:$N$61</definedName>
    <definedName name="_xlnm._FilterDatabase" localSheetId="10" hidden="1">'9. Pot. Empresa'!$L$6:$N$61</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ANEXOI-3'!$A$1:$G$54</definedName>
    <definedName name="_xlnm.Print_Area" localSheetId="22">'21. ANEXOII-1'!$A$1:$F$81</definedName>
    <definedName name="_xlnm.Print_Area" localSheetId="24">'23. ANEXOII-3'!$A$1:$F$60</definedName>
    <definedName name="_xlnm.Print_Area" localSheetId="26">'25.ANEXO III -1'!$A$1:$F$18</definedName>
    <definedName name="_xlnm.Print_Area" localSheetId="27">'26.ANEXO III -2'!$A$1:$F$15</definedName>
    <definedName name="_xlnm.Print_Area" localSheetId="6">'5. RER'!$A$1:$K$61</definedName>
    <definedName name="_xlnm.Print_Area" localSheetId="8">'6. FP RER'!$A$1:$K$64</definedName>
    <definedName name="_xlnm.Print_Area" localSheetId="7">'7. Generacion empresa'!$A$1:$J$68</definedName>
    <definedName name="_xlnm.Print_Area" localSheetId="9">'8. Max Potencia'!$A$1:$K$62</definedName>
    <definedName name="_xlnm.Print_Area" localSheetId="10">'9. Pot. Empresa'!$A$1:$J$69</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5" i="46" l="1"/>
  <c r="D45" i="46"/>
  <c r="F81" i="36"/>
  <c r="F80" i="3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D38" i="6" l="1"/>
  <c r="M21" i="6"/>
  <c r="H17" i="6"/>
  <c r="I17" i="6" l="1"/>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G15" i="21" l="1"/>
  <c r="H13" i="21"/>
  <c r="G13" i="21"/>
  <c r="G12" i="21"/>
  <c r="H9" i="21"/>
  <c r="H8" i="21"/>
  <c r="H7" i="21"/>
  <c r="D63" i="11" l="1"/>
  <c r="C64" i="11"/>
  <c r="B64" i="11"/>
  <c r="J16" i="7" l="1"/>
  <c r="H16" i="7"/>
  <c r="G16" i="7"/>
  <c r="E16" i="7"/>
  <c r="D16" i="7"/>
  <c r="C16" i="7"/>
  <c r="B16" i="7"/>
  <c r="C65" i="13" l="1"/>
  <c r="B65" i="13"/>
  <c r="E3" i="36"/>
  <c r="M22" i="6" l="1"/>
  <c r="G11" i="21"/>
  <c r="D39" i="6" l="1"/>
  <c r="I12" i="22" l="1"/>
  <c r="I11" i="22"/>
  <c r="I10" i="22"/>
  <c r="I9" i="22"/>
  <c r="I8" i="22"/>
  <c r="F16" i="21"/>
  <c r="E16" i="21"/>
  <c r="H16" i="21" s="1"/>
  <c r="D16" i="21"/>
  <c r="G16" i="21" s="1"/>
  <c r="E5" i="36" l="1"/>
  <c r="F43" i="46" l="1"/>
  <c r="F42" i="46"/>
  <c r="F41" i="46"/>
  <c r="F40" i="46"/>
  <c r="F39" i="46"/>
  <c r="F38" i="46"/>
  <c r="F37" i="46"/>
  <c r="F36" i="46"/>
  <c r="F35" i="46"/>
  <c r="F34" i="46"/>
  <c r="F33" i="46"/>
  <c r="F32" i="46"/>
  <c r="F31" i="46"/>
  <c r="F30" i="46"/>
  <c r="F24" i="46"/>
  <c r="F23" i="46"/>
  <c r="F22" i="46"/>
  <c r="F21" i="46"/>
  <c r="F20" i="46"/>
  <c r="F19" i="46"/>
  <c r="F18" i="46"/>
  <c r="F17" i="46"/>
  <c r="F16" i="46"/>
  <c r="F15" i="46"/>
  <c r="F14" i="46"/>
  <c r="F13" i="46"/>
  <c r="F12" i="46"/>
  <c r="F11" i="46"/>
  <c r="F10" i="46"/>
  <c r="F9" i="46"/>
  <c r="F8" i="46"/>
  <c r="F7" i="46"/>
  <c r="F6" i="46"/>
  <c r="F5" i="46"/>
  <c r="F72" i="45"/>
  <c r="F71" i="45"/>
  <c r="F70" i="45"/>
  <c r="F69" i="45"/>
  <c r="F68" i="45"/>
  <c r="F67" i="45"/>
  <c r="F66" i="45"/>
  <c r="F65" i="45"/>
  <c r="F64" i="45"/>
  <c r="F63" i="45"/>
  <c r="F62" i="45"/>
  <c r="F61" i="45"/>
  <c r="F60" i="45"/>
  <c r="F59" i="45"/>
  <c r="F58" i="45"/>
  <c r="F57" i="45"/>
  <c r="F56" i="45"/>
  <c r="F55" i="45"/>
  <c r="F54" i="45"/>
  <c r="F53" i="45"/>
  <c r="F52" i="45"/>
  <c r="D63" i="13" l="1"/>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B11" i="9" l="1"/>
  <c r="C11" i="9"/>
  <c r="D11" i="9"/>
  <c r="E11" i="9"/>
  <c r="D7" i="13" l="1"/>
  <c r="K12" i="12" l="1"/>
  <c r="K11" i="12"/>
  <c r="G40" i="38" l="1"/>
  <c r="E47" i="46" l="1"/>
  <c r="D47" i="46" l="1"/>
  <c r="C47" i="46"/>
  <c r="F47" i="46" l="1"/>
  <c r="B13" i="22" l="1"/>
  <c r="I7" i="22" l="1"/>
  <c r="J13" i="22"/>
  <c r="I13" i="22" l="1"/>
  <c r="E4" i="45" l="1"/>
  <c r="E4" i="46" s="1"/>
  <c r="C13" i="22" l="1"/>
  <c r="D13" i="22"/>
  <c r="E13" i="22"/>
  <c r="F13" i="22"/>
  <c r="G13" i="22"/>
  <c r="H13" i="22"/>
  <c r="B14" i="12" l="1"/>
  <c r="F14" i="8"/>
  <c r="F40" i="38"/>
  <c r="A64" i="10" l="1"/>
  <c r="A43" i="10"/>
  <c r="N14" i="18" l="1"/>
  <c r="J11" i="9" l="1"/>
  <c r="H11" i="9"/>
  <c r="G11" i="9"/>
  <c r="D6" i="16" l="1"/>
  <c r="C28" i="14" l="1"/>
  <c r="A38" i="22" l="1"/>
  <c r="F6" i="36" l="1"/>
  <c r="A65" i="11" l="1"/>
  <c r="F22" i="8" l="1"/>
  <c r="B19" i="8"/>
  <c r="C19" i="8"/>
  <c r="D19" i="8"/>
  <c r="E19" i="8"/>
  <c r="J12" i="7"/>
  <c r="H12" i="7"/>
  <c r="G12" i="7"/>
  <c r="E12" i="7"/>
  <c r="D12" i="7"/>
  <c r="C12" i="7"/>
  <c r="B12" i="7"/>
  <c r="F19" i="8" l="1"/>
  <c r="I18" i="12"/>
  <c r="F18" i="12"/>
  <c r="J14" i="12"/>
  <c r="H14" i="12"/>
  <c r="G14" i="12"/>
  <c r="E14" i="12"/>
  <c r="D14" i="12"/>
  <c r="C14" i="12"/>
  <c r="F14" i="12" l="1"/>
  <c r="I14" i="12"/>
  <c r="K14" i="12"/>
  <c r="F14" i="7" l="1"/>
  <c r="I14" i="7"/>
  <c r="K14" i="7"/>
  <c r="F15" i="7"/>
  <c r="I15" i="7"/>
  <c r="K15" i="7"/>
  <c r="C3" i="4"/>
  <c r="F44" i="46" l="1"/>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6" i="11" l="1"/>
  <c r="D12" i="9" l="1"/>
  <c r="B47" i="4" l="1"/>
  <c r="A9" i="4"/>
  <c r="A54" i="21" l="1"/>
  <c r="A61" i="9" l="1"/>
  <c r="A34" i="9"/>
  <c r="A63" i="8"/>
  <c r="B49" i="4" l="1"/>
  <c r="F2" i="38" l="1"/>
  <c r="F9" i="8" l="1"/>
  <c r="D65" i="13" l="1"/>
  <c r="N29" i="18"/>
  <c r="N28" i="18"/>
  <c r="N27" i="18"/>
  <c r="N26" i="18"/>
  <c r="N25" i="18"/>
  <c r="N24" i="18"/>
  <c r="N23" i="18"/>
  <c r="N20" i="18"/>
  <c r="N19" i="18"/>
  <c r="N18" i="18"/>
  <c r="N17" i="18"/>
  <c r="N16" i="18"/>
  <c r="N15" i="18"/>
  <c r="N12" i="18"/>
  <c r="N11" i="18"/>
  <c r="N10" i="18"/>
  <c r="N9" i="18"/>
  <c r="H47" i="4" l="1"/>
  <c r="B32" i="6" l="1"/>
  <c r="A54" i="22" l="1"/>
  <c r="B58" i="18"/>
  <c r="B40" i="18"/>
  <c r="B21" i="18"/>
  <c r="A58" i="12"/>
  <c r="F66" i="13"/>
  <c r="B18" i="12" l="1"/>
  <c r="B20" i="12" s="1"/>
  <c r="C18" i="12"/>
  <c r="D18" i="12"/>
  <c r="D20" i="12" s="1"/>
  <c r="E18" i="12"/>
  <c r="E20" i="12" s="1"/>
  <c r="G18" i="12"/>
  <c r="G20" i="12" s="1"/>
  <c r="H18" i="12"/>
  <c r="H20" i="12" s="1"/>
  <c r="J18" i="12"/>
  <c r="J20" i="12" s="1"/>
  <c r="F39" i="6" l="1"/>
  <c r="F41" i="6"/>
  <c r="F11" i="14" l="1"/>
  <c r="F40" i="6" l="1"/>
  <c r="F38" i="6"/>
  <c r="A58" i="7" l="1"/>
  <c r="E37" i="6"/>
  <c r="E65" i="11" l="1"/>
  <c r="C45" i="10"/>
  <c r="D3" i="36" l="1"/>
  <c r="C3" i="36"/>
  <c r="F2" i="37"/>
  <c r="F3" i="23"/>
  <c r="C2" i="23"/>
  <c r="C1" i="37" s="1"/>
  <c r="C1" i="38" s="1"/>
  <c r="E17" i="22"/>
  <c r="A17" i="22"/>
  <c r="A14" i="22"/>
  <c r="A17" i="21"/>
  <c r="F6" i="21"/>
  <c r="E6" i="21"/>
  <c r="D6" i="21"/>
  <c r="B47" i="18"/>
  <c r="B28" i="18"/>
  <c r="B10" i="18"/>
  <c r="C31" i="16"/>
  <c r="E6" i="16"/>
  <c r="A66" i="13"/>
  <c r="B3" i="13"/>
  <c r="B5" i="11"/>
  <c r="C5" i="11" s="1"/>
  <c r="B4" i="11"/>
  <c r="G6" i="7"/>
  <c r="G4" i="8" s="1"/>
  <c r="G4" i="9" s="1"/>
  <c r="D7" i="7"/>
  <c r="E7" i="7" s="1"/>
  <c r="A57" i="6"/>
  <c r="B43" i="6"/>
  <c r="D5" i="8" l="1"/>
  <c r="D7" i="12" s="1"/>
  <c r="C7" i="7"/>
  <c r="B7" i="7" s="1"/>
  <c r="B5" i="8" s="1"/>
  <c r="B7" i="12"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37" i="6"/>
  <c r="D42" i="6"/>
  <c r="C5" i="9" l="1"/>
  <c r="C7" i="12"/>
  <c r="F39" i="9"/>
  <c r="F42"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E12" i="9"/>
  <c r="C12" i="9"/>
  <c r="K7" i="9"/>
  <c r="I6" i="9"/>
  <c r="G19" i="8"/>
  <c r="F7" i="8"/>
  <c r="H19" i="8"/>
  <c r="J19" i="8"/>
  <c r="I12" i="7"/>
  <c r="E5" i="8"/>
  <c r="E5" i="9" l="1"/>
  <c r="E7" i="12"/>
  <c r="I19" i="8"/>
  <c r="I20" i="12"/>
  <c r="K20" i="12"/>
  <c r="F40" i="9"/>
  <c r="M39" i="9" s="1"/>
  <c r="F20" i="12"/>
  <c r="K19" i="8"/>
  <c r="J12" i="9"/>
  <c r="G12" i="9"/>
  <c r="K12" i="7"/>
  <c r="I11" i="9"/>
  <c r="H12" i="9"/>
  <c r="F11" i="9"/>
  <c r="K11" i="9"/>
  <c r="D64" i="11"/>
</calcChain>
</file>

<file path=xl/sharedStrings.xml><?xml version="1.0" encoding="utf-8"?>
<sst xmlns="http://schemas.openxmlformats.org/spreadsheetml/2006/main" count="1630" uniqueCount="766">
  <si>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</si>
  <si>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</si>
  <si>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</si>
  <si>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</si>
  <si>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</si>
  <si>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</si>
  <si>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</si>
  <si>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</si>
  <si>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</si>
  <si>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</si>
  <si>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</si>
  <si>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</si>
  <si>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</si>
  <si>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</si>
  <si>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</si>
  <si>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</si>
  <si>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</si>
  <si>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</si>
  <si>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</si>
  <si>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</si>
  <si>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</si>
  <si>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</si>
  <si>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</si>
  <si>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</si>
  <si>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</si>
  <si>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</si>
  <si>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</si>
  <si>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</si>
  <si>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</si>
  <si>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</si>
  <si>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</si>
  <si>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</si>
  <si>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</si>
  <si>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</si>
  <si>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</si>
  <si>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</si>
  <si>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</si>
  <si>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</si>
  <si>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</si>
  <si>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</si>
  <si>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</si>
  <si>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</si>
  <si>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</si>
  <si>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</si>
  <si>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</si>
  <si>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</si>
  <si>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</si>
  <si>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</si>
  <si>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</si>
  <si>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</si>
  <si>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</si>
  <si>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</si>
  <si>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</si>
  <si>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</si>
  <si>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</si>
  <si>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</si>
  <si>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</si>
  <si>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</si>
  <si>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</si>
  <si>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</si>
  <si>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</si>
  <si>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</si>
  <si>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</si>
  <si>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</si>
  <si>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</si>
  <si>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</si>
  <si>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</si>
  <si>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</si>
  <si>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</si>
  <si>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</si>
  <si>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</si>
  <si>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</si>
  <si>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</si>
  <si>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</si>
  <si>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</si>
  <si>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</si>
  <si>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</si>
  <si>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</si>
  <si>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</si>
  <si>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</si>
  <si>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</si>
  <si>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</si>
  <si>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</si>
  <si>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</si>
  <si>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</si>
  <si>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</si>
  <si>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</si>
  <si>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</si>
  <si>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</si>
  <si>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</si>
  <si>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</si>
  <si>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</si>
  <si>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</si>
  <si>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</si>
  <si>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</si>
  <si>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</si>
  <si>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</si>
  <si>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</si>
  <si>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</si>
  <si>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</si>
  <si>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</si>
  <si>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</si>
  <si>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</si>
  <si>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</si>
  <si>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</si>
  <si>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</si>
  <si>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</si>
  <si>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</si>
  <si>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</si>
  <si>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</si>
  <si>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</si>
  <si>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</si>
  <si>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</si>
  <si>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</si>
  <si>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</si>
  <si>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</si>
  <si>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</si>
  <si>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</si>
  <si>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</si>
  <si>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</si>
  <si>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</si>
  <si>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</si>
  <si>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</si>
  <si>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</si>
  <si>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</si>
  <si>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</si>
  <si>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</si>
  <si>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</si>
  <si>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</si>
  <si>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</si>
  <si>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</si>
  <si>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</si>
  <si>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</si>
  <si>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</si>
  <si>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</si>
  <si>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</si>
  <si>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</si>
  <si>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</si>
  <si>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</si>
  <si>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</si>
  <si>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</si>
  <si>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</si>
  <si>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</si>
  <si>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</si>
  <si>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</si>
  <si>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</si>
  <si>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</si>
  <si>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</si>
  <si>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</si>
  <si>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</si>
  <si>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</si>
  <si>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</si>
  <si>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</si>
  <si>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</si>
  <si>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</si>
  <si>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</si>
  <si>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</si>
  <si>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</si>
  <si>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</si>
  <si>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</si>
  <si>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</si>
  <si>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</si>
  <si>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</si>
  <si>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</si>
  <si>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</si>
  <si>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</si>
  <si>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</si>
  <si>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</si>
  <si>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</si>
  <si>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</si>
  <si>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</si>
  <si>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</si>
  <si>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</si>
  <si>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</si>
  <si>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</si>
  <si>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</si>
  <si>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</si>
  <si>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</si>
  <si>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</si>
  <si>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</si>
  <si>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</si>
  <si>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</si>
  <si>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</si>
  <si>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</si>
  <si>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</si>
  <si>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</si>
  <si>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</si>
  <si>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</si>
  <si>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</si>
  <si>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</si>
  <si>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</si>
  <si>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</si>
  <si>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</si>
  <si>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</si>
  <si>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</si>
  <si>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</si>
  <si>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</si>
  <si>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</si>
  <si>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</si>
  <si>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</si>
  <si>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</si>
  <si>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</si>
  <si>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</si>
  <si>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</si>
  <si>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</si>
  <si>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</si>
  <si>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</si>
  <si>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</si>
  <si>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</si>
  <si>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</si>
  <si>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</si>
  <si>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</si>
  <si>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</si>
  <si>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</si>
  <si>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</si>
  <si>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</si>
  <si>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</si>
  <si>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</si>
  <si>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</si>
  <si>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</si>
  <si>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</si>
  <si>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</si>
  <si>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HIDROELÉCTRICA</t>
  </si>
  <si>
    <t>TERMOELÉCTRICA</t>
  </si>
  <si>
    <t>EÓLICA</t>
  </si>
  <si>
    <t>Tensión  
(kV)</t>
  </si>
  <si>
    <t>Operación Comercial</t>
  </si>
  <si>
    <t>Central Solar</t>
  </si>
  <si>
    <t>POTENCIA INSTALADA (MW)</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</si>
  <si>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</si>
  <si>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</si>
  <si>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</si>
  <si>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</si>
  <si>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</si>
  <si>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</si>
  <si>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</si>
  <si>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</si>
  <si>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</si>
  <si>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</si>
  <si>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</si>
  <si>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</si>
  <si>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</si>
  <si>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</si>
  <si>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</si>
  <si>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</si>
  <si>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</si>
  <si>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</si>
  <si>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</si>
  <si>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</si>
  <si>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</si>
  <si>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</si>
  <si>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</si>
  <si>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</si>
  <si>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</si>
  <si>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</si>
  <si>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</si>
  <si>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</si>
  <si>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</si>
  <si>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</si>
  <si>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</si>
  <si>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</si>
  <si>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</si>
  <si>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</si>
  <si>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</si>
  <si>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</si>
  <si>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</si>
  <si>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</si>
  <si>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</si>
  <si>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</si>
  <si>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</si>
  <si>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</si>
  <si>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</si>
  <si>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</si>
  <si>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</si>
  <si>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</si>
  <si>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</si>
  <si>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</si>
  <si>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</si>
  <si>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</si>
  <si>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</si>
  <si>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</si>
  <si>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</si>
  <si>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</si>
  <si>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</si>
  <si>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</si>
  <si>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</si>
  <si>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</si>
  <si>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</si>
  <si>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</si>
  <si>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</si>
  <si>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</si>
  <si>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</si>
  <si>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</si>
  <si>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</si>
  <si>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</si>
  <si>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</si>
  <si>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</si>
  <si>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</si>
  <si>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</si>
  <si>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</si>
  <si>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</si>
  <si>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</si>
  <si>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</si>
  <si>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</si>
  <si>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</si>
  <si>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</si>
  <si>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</si>
  <si>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</si>
  <si>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</si>
  <si>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</si>
  <si>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</si>
  <si>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</si>
  <si>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</si>
  <si>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</si>
  <si>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</si>
  <si>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</si>
  <si>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</si>
  <si>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</si>
  <si>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</si>
  <si>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YANAPAMPA Total</t>
  </si>
  <si>
    <t>C.H. MANTARO</t>
  </si>
  <si>
    <t>C.H. RESTITUCION</t>
  </si>
  <si>
    <t>C.T. TUMBES</t>
  </si>
  <si>
    <t>ELECTROPERU Total</t>
  </si>
  <si>
    <t>C.H. CHAGLLA</t>
  </si>
  <si>
    <t>P.C.H CHAGLLA</t>
  </si>
  <si>
    <t>EMGE HUALLAGA Total</t>
  </si>
  <si>
    <t>C.H. HUANZA</t>
  </si>
  <si>
    <t>EMGE HUANZA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</si>
  <si>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</si>
  <si>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</si>
  <si>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</si>
  <si>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</si>
  <si>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</si>
  <si>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</si>
  <si>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</si>
  <si>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</si>
  <si>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</si>
  <si>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</si>
  <si>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</si>
  <si>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</si>
  <si>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</si>
  <si>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</si>
  <si>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</si>
  <si>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</si>
  <si>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</si>
  <si>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</si>
  <si>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</si>
  <si>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</si>
  <si>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</si>
  <si>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</si>
  <si>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</si>
  <si>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</si>
  <si>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</si>
  <si>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</si>
  <si>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</si>
  <si>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</si>
  <si>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</si>
  <si>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</si>
  <si>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</si>
  <si>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</si>
  <si>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</si>
  <si>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</si>
  <si>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</si>
  <si>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</si>
  <si>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</si>
  <si>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</si>
  <si>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</si>
  <si>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</si>
  <si>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</si>
  <si>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</si>
  <si>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</si>
  <si>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</si>
  <si>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</si>
  <si>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</si>
  <si>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</si>
  <si>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</si>
  <si>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</si>
  <si>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</si>
  <si>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</si>
  <si>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</si>
  <si>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</si>
  <si>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</si>
  <si>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</si>
  <si>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</si>
  <si>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</si>
  <si>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</si>
  <si>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</si>
  <si>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</si>
  <si>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</si>
  <si>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</si>
  <si>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</si>
  <si>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</si>
  <si>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</si>
  <si>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</si>
  <si>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</si>
  <si>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</si>
  <si>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</si>
  <si>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</si>
  <si>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</si>
  <si>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</si>
  <si>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</si>
  <si>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</si>
  <si>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</si>
  <si>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</si>
  <si>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</si>
  <si>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</si>
  <si>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</si>
  <si>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</si>
  <si>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</si>
  <si>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</si>
  <si>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</si>
  <si>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</si>
  <si>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</si>
  <si>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</si>
  <si>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</si>
  <si>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</si>
  <si>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</si>
  <si>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</si>
  <si>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</si>
  <si>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</si>
  <si>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</si>
  <si>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</si>
  <si>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</si>
  <si>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</si>
  <si>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</si>
  <si>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</si>
  <si>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HIDRANDINA</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</si>
  <si>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</si>
  <si>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</si>
  <si>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</si>
  <si>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</si>
  <si>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</si>
  <si>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</si>
  <si>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</si>
  <si>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</si>
  <si>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</si>
  <si>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</si>
  <si>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</si>
  <si>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</si>
  <si>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</si>
  <si>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</si>
  <si>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</si>
  <si>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</si>
  <si>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</si>
  <si>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</si>
  <si>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</si>
  <si>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</si>
  <si>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</si>
  <si>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</si>
  <si>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</si>
  <si>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</si>
  <si>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</si>
  <si>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</si>
  <si>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</si>
  <si>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</si>
  <si>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</si>
  <si>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</si>
  <si>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</si>
  <si>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</si>
  <si>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1. RESUMEN</t>
  </si>
  <si>
    <t>Var. (2018/2017)</t>
  </si>
  <si>
    <t>SANTA ANA</t>
  </si>
  <si>
    <t>BIOCOMBUSTIBLE</t>
  </si>
  <si>
    <t>SANTA ANA Total</t>
  </si>
  <si>
    <t>TOTAL MÁXIMA POTENCIA COINCIDENTE</t>
  </si>
  <si>
    <t>Cuadro N°7 : Máxima potencia coincidente (MW) por tipo de generación en el SEIN.</t>
  </si>
  <si>
    <t>11:45</t>
  </si>
  <si>
    <t>11:30</t>
  </si>
  <si>
    <t>C.H. RENOVANDES H1</t>
  </si>
  <si>
    <t>G1</t>
  </si>
  <si>
    <t>Central Hidroeléctrica</t>
  </si>
  <si>
    <t>Gráfico N°24: Porcentaje de participación por tipo de causa en el número de fallas.</t>
  </si>
  <si>
    <t>Gráfico N°25: Comparación en el número de fallas por tipo de equipo.</t>
  </si>
  <si>
    <t xml:space="preserve">Potencia Efectiva  (MW) </t>
  </si>
  <si>
    <t>Central Eólica</t>
  </si>
  <si>
    <t>Máxima Demanda:</t>
  </si>
  <si>
    <t>KALLPA</t>
  </si>
  <si>
    <t>PETRAMAS</t>
  </si>
  <si>
    <t>12:00</t>
  </si>
  <si>
    <t>HYDRO PATAPO</t>
  </si>
  <si>
    <t>C.H. ÁNGEL II</t>
  </si>
  <si>
    <t>C.H. ÁNGEL III</t>
  </si>
  <si>
    <t>C.H. ÁNGEL I</t>
  </si>
  <si>
    <t>C.H. HER 1</t>
  </si>
  <si>
    <t>HYDRO PATAPO Total</t>
  </si>
  <si>
    <t>Lagunas Rajucolta (ORAZUL)</t>
  </si>
  <si>
    <t>Central a Biogás</t>
  </si>
  <si>
    <t>ANDEAN POWER</t>
  </si>
  <si>
    <t>ANDEAN POWER Total</t>
  </si>
  <si>
    <t>8. EVENTOS Y FALLAS QUE OCASIONARON INTERRUPCIÓN Y DISMINUCIÓN DE SUMINISTRO ELÉCTRICO</t>
  </si>
  <si>
    <t>Turbina Francis</t>
  </si>
  <si>
    <t>C.H. CARHUAC</t>
  </si>
  <si>
    <t>ELECTRO ZAÑA</t>
  </si>
  <si>
    <t>ELECTRO ZAÑA Total</t>
  </si>
  <si>
    <t>HIDROMARAÑON/ CELEPSA RENOVABLES Total</t>
  </si>
  <si>
    <t>C.H. Zaña</t>
  </si>
  <si>
    <t>TOTAL MWh</t>
  </si>
  <si>
    <t>Var (%)
2019/2018</t>
  </si>
  <si>
    <t>C.H. ZAÑA</t>
  </si>
  <si>
    <t>HIDROMARAÑON/ CELEPSA RENOVABLES</t>
  </si>
  <si>
    <t>Variación 2019/2018 (GWh)</t>
  </si>
  <si>
    <t>Variación 2019/2018 (MW)</t>
  </si>
  <si>
    <t>00:15</t>
  </si>
  <si>
    <t>2. MODIFICACION DE LA OFERTA DE GENERACIÓN ELÉCTRICA DEL SEIN EN EL 2019</t>
  </si>
  <si>
    <t>Gráfico N°13: Evolución semanal del volumen de las lagunas de ENEL durante los años 2016 - 2019</t>
  </si>
  <si>
    <t>Gráfico N°14: Evolución semanal del volumen del lago JUNÍN durante los años 2016 - 2019</t>
  </si>
  <si>
    <t>Gráfico N°15: Evolución semanal del volumen de los embalses de EGASA durante los años 2016 - 2019.</t>
  </si>
  <si>
    <t>Gráfico N°16: Evolución del promedio semanal de caudales de los ríos SANTA, CHANCAY y PATIVILCA en los años 2016 - 2019.</t>
  </si>
  <si>
    <t>Gráfico N°17: Evolución del promedio semanal de caudales de los ríos RÍMAC y SANTA EULALIA en los años 2016 - 2019.</t>
  </si>
  <si>
    <t>Gráfico N°18: Evolución del promedio semanal de caudales de los ríos MANTARO, TULUMAYO y TARMA  en los años 2016 - 2019.</t>
  </si>
  <si>
    <t>Gráfico N°19: Evolución del promedio semanal de caudales de las cuencas CHILI, ARICOTA, VILCANOTA Y SAN GABÁN en los años 2016 - 2019.</t>
  </si>
  <si>
    <t>19:00</t>
  </si>
  <si>
    <t>TRANSFORMADOR 3D</t>
  </si>
  <si>
    <t>C.E. WAYRA I</t>
  </si>
  <si>
    <t>C.S. RUBI</t>
  </si>
  <si>
    <t>C.S. INTIPAMPA</t>
  </si>
  <si>
    <t>C.T. DOÑA CATALINA</t>
  </si>
  <si>
    <t>INLAND</t>
  </si>
  <si>
    <t>SAN JACINTO</t>
  </si>
  <si>
    <t>C.H. CERRO DEL AGUILA</t>
  </si>
  <si>
    <t>C.T. OLLEROS</t>
  </si>
  <si>
    <t>C.H. SANTA TERESA</t>
  </si>
  <si>
    <t>INLAND Total</t>
  </si>
  <si>
    <t>SAN JACINTO Total</t>
  </si>
  <si>
    <t>Var. (2019/2018)</t>
  </si>
  <si>
    <t>2019 / 2018</t>
  </si>
  <si>
    <t>15.02.2019</t>
  </si>
  <si>
    <t>HYDROPATAPO</t>
  </si>
  <si>
    <t>15.03.2019</t>
  </si>
  <si>
    <t>Turbina Kaplan</t>
  </si>
  <si>
    <t>C.H. Patapo</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</si>
  <si>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y C.T. San Jacinto.</t>
  </si>
  <si>
    <t>SOLARES</t>
  </si>
  <si>
    <t>TERMOELÉCTRICAS</t>
  </si>
  <si>
    <t>(*) Se denomina RER a los Recursos Energéticos Renovables tales como biomasa, eólica, solar, geotérmica, mareomotriz e hidráulicas cuya capacidad instalada no sobrepasa de los 20 MW, según D.L. N° 1002, Se consideran RER a las centrales adjudicadas,  además de las centrales de bagazo no adjudicadas C.T. Maple y C.T. San Jacinto.</t>
  </si>
  <si>
    <t>4.2. Participación por Empresas Integrantes en la máxima potencia coincidente</t>
  </si>
  <si>
    <t>ENEL GENERACIÓN PERÚ</t>
  </si>
  <si>
    <t>30.03.2019</t>
  </si>
  <si>
    <t>C.H. Callahuanca</t>
  </si>
  <si>
    <t>Turbina Pelton</t>
  </si>
  <si>
    <t>5.2. EVOLUCIÓN DEL VOLUMEN DE LOS EMBALSES Y LAGUNAS</t>
  </si>
  <si>
    <t>5.1. VOLUMEN ÚTIL DE LOS EMBALSES Y LAGUNAS (Millones de m3)</t>
  </si>
  <si>
    <t>VARIACIÓN
%</t>
  </si>
  <si>
    <t>8.1. FALLAS POR TIPO DE EQUIPO Y CAUSA SEGÚN CLASIFICACIÓN CIER</t>
  </si>
  <si>
    <t>7.1. HORAS DE CONGESTIÓN POR ÁREA OPERATIVA</t>
  </si>
  <si>
    <t>2. MODIFICACIÓN DE LA OFERTA DE GENERACIÓN ELÉCTRICA DEL SEIN EN EL 2019</t>
  </si>
  <si>
    <t>EÓLICAS</t>
  </si>
  <si>
    <t>AGROINDUSTRIAS SAN JACINTO</t>
  </si>
  <si>
    <t>Turbina de Vapor</t>
  </si>
  <si>
    <t>C.T. San Jacinto</t>
  </si>
  <si>
    <t>TV1</t>
  </si>
  <si>
    <t>13.04.2019</t>
  </si>
  <si>
    <t>- Los valores de potencia efectiva de las centrales corresponden a la declaración de sus propietarios en los ingresos de operación comercial.</t>
  </si>
  <si>
    <t>RIO BAÑOS</t>
  </si>
  <si>
    <t>RIO BAÑOS Total</t>
  </si>
  <si>
    <t>20:30</t>
  </si>
  <si>
    <t>CHAVARRIA 220</t>
  </si>
  <si>
    <t>(1) Inicio de operación comercial de la unidad G1 de la C.H. Zaña, propiedad de ELECTROZAÑA S.A.C. a las 00:00 horas del 15.02.2019</t>
  </si>
  <si>
    <t>(2) Inicio de operación comercial de la C.H. Patapo, propiedad de HYDROPATAPO. a las 00:00 horas del 15.03.2019</t>
  </si>
  <si>
    <t>(3)  Inicio de  operación comercial de la C.H. Callahuanca, propiedad de la empresa ENEL GENERACIÓN PERÚ.a las 00:00 horas del 30.03.2019</t>
  </si>
  <si>
    <t>(4) Inicio de  operación comercial de la C.T. San Jacinto, propiedad de la empresa AGROINDUSTRIAS SAN JACINTO S.A.A. a las 00:00 horas del 13.04.2019</t>
  </si>
  <si>
    <t>2.1.  INICIO DE OPERACIÓN COMERCIAL EN EL SEIN</t>
  </si>
  <si>
    <t>2.1. Inicio de Operación Comercial en el SEIN</t>
  </si>
  <si>
    <t>19:30</t>
  </si>
  <si>
    <t>19:45</t>
  </si>
  <si>
    <t>TRANSFORMADOR 2D</t>
  </si>
  <si>
    <t>C.T. ILO 1</t>
  </si>
  <si>
    <t>EMPRESA DE GENERACIÓN ELÉCTRICA RIO BAÑOS</t>
  </si>
  <si>
    <t>C.H. Rucuy</t>
  </si>
  <si>
    <t>01.06.2019</t>
  </si>
  <si>
    <t xml:space="preserve">G1 ; G2 </t>
  </si>
  <si>
    <t>SINDICATO ENERGETICO S.A.</t>
  </si>
  <si>
    <t>C.H. Chancay</t>
  </si>
  <si>
    <t>04.06.2019</t>
  </si>
  <si>
    <t>HIDROELÉCTRICAS</t>
  </si>
  <si>
    <t>(6) Inicio de  operación comercial de la  C.H. Chancay propiedad de SINDICATO ENERGÉTICO S.A. (SINERSA). a las 00:00 horas del 04.06.2019</t>
  </si>
  <si>
    <t>(5) Inicio de  operación comercial de la C.H. Rucuy propiedad de EMPRESA DE GENERACION ELECTRICA RIO BAÑOS S.A.C. a las 00:00 horas del 01.06.2019</t>
  </si>
  <si>
    <t>19:15</t>
  </si>
  <si>
    <t>20:15</t>
  </si>
  <si>
    <t>ECELIM</t>
  </si>
  <si>
    <t>ECELIM Total</t>
  </si>
  <si>
    <t>[2] La empresa ELÉCTRICA SANTA ROSA S.A.C. cambió su razón social al nombre ATRIA ENERGÍA S.A.C. con fecha 26 junio 2019.</t>
  </si>
  <si>
    <t>(8) La empresa ELÉCTRICA SANTA ROSA S.A.C. cambió su razón social al nombre ATRIA ENERGÍA S.A.C. con fecha 26 junio 2019.</t>
  </si>
  <si>
    <t>[1] Fusión por absorción por parte de Empresa de Generación Eléctrica Junín S.A.C. (sociedad absorbente) hacia Hidroeléctrica Santa Cruz S.A.C. (Sociedad Absorbida), Vigente desde las 00:00 horas del 01/06/2019.</t>
  </si>
  <si>
    <t>(7) Fusión por absorción por parte de Empresa de Generación Eléctrica Junín S.A.C. (sociedad absorbente) hacia Hidroeléctrica Santa Cruz S.A.C. (Sociedad Absorbida), Vigente desde las 00:00 horas del 01/06/2019.</t>
  </si>
  <si>
    <t>ELECTRICA SANTA ROSA / ATRIA Total</t>
  </si>
  <si>
    <t>20:00</t>
  </si>
  <si>
    <t>ELECTRICA SANTA ROSA / ATRIA</t>
  </si>
  <si>
    <t>TOTAL (CONSIDERANDO LA IMPORTACIÓN)</t>
  </si>
  <si>
    <t>ELECTRO PUNO</t>
  </si>
  <si>
    <t>ELECTRO SUR ESTE</t>
  </si>
  <si>
    <t>TRANSMANTARO</t>
  </si>
  <si>
    <t>11:15</t>
  </si>
  <si>
    <t>T-30  T3-261  T4-261</t>
  </si>
  <si>
    <t>INDEPENDENCIA</t>
  </si>
  <si>
    <t>EMGE JUNÍN / SANTA CRUZ</t>
  </si>
  <si>
    <t>EMGE JUNÍN / SANTA CRUZ Total</t>
  </si>
  <si>
    <t>C.T. TAPARACHI</t>
  </si>
  <si>
    <t>C.H. ZAÑA (1)</t>
  </si>
  <si>
    <t>C.H. PATAPO (2)</t>
  </si>
  <si>
    <t>C.H. RUCUY (5)</t>
  </si>
  <si>
    <t>EMGE JUNÍN / SANTA CRUZ (7)</t>
  </si>
  <si>
    <t>ELECTRICA SANTA ROSA / ATRIA (8)</t>
  </si>
  <si>
    <t xml:space="preserve"> </t>
  </si>
  <si>
    <t>15:30</t>
  </si>
  <si>
    <t>16:00</t>
  </si>
  <si>
    <t>STATKRAFT S.A</t>
  </si>
  <si>
    <t>L. AZÁNGARO - ANTAUTA - LINEA L-6021</t>
  </si>
  <si>
    <t>L. KIMAN AYLLU - SIHUAS - LINEA L-1132</t>
  </si>
  <si>
    <t>L-2205  L-2206</t>
  </si>
  <si>
    <t>REACTOR</t>
  </si>
  <si>
    <t>BIOENERGÍA DEL CHIRA S.A.</t>
  </si>
  <si>
    <t>C.T. Caña Brava</t>
  </si>
  <si>
    <t>TV1, TV2</t>
  </si>
  <si>
    <t>02.10.2019</t>
  </si>
  <si>
    <t>[9] Inicio  de  operación comercial de la C.T. Caña Brava propiedad de BIOENERGÍA DEL CHIRA S.A. a las 00:00 horas del 02.10.2019.</t>
  </si>
  <si>
    <t>G1 ; G2 ; G3; G4</t>
  </si>
  <si>
    <t>MINERA ARUNTANI</t>
  </si>
  <si>
    <t>L. PUNO - TUCARI - LINEA L-6007</t>
  </si>
  <si>
    <t>L. PARAGSHA II - CONOCOCHA - LINEA L-2264</t>
  </si>
  <si>
    <t>L. COMBAPATA - SICUANI - LINEA L-6001</t>
  </si>
  <si>
    <t>20:45</t>
  </si>
  <si>
    <t>15:45</t>
  </si>
  <si>
    <t>L-2110</t>
  </si>
  <si>
    <t>L-2259</t>
  </si>
  <si>
    <t>L-6627  L-6628</t>
  </si>
  <si>
    <t>HUANZA-CARABAYLLO</t>
  </si>
  <si>
    <t>POMACOCHA - SAN JUAN</t>
  </si>
  <si>
    <t>CARHUAMAYO - OROYA NUEVA</t>
  </si>
  <si>
    <t>MARCONA - SAN NICOLÁS</t>
  </si>
  <si>
    <t>GENERACIÓN ANDINA S.A.C.</t>
  </si>
  <si>
    <t>Pelton</t>
  </si>
  <si>
    <t>EL C.H. Carmen</t>
  </si>
  <si>
    <t>30.11.2019</t>
  </si>
  <si>
    <t>BIOENERGIA</t>
  </si>
  <si>
    <t>BIOENERGIA Total</t>
  </si>
  <si>
    <t>GENERACIÓN ANDINA</t>
  </si>
  <si>
    <t>C.H. EL CARMEN</t>
  </si>
  <si>
    <t>GENERACIÓN ANDINA Total</t>
  </si>
  <si>
    <t>C.H. RUCUY</t>
  </si>
  <si>
    <t>C.H. CHANCAY</t>
  </si>
  <si>
    <t>C.H. CALLAHUANCA (3)</t>
  </si>
  <si>
    <t>C.T. SAN JACINTO (4)</t>
  </si>
  <si>
    <t>C.H. CHANCAY (6)</t>
  </si>
  <si>
    <t>C.T. CAÑA BRAVA (9)</t>
  </si>
  <si>
    <t>C.H. EL CARMEN (10)</t>
  </si>
  <si>
    <t>C.H. 8 DE AGOSTO (11)</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</si>
  <si>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</si>
  <si>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[10] Inicio  de  operación comercial de la C.H. El Carmen propiedad de GENERACIÓN ANDINA S.A.C. a las 00:00 horas del 30.11.2019</t>
  </si>
  <si>
    <t>Desconectó la línea L-6007 (Puno-Tucari) 60 kV por falla debido a fuertes descargas eléctricas en la zona, según informe de Minera Aruntani, propietario de la línea. La línea quedó fuera de servicio para su inspección. A las 14:50 h, se conectó la línea L-6007 y se procedió a reponer los suministros interrumpidos.</t>
  </si>
  <si>
    <t>ATN 2 S.A.</t>
  </si>
  <si>
    <t>L. COTARUSE - LAS BAMBAS - LINEA L-2056</t>
  </si>
  <si>
    <t>Desconexión de las líneas L-2055/L-2056 (Cotaruse-Las Bambas) 220 kV por falla fase "ST", según lo informado por ATN2, propietario de las líneas. A las 14:24 h, ATN2 declaró disponibles ambas líneas. A las 14:27 h, en servicio la línea L-2056, se coordina recuperar la carga interrumpida de las Bambas.</t>
  </si>
  <si>
    <t>Desconexión de la línea L-1132 (Kiman Ayllu - Sihuas) de 138 KV por falla en fases "RS", debido a descargas atmosféricas, según lo informado por Hidrandina, propietario de la línea. Previo al evento la línea L-1132 se encontraba con 15.5 MW. Como consecuencia se interumpieron los suministros de las SS.EE. Sihuas, Tayabamba y Llacuabamba. A las 14:04 h se energizó la línea L-1132 desde la S.E. Kiman Ayllu y se coordino recuperar la carga interrumpida.</t>
  </si>
  <si>
    <t>Desconectó la línea L-6001 (Combapata - Sicuani) de 60 kV, por falla trfásica, como consecuencia se interrumpio la carga de S.E. Sicuani con 2.53 MW, A las 18:18 h entró en servicio la línea.</t>
  </si>
  <si>
    <t>L. AZÁNGARO - PUTINA - LINEA L-6024</t>
  </si>
  <si>
    <t>Desconectaron las líneas de 60 kV L-6024/6025/6026 (Azangaro - Putina - Ananea - Huancane) ocasionado por descargas atmosfericas de acuerdo a lo informado por Electro Puno, titular de las lineas. Como consecuencia de interrumpieron los suministros  de Ananea y Huancane con un total de 10.16 MW. A las 12:35 h, se puso en servicio las lineas y se procedio a recuperar la carga interrumpida.</t>
  </si>
  <si>
    <t>ETENORTE</t>
  </si>
  <si>
    <t>L. CHIMBOTE 1 - HUALLANCA - LINEA L-1105</t>
  </si>
  <si>
    <t>Desconectó la línea L-1105 (Chimbote-Huallanca) de 138 kV por falla bifásica "RS" ocasionado por quema de caña de acuerdo a lo informado por Etenorte, titular de la línea. A las 16:44 h, Sider Perú informó que perdió 4 MW, se coordinó recuperar su carga interrumpida. A las 16:54 h, se conectó la línea L-1105.</t>
  </si>
  <si>
    <t>L. COLCABAMBA - POROMA - LINEA L-5031</t>
  </si>
  <si>
    <t>Desconectó la línea L-5031 (Colcabamba-Poroma) 500 kV por falla en la fase "S", con disparo monofásico y recierre no exitoso, ocasionado por descargas atmosféricas de acuerdo a lo informado por Transmantaro, titular de la línea. Se produjo reducción de carga de la Minera Cerro Verde de 66 MW. A las 17:33 h, se coordinó con la minera que recupere su carga. A las 19:21 h, se energizó la línea L-5031 desde la S.E. Poroma. A las 21:07 h, se conectó la línea L-5031 en la S.E. Colcabamba.</t>
  </si>
  <si>
    <t>UNION ANDINA DE CEMENTO</t>
  </si>
  <si>
    <t>L. CARIPA - CONDORCOCHA - LINEA L-1706</t>
  </si>
  <si>
    <t>A SOLICITUD DE UNACEM. MANTENIMIENTO ANUAL DE LINEA L-1706</t>
  </si>
  <si>
    <t>ELECTRO UCAYALI</t>
  </si>
  <si>
    <t>S.E. PUCALLPA - TRAFO TR3-15MVA</t>
  </si>
  <si>
    <t>MANTENIMIENTO DEL TRANSFORMADOR 3</t>
  </si>
  <si>
    <t>INSPECCIÓN DE TRANSFORMADOR, CAMBIO DE PARARRAYOS, ENTRE OTRAS ACTIVIDADES</t>
  </si>
  <si>
    <t>S.E. VILLACURI - BARRA BARRA60KV</t>
  </si>
  <si>
    <t>PUESTA EN SERVICIO Y ENERGIZACIÓN DE LA CL-6609</t>
  </si>
  <si>
    <t>L. TRUJILLO NORTE - SANTIAGO DE CAO - LINEA L-1118</t>
  </si>
  <si>
    <t>Desconectó la línea L-1118 (Trujillo Norte - Santiago de Cao) de 138 kV por falla originado por quema de caña, según lo informado por HID, titular de la línea. Como consecuencia se interrumpió la SE Santiago de Cao con 16,3 MW. A las 17:34 h, se conectó la línea después de declararse disponible y se coordinó recuperar los suministros interrumpidos.</t>
  </si>
  <si>
    <t>Se produjo recierre monofásico exitoso de la línea L-5031 (Colcabamba-Poroma) de 500 kV por probables descargas atmosféricas, según lo informado por REP, titular de la línea. La Mina Cerro Verde reportó disminución de su carga de 66 MW (Planta Concentradora 2). A las 18:36 h, se coordinó con Mina Cerro Verde recuperar sus suministros interrumpidos.</t>
  </si>
  <si>
    <t>L. ZORRITOS - MÁNCORA - LINEA L-6664</t>
  </si>
  <si>
    <t>Desconexión de la línea L-1015 (Mazuco-Puerto Maldonado) de 138 kV por descargas atmosféricas según lo informado por Electro Sur Este, propietario de la línea. Como consecuencia, se interrumpió una carga de 16,6 MW en la S.E. Puerto Maldonado y salió fuera de servicio la C.H. El Ángel. A las 20:13 h se energizó la línea L-1015 desde la S.E. Mazuco. A las 20:14 h, en servicio la línea L-1015, se coordina recuperar la carga interrumpida.</t>
  </si>
  <si>
    <t>L. TRUJILLO NORTE - MOTIL - LINEA L-1115</t>
  </si>
  <si>
    <t>L. MARCONA - NAZCA - LINEA L-6630</t>
  </si>
  <si>
    <t>Desconectó la línea L-6021 (Azangaro-Antauta) de 60 kV por falla originada por descargas atmosféricas, según lo informado por EPU, titular de la línea. Como consecuencia, se interrumpió la S.E. Antauta de 0,95 MW. A las 12:56 h, EPU conectó la línea L-6021 y procedió a recuperar los suministros interrumpidos.</t>
  </si>
  <si>
    <t>Desconectó la línea L-6532/L-6533 (Morococha-Carlos Francisco) de 50 kV por falla originada por descargas atmosféricas, según lo informado por STK, titular de las líneas. Como consecuencia, desconectaron las subestaciones de Casapalca Norte, Carlos Francisco, Casapalca, Antuquito, Bellavista y San Mateo con una demanda total de 27.05 MW. Además, salio de servicio la C.H. Huanchor con una generación de 19,668 MW. A las 17:15 h, STK conectó las líneas L-6532 y L-6533 y procedió a restablecer los suministros interrumpidos. A las 17:57 h, se sincronizó la C.H. Huanchor.</t>
  </si>
  <si>
    <t>L. PARAMONGA N. - 09 DE OCTUBRE - LINEA L-6655</t>
  </si>
  <si>
    <t>Desconectó la línea L-6655 (Paramonga N. - 09 de Octubre) de 66 kV por falla cuyas causas no fueron informadas por Hidrandina propietaria del equipo. Como consecuencia se inetrrumpiò el suministro de la SE 09 de Octubre con un total de 4.9 MW. A las 06:27 h se conectò la lìnea con lo cual se procediò a normalizar los suministros interrumpidos.</t>
  </si>
  <si>
    <t>Se produjo la desconexión de la línea L-6655 (Paramonga Nueva - 9 de Octubre) de 66 KV por falla monofásica en la fase "T", debido a acto vandálico, según lo informado por Hidrandina, titular de la línea. Como consecuencia se interrumpieron los suministros de las SS.EE. Huarmey y Puerto Antamina con un total de 4,05 MW. A las 13:05 h, se conectó la línea con lo cual se inició el restablecimiento del suministro interrumpido.</t>
  </si>
  <si>
    <t>INVERSIONES SHAQSHA S.A.C.</t>
  </si>
  <si>
    <t>L. COBRIZA I - COBRIZA II - LINEA L-6602</t>
  </si>
  <si>
    <t>El total de la producción de energía eléctrica de la empresas generadoras integrantes del COES en el mes de diciembre 2019 fue de 4 591,22  GWh, lo que representa un incremento de 95,14 GWh (2,12%) en comparación con el año 2018.</t>
  </si>
  <si>
    <t>La producción de electricidad con centrales hidroeléctricas durante el mes de diciembre 2019 fue de 3 149,39 GWh (29,27% mayor al registrado durante diciembre del año 2018).</t>
  </si>
  <si>
    <t>La producción de electricidad con centrales termoeléctricas durante el mes de diciembre 2019 fue de 1 233,25 GWh, 33,10% menor al registrado durante diciembre del año 2018. La participación del gas natural de Camisea fue de 25,07%, mientras que las del gas que proviene de los yacimientos de Aguaytía y Malacas fue del 1,19%, la producción con diesel, residual, carbón, biogás y bagazo tuvieron una intervención del 0,02%, 0,04%, 0,00%, 0,10%, 0,43% respectivamente.</t>
  </si>
  <si>
    <t>La producción de energía eléctrica con centrales eólicas fue de 139,86 GWh y con centrales solares fue de 76,64 GWh, los cuales tuvieron una participación de 2,85% y 1,69% respectivamente.</t>
  </si>
  <si>
    <t>diciembre</t>
  </si>
  <si>
    <t>C.H. 8 DE AGOSTO</t>
  </si>
  <si>
    <t>VOLUMEN ÚTIL
31-12-2019</t>
  </si>
  <si>
    <t>VOLUMEN ÚTIL
31-12-2018</t>
  </si>
  <si>
    <t>COELVISAC</t>
  </si>
  <si>
    <t>L. CARHUAMAYO - SHELBY - LINEA L-6515</t>
  </si>
  <si>
    <t>S.E. MAZUCO                                             - SSEE SS.EE.</t>
  </si>
  <si>
    <t>Desconectaron las líneas L-6514/L-6515/L-6516/L-6517 (Carhuamayo  - Shelby - Excelsior) de 50 kV por falla a tierra en la fase "T" originado por descargas atmosféricas en la zona de Shelby según informó STATKRAFT, titular de las líneas. Como consecuencia, se interrumpió el suministro de las SS.EE. Shelby, San José, Santander, Buena Vista, Vista Alegre y San Juan, en total 6.78 MW. A las 19:05 h, se conectaron las líneas L-6514/L-6515/L-6516/L-6517 y se procedió a normalizar los suministros interrumpidos.</t>
  </si>
  <si>
    <t>Desconectaron las líneas L-6024/L-6025/L-6026 (Azángaro – Putina – Ananea) de 60 kV por falla originado por descarga atmosférica en la zona de Putina y Ananea. Como consecuencia se interrumpió el suministro de Ananea y Huancané en total 9.64 MW. A las 11:20 h, se conectaron las líneas mencionadas y se procedió a normalizar el suministro interrumpido.</t>
  </si>
  <si>
    <t>ELECTRO DUNAS</t>
  </si>
  <si>
    <t>ATN S.A.</t>
  </si>
  <si>
    <t>L. MAZUCO - PTO MALDONADO- LINEA L-1015</t>
  </si>
  <si>
    <t>L. MOROCOCHA - CARLOS FRANCISCO - LINEA L-6532</t>
  </si>
  <si>
    <t>Desconectó la línea L-6664 (Zorritos – Máncora) de 60 kV por falla y cuya causa no fue informado por ELECTROPERU, titular de la linea. Como consecuencia se interrumpió el suministro de Máncora (3.72 MW).A las 06:04 h, se energizó la línea y se procedió a normalizar el suministro interrumpido</t>
  </si>
  <si>
    <t>Desconectó la línea L-1115 (Trujillo Norte - Motil) de 138 kV, por falla en la fase R, originado por descargas atmosféricas. De acuerdo con lo informado por HIDRANDINA, titular de la línea. Como consecuencia, se interrumpió el suministro de la S.E. Motil que tenia una carga de 2,10 MW. A las 11:39:50 h, se energizó la línea y se inició la normalización del suministro interrumpido.</t>
  </si>
  <si>
    <t>Desconectó la línea L-6630 (Marcona-Nazca) 60 kV por falla en la fase R ubicada a 26 km de la S.E. Marcona originado por incendio forestal en la zonas aledañas, según lo reportado por Electrodunas, propietario de la línea. Como consecuencia, se interrumpió el suministro de las SS.EE. Nazca, Puquio, Llipata y Cora Cora. La línea quedó fuera de servicio hasta que disminuya la presencia de humo y se proceda a su inspección.A las 11:41 h del sábado 21,se conectó la línea.</t>
  </si>
  <si>
    <t>Desconexión de la línea L-6655 (Paramonga-9 de Octubre) de 60 kV con 6.16 MW por falla en la fase T a una distancia de 80.2 km de la S.E. Paramonga Nueva, cuyo origen no ha sido informado por parte de HID, titular de la línea. Como consecuencia se interrumpieron las subestaciones de Huarmey y Antamina con 3,17 MW y 2,85 MW respectivamente.A las 16:00 h, se energizó la línea L-6655 y se procedió a recuperar los suministros interrumpidos.</t>
  </si>
  <si>
    <t>Se produjo un recierre exitoso en la línea L-5031 (Colcabamba - Poroma) de 500 KV por falla monofásica en la fase "T" debido a descargas atmosféricas según lo informado por Transmantaro, titular del equipo. Como consecuencia el usuario libre Minera Cerro Verde redujo su carga en 15 MW. A las 15:17 h, se coordinò con el CC-MCV recuperar su carga reducida.</t>
  </si>
  <si>
    <t>Se produjo la desconexión de la línea L-6001 (Combapata - Sicuani) de 60 KV por falla monofásica en la fase "S" cuya causa no fue informada por Electro Sureste, titular de la línea. Como consecuencia se interumpió el suministro de la S.E. Sicuani con 2.03 MW. A las 18:02 h, se conectó la línea y se procedió a recuperar la carga interrumpida.</t>
  </si>
  <si>
    <t>Se produjo la desconexión de la línea L-6602 (Cobriza I - Cobriza II) de 60 KV por falla bifásica a tierra en las fases "RS" debido a descargas atmosféricas en la zona de Cobriza I según lo informado por Inversiones Shagsha, titular de la línea. Como consecuencia se interrumpió el suministro de la S.E. Cobriza II con un total de 2.17 MW. A las 18:30 h, se puso en servicio la línea y se procedió a recuperar la carga interrumpida.</t>
  </si>
  <si>
    <t>Se produjo la desconexión de la línea L-2264 (Paraghsa 2 - Conococha) de 220 KV por falla bifásica entre las fases "ST" cuya causa no fue informada por ATN, titular de la línea. Como consecuencia el usuario libre Minera Antamina redujo su carga en 28 MW. A las 18:49 h, se coordinó con el CC-CMA recuperar la carga reducida. A las 18:56 h, se conectó la línea.</t>
  </si>
  <si>
    <t>01/12/2019</t>
  </si>
  <si>
    <t>02/12/2019</t>
  </si>
  <si>
    <t>03/12/2019</t>
  </si>
  <si>
    <t>04/12/2019</t>
  </si>
  <si>
    <t>15:15</t>
  </si>
  <si>
    <t>05/12/2019</t>
  </si>
  <si>
    <t>06/12/2019</t>
  </si>
  <si>
    <t>07/12/2019</t>
  </si>
  <si>
    <t>08/12/2019</t>
  </si>
  <si>
    <t>09/12/2019</t>
  </si>
  <si>
    <t>10/12/2019</t>
  </si>
  <si>
    <t>21:30</t>
  </si>
  <si>
    <t>11/12/2019</t>
  </si>
  <si>
    <t>12/12/2019</t>
  </si>
  <si>
    <t>13/12/2019</t>
  </si>
  <si>
    <t>15:00</t>
  </si>
  <si>
    <t>14/12/2019</t>
  </si>
  <si>
    <t>15/12/2019</t>
  </si>
  <si>
    <t>16/12/2019</t>
  </si>
  <si>
    <t>17/12/2019</t>
  </si>
  <si>
    <t>18/12/2019</t>
  </si>
  <si>
    <t>19/12/2019</t>
  </si>
  <si>
    <t>20/12/2019</t>
  </si>
  <si>
    <t>21/12/2019</t>
  </si>
  <si>
    <t>21:00</t>
  </si>
  <si>
    <t>22/12/2019</t>
  </si>
  <si>
    <t>23/12/2019</t>
  </si>
  <si>
    <t>24/12/2019</t>
  </si>
  <si>
    <t>25/12/2019</t>
  </si>
  <si>
    <t>26/12/2019</t>
  </si>
  <si>
    <t>27/12/2019</t>
  </si>
  <si>
    <t>28/12/2019</t>
  </si>
  <si>
    <t>29/12/2019</t>
  </si>
  <si>
    <t>23:15</t>
  </si>
  <si>
    <t>30/12/2019</t>
  </si>
  <si>
    <t>31/12/2019</t>
  </si>
  <si>
    <t>SUBESTACIÓN</t>
  </si>
  <si>
    <t>CARHUAMAYO NUEVA</t>
  </si>
  <si>
    <t>KIMAN AYLLU</t>
  </si>
  <si>
    <t>AUT-201</t>
  </si>
  <si>
    <t>AUT-501</t>
  </si>
  <si>
    <t>CHILCA - DESIERTO</t>
  </si>
  <si>
    <t>L-2091</t>
  </si>
  <si>
    <t>MACHUPICCHU - CACHIMAYO</t>
  </si>
  <si>
    <t>L-1001</t>
  </si>
  <si>
    <t>25.12.2019</t>
  </si>
  <si>
    <t>1.1. Producción de energía eléctrica en diciembre 2019 en comparación al mismo mes del año anterior</t>
  </si>
  <si>
    <t>[11] Inicio  de  operación comercial de la C.H. 8 de Agosto propiedad de GENERACIÓN ANDINA S.A.C. a las 00:00 horas del 25.12.2019</t>
  </si>
  <si>
    <t>DICIEMBRE 2019</t>
  </si>
  <si>
    <t>DICIEMBRE 2018</t>
  </si>
  <si>
    <t>DICIEMBRE 2017</t>
  </si>
  <si>
    <t>C.T. CAÑA BRAVA</t>
  </si>
  <si>
    <t>C.H. CALLAHUANCA</t>
  </si>
  <si>
    <t>C.H. PATAPO</t>
  </si>
  <si>
    <t>C.T. SAN JACINTO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</si>
</sst>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7">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sz val="8"/>
      <name val="Calibri"/>
      <family val="2"/>
    </font>
    <font>
      <b/>
      <sz val="5"/>
      <color theme="1"/>
      <name val="Arial"/>
      <family val="2"/>
    </font>
    <font>
      <sz val="5"/>
      <color rgb="FF00206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9">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4"/>
      </left>
      <right style="hair">
        <color theme="4"/>
      </right>
      <top style="hair">
        <color theme="4"/>
      </top>
      <bottom style="thin">
        <color theme="0" tint="-0.34998626667073579"/>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hair">
        <color theme="4"/>
      </right>
      <top style="thin">
        <color theme="0" tint="-0.34998626667073579"/>
      </top>
      <bottom/>
      <diagonal/>
    </border>
    <border>
      <left style="hair">
        <color theme="4"/>
      </left>
      <right style="hair">
        <color theme="4"/>
      </right>
      <top style="thin">
        <color theme="0" tint="-0.34998626667073579"/>
      </top>
      <bottom/>
      <diagonal/>
    </border>
    <border>
      <left/>
      <right style="hair">
        <color theme="4"/>
      </right>
      <top/>
      <bottom style="thin">
        <color theme="0" tint="-0.34998626667073579"/>
      </bottom>
      <diagonal/>
    </border>
    <border>
      <left/>
      <right style="hair">
        <color theme="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cellStyleXfs>
  <cellXfs count="976">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0" fontId="33" fillId="0" borderId="0" xfId="0" applyFont="1" applyAlignment="1">
      <alignment vertical="center"/>
    </xf>
    <xf numFmtId="0" fontId="33" fillId="0" borderId="0" xfId="0" applyFont="1" applyAlignment="1">
      <alignment vertical="center" wrapText="1"/>
    </xf>
    <xf numFmtId="0" fontId="33" fillId="0" borderId="0" xfId="0" applyFont="1" applyAlignment="1">
      <alignment horizontal="left" vertical="center" wrapText="1"/>
    </xf>
    <xf numFmtId="174" fontId="0" fillId="0" borderId="0" xfId="0" applyNumberFormat="1"/>
    <xf numFmtId="0" fontId="3" fillId="0" borderId="0" xfId="0" applyFont="1"/>
    <xf numFmtId="0" fontId="4" fillId="0" borderId="0" xfId="0" applyFont="1"/>
    <xf numFmtId="0" fontId="33" fillId="2" borderId="0" xfId="0" applyFont="1" applyFill="1" applyAlignment="1">
      <alignment horizontal="left" vertical="center"/>
    </xf>
    <xf numFmtId="0" fontId="33" fillId="2" borderId="0" xfId="0" applyFont="1" applyFill="1" applyAlignment="1">
      <alignment vertical="center"/>
    </xf>
    <xf numFmtId="0" fontId="30" fillId="0" borderId="0" xfId="0" applyFont="1" applyAlignment="1">
      <alignment vertical="center"/>
    </xf>
    <xf numFmtId="0" fontId="33" fillId="0" borderId="0" xfId="0" applyFont="1" applyAlignment="1">
      <alignment horizontal="center" vertical="center"/>
    </xf>
    <xf numFmtId="49" fontId="27" fillId="0" borderId="0" xfId="0" applyNumberFormat="1" applyFont="1" applyAlignment="1">
      <alignment horizontal="right" vertical="center"/>
    </xf>
    <xf numFmtId="1" fontId="27" fillId="0" borderId="0" xfId="0" applyNumberFormat="1" applyFont="1" applyAlignment="1">
      <alignment horizontal="right" vertical="center"/>
    </xf>
    <xf numFmtId="49" fontId="27" fillId="0" borderId="0" xfId="0" applyNumberFormat="1" applyFont="1" applyAlignment="1">
      <alignment horizontal="center" vertical="center"/>
    </xf>
    <xf numFmtId="1" fontId="27" fillId="0" borderId="0" xfId="0" applyNumberFormat="1" applyFont="1" applyAlignment="1">
      <alignment horizontal="center" vertical="center"/>
    </xf>
    <xf numFmtId="0" fontId="30" fillId="0" borderId="0" xfId="0" applyFont="1" applyAlignment="1">
      <alignment horizontal="center" vertical="center"/>
    </xf>
    <xf numFmtId="0" fontId="31" fillId="0" borderId="72" xfId="0" applyFont="1" applyBorder="1" applyAlignment="1">
      <alignment vertical="center" wrapText="1"/>
    </xf>
    <xf numFmtId="22" fontId="31" fillId="0" borderId="72" xfId="0" applyNumberFormat="1" applyFont="1" applyBorder="1" applyAlignment="1">
      <alignment horizontal="center" vertical="center" wrapText="1"/>
    </xf>
    <xf numFmtId="0" fontId="31" fillId="0" borderId="72" xfId="0" applyFont="1" applyBorder="1" applyAlignment="1">
      <alignment horizontal="center" vertical="center" wrapText="1"/>
    </xf>
    <xf numFmtId="0" fontId="42" fillId="0" borderId="0" xfId="0" applyFont="1"/>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3" fillId="0" borderId="0" xfId="0" applyFont="1" applyAlignment="1">
      <alignment horizontal="center" vertical="center"/>
    </xf>
    <xf numFmtId="0" fontId="45" fillId="0" borderId="0" xfId="0" applyFont="1" applyAlignment="1">
      <alignment horizontal="justify" vertical="center"/>
    </xf>
    <xf numFmtId="0" fontId="46" fillId="0" borderId="0" xfId="0" applyFont="1" applyAlignment="1">
      <alignment vertical="center"/>
    </xf>
    <xf numFmtId="0" fontId="44"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7"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1" fillId="0" borderId="0" xfId="0" applyFont="1" applyAlignment="1">
      <alignment horizontal="right" vertical="center"/>
    </xf>
    <xf numFmtId="0" fontId="49" fillId="0" borderId="0" xfId="0" applyFont="1" applyAlignment="1">
      <alignment horizontal="center" vertical="center"/>
    </xf>
    <xf numFmtId="0" fontId="51" fillId="0" borderId="0" xfId="0" applyFont="1" applyAlignment="1">
      <alignment horizontal="justify" vertical="center"/>
    </xf>
    <xf numFmtId="2" fontId="52" fillId="0" borderId="0" xfId="0" applyNumberFormat="1" applyFont="1" applyAlignment="1">
      <alignment vertical="center"/>
    </xf>
    <xf numFmtId="0" fontId="52" fillId="0" borderId="0" xfId="0" quotePrefix="1" applyFont="1" applyAlignment="1">
      <alignment vertical="center" wrapText="1"/>
    </xf>
    <xf numFmtId="0" fontId="52" fillId="0" borderId="0" xfId="0" applyFont="1" applyAlignment="1">
      <alignment vertical="center"/>
    </xf>
    <xf numFmtId="14" fontId="49" fillId="0" borderId="0" xfId="0" applyNumberFormat="1" applyFont="1" applyAlignment="1">
      <alignment vertical="center"/>
    </xf>
    <xf numFmtId="0" fontId="48" fillId="0" borderId="0" xfId="0" applyFont="1" applyAlignment="1">
      <alignment vertical="center"/>
    </xf>
    <xf numFmtId="1" fontId="53" fillId="0" borderId="0" xfId="0" applyNumberFormat="1" applyFont="1" applyAlignment="1">
      <alignment horizontal="center" vertical="center"/>
    </xf>
    <xf numFmtId="171" fontId="54" fillId="6" borderId="0" xfId="3" applyFont="1" applyFill="1"/>
    <xf numFmtId="0" fontId="50" fillId="0" borderId="0" xfId="0" applyFont="1"/>
    <xf numFmtId="1" fontId="55" fillId="0" borderId="0" xfId="3" applyNumberFormat="1" applyFont="1" applyAlignment="1">
      <alignment horizontal="center"/>
    </xf>
    <xf numFmtId="172" fontId="55" fillId="0" borderId="0" xfId="3" applyNumberFormat="1" applyFont="1" applyAlignment="1">
      <alignment horizontal="center"/>
    </xf>
    <xf numFmtId="2" fontId="56" fillId="0" borderId="0" xfId="3" applyNumberFormat="1" applyFont="1"/>
    <xf numFmtId="165" fontId="53" fillId="0" borderId="0" xfId="0" applyNumberFormat="1" applyFont="1" applyAlignment="1">
      <alignment horizontal="right" vertical="center"/>
    </xf>
    <xf numFmtId="166" fontId="53" fillId="0" borderId="0" xfId="0" applyNumberFormat="1" applyFont="1" applyAlignment="1">
      <alignment horizontal="right" vertical="center"/>
    </xf>
    <xf numFmtId="167" fontId="53" fillId="0" borderId="0" xfId="2" applyNumberFormat="1" applyFont="1" applyAlignment="1">
      <alignment horizontal="right" vertical="center"/>
    </xf>
    <xf numFmtId="2" fontId="56" fillId="2" borderId="0" xfId="3" applyNumberFormat="1" applyFont="1" applyFill="1"/>
    <xf numFmtId="0" fontId="53" fillId="0" borderId="0" xfId="0" applyFont="1" applyAlignment="1">
      <alignment vertical="center"/>
    </xf>
    <xf numFmtId="2" fontId="57" fillId="0" borderId="0" xfId="0" applyNumberFormat="1" applyFont="1"/>
    <xf numFmtId="2" fontId="56" fillId="0" borderId="0" xfId="3" applyNumberFormat="1" applyFont="1" applyAlignment="1">
      <alignment horizontal="center"/>
    </xf>
    <xf numFmtId="0" fontId="58"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9" fillId="0" borderId="0" xfId="0" applyFont="1" applyAlignment="1">
      <alignment vertical="center"/>
    </xf>
    <xf numFmtId="0" fontId="59"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0" fillId="0" borderId="0" xfId="0" applyNumberFormat="1" applyFont="1" applyAlignment="1">
      <alignment vertical="center"/>
    </xf>
    <xf numFmtId="2" fontId="51" fillId="0" borderId="0" xfId="0" applyNumberFormat="1" applyFont="1" applyAlignment="1">
      <alignment vertical="center"/>
    </xf>
    <xf numFmtId="22" fontId="60" fillId="0" borderId="72" xfId="0" applyNumberFormat="1" applyFont="1" applyBorder="1" applyAlignment="1">
      <alignment horizontal="center" vertical="center" wrapText="1"/>
    </xf>
    <xf numFmtId="0" fontId="60" fillId="0" borderId="72" xfId="0" applyFont="1" applyBorder="1" applyAlignment="1">
      <alignment horizontal="justify" vertical="center" wrapText="1"/>
    </xf>
    <xf numFmtId="0" fontId="60" fillId="0" borderId="72" xfId="0" applyFont="1" applyBorder="1" applyAlignment="1">
      <alignment horizontal="center" vertical="center" wrapText="1"/>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100" xfId="0" applyFont="1" applyFill="1" applyBorder="1" applyAlignment="1">
      <alignment vertical="center"/>
    </xf>
    <xf numFmtId="170" fontId="27" fillId="4" borderId="100" xfId="0" applyNumberFormat="1" applyFont="1" applyFill="1" applyBorder="1" applyAlignment="1">
      <alignment vertical="center"/>
    </xf>
    <xf numFmtId="167" fontId="33" fillId="4" borderId="100"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37" fillId="2" borderId="0" xfId="0" applyFont="1" applyFill="1" applyAlignment="1">
      <alignment horizontal="left" vertical="center"/>
    </xf>
    <xf numFmtId="170" fontId="0" fillId="0" borderId="0" xfId="0" applyNumberFormat="1" applyAlignment="1">
      <alignment horizontal="center" vertical="center"/>
    </xf>
    <xf numFmtId="0" fontId="62"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7" borderId="0" xfId="0" applyFont="1" applyFill="1"/>
    <xf numFmtId="0" fontId="0" fillId="7" borderId="0" xfId="0" applyFill="1"/>
    <xf numFmtId="0" fontId="6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4" fillId="0" borderId="0" xfId="0" applyFont="1"/>
    <xf numFmtId="0" fontId="65" fillId="0" borderId="0" xfId="0" applyFont="1"/>
    <xf numFmtId="0" fontId="65" fillId="0" borderId="0" xfId="0" applyFont="1" applyAlignment="1">
      <alignment horizontal="center"/>
    </xf>
    <xf numFmtId="166" fontId="65" fillId="0" borderId="0" xfId="0" applyNumberFormat="1" applyFont="1"/>
    <xf numFmtId="171" fontId="66" fillId="6" borderId="0" xfId="3" applyFont="1" applyFill="1"/>
    <xf numFmtId="172" fontId="66" fillId="6" borderId="0" xfId="3" applyNumberFormat="1" applyFont="1" applyFill="1"/>
    <xf numFmtId="1" fontId="67" fillId="0" borderId="0" xfId="3" applyNumberFormat="1" applyFont="1" applyAlignment="1">
      <alignment horizontal="center"/>
    </xf>
    <xf numFmtId="172" fontId="67" fillId="0" borderId="0" xfId="3" applyNumberFormat="1" applyFont="1" applyAlignment="1">
      <alignment horizontal="center"/>
    </xf>
    <xf numFmtId="2" fontId="68" fillId="0" borderId="0" xfId="3" applyNumberFormat="1" applyFont="1"/>
    <xf numFmtId="2" fontId="68" fillId="0" borderId="0" xfId="3" applyNumberFormat="1" applyFont="1" applyAlignment="1">
      <alignment horizontal="center"/>
    </xf>
    <xf numFmtId="0" fontId="65" fillId="0" borderId="0" xfId="0" applyFont="1" applyAlignment="1">
      <alignment vertical="center"/>
    </xf>
    <xf numFmtId="2" fontId="68" fillId="2" borderId="0" xfId="3" applyNumberFormat="1" applyFont="1" applyFill="1"/>
    <xf numFmtId="2" fontId="69" fillId="0" borderId="0" xfId="0" applyNumberFormat="1" applyFont="1"/>
    <xf numFmtId="2" fontId="70" fillId="0" borderId="0" xfId="4" applyNumberFormat="1" applyFont="1"/>
    <xf numFmtId="0" fontId="31" fillId="0" borderId="89" xfId="0" applyFont="1" applyBorder="1"/>
    <xf numFmtId="43" fontId="31" fillId="0" borderId="89" xfId="1" applyFont="1" applyBorder="1"/>
    <xf numFmtId="43" fontId="31" fillId="0" borderId="0" xfId="0" applyNumberFormat="1" applyFont="1"/>
    <xf numFmtId="0" fontId="61" fillId="0" borderId="0" xfId="0" applyFont="1" applyAlignment="1">
      <alignment vertical="center"/>
    </xf>
    <xf numFmtId="0" fontId="61" fillId="0" borderId="0" xfId="0" applyFont="1" applyAlignment="1">
      <alignment horizontal="center"/>
    </xf>
    <xf numFmtId="0" fontId="61" fillId="0" borderId="0" xfId="0" applyFont="1" applyAlignment="1">
      <alignment vertical="center" wrapText="1"/>
    </xf>
    <xf numFmtId="0" fontId="61" fillId="0" borderId="0" xfId="0" applyFont="1" applyAlignment="1">
      <alignment horizontal="left" vertical="center" wrapText="1"/>
    </xf>
    <xf numFmtId="49" fontId="62" fillId="0" borderId="0" xfId="0" applyNumberFormat="1" applyFont="1" applyAlignment="1">
      <alignment horizontal="right"/>
    </xf>
    <xf numFmtId="43" fontId="31" fillId="0" borderId="89" xfId="0" applyNumberFormat="1" applyFont="1" applyBorder="1"/>
    <xf numFmtId="1"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0" fontId="31" fillId="0" borderId="0" xfId="0" applyFont="1" applyAlignment="1">
      <alignment horizontal="center"/>
    </xf>
    <xf numFmtId="0" fontId="62" fillId="0" borderId="0" xfId="0" applyFont="1" applyAlignment="1">
      <alignment vertical="center"/>
    </xf>
    <xf numFmtId="0" fontId="62" fillId="0" borderId="0" xfId="0" quotePrefix="1" applyFont="1" applyAlignment="1">
      <alignment horizontal="left" vertical="top"/>
    </xf>
    <xf numFmtId="166" fontId="65" fillId="0" borderId="0" xfId="0" applyNumberFormat="1" applyFont="1" applyAlignment="1">
      <alignment horizontal="right"/>
    </xf>
    <xf numFmtId="0" fontId="63" fillId="0" borderId="0" xfId="0" applyFont="1" applyAlignment="1">
      <alignment horizontal="right"/>
    </xf>
    <xf numFmtId="168" fontId="31" fillId="2" borderId="84" xfId="0" applyNumberFormat="1" applyFont="1" applyFill="1" applyBorder="1" applyAlignment="1">
      <alignment horizontal="center" vertical="center" wrapText="1"/>
    </xf>
    <xf numFmtId="0" fontId="31" fillId="2" borderId="84" xfId="2" applyNumberFormat="1" applyFont="1" applyFill="1" applyBorder="1" applyAlignment="1">
      <alignment horizontal="center" vertical="center" wrapText="1"/>
    </xf>
    <xf numFmtId="2" fontId="31" fillId="2" borderId="84" xfId="2" applyNumberFormat="1" applyFont="1" applyFill="1" applyBorder="1" applyAlignment="1">
      <alignment horizontal="center" vertical="center" wrapText="1"/>
    </xf>
    <xf numFmtId="4" fontId="31" fillId="2" borderId="84" xfId="0" applyNumberFormat="1" applyFont="1" applyFill="1" applyBorder="1" applyAlignment="1">
      <alignment horizontal="center" vertical="center" wrapText="1"/>
    </xf>
    <xf numFmtId="0" fontId="31" fillId="2" borderId="84" xfId="0" applyFont="1" applyFill="1" applyBorder="1" applyAlignment="1">
      <alignment horizontal="center" vertical="center" wrapText="1"/>
    </xf>
    <xf numFmtId="170" fontId="31" fillId="5" borderId="24" xfId="0" applyNumberFormat="1" applyFont="1" applyFill="1" applyBorder="1" applyAlignment="1">
      <alignment horizontal="center" vertical="center"/>
    </xf>
    <xf numFmtId="170" fontId="62" fillId="5" borderId="29" xfId="0" applyNumberFormat="1" applyFont="1" applyFill="1" applyBorder="1" applyAlignment="1">
      <alignment horizontal="center" vertical="center"/>
    </xf>
    <xf numFmtId="167" fontId="62"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2" fillId="2" borderId="31" xfId="0" applyNumberFormat="1" applyFont="1" applyFill="1" applyBorder="1" applyAlignment="1">
      <alignment horizontal="center" vertical="center"/>
    </xf>
    <xf numFmtId="167" fontId="62"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2" fillId="5" borderId="31" xfId="0" applyNumberFormat="1" applyFont="1" applyFill="1" applyBorder="1" applyAlignment="1">
      <alignment horizontal="center" vertical="center"/>
    </xf>
    <xf numFmtId="167" fontId="62"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2" fillId="2" borderId="34" xfId="0" applyNumberFormat="1" applyFont="1" applyFill="1" applyBorder="1" applyAlignment="1">
      <alignment horizontal="center" vertical="center"/>
    </xf>
    <xf numFmtId="167" fontId="62" fillId="2" borderId="26" xfId="2" applyNumberFormat="1" applyFont="1" applyFill="1" applyBorder="1" applyAlignment="1">
      <alignment horizontal="center" vertical="center"/>
    </xf>
    <xf numFmtId="170" fontId="71" fillId="5" borderId="23" xfId="0" applyNumberFormat="1" applyFont="1" applyFill="1" applyBorder="1" applyAlignment="1">
      <alignment horizontal="center" vertical="center"/>
    </xf>
    <xf numFmtId="170" fontId="71" fillId="5" borderId="40" xfId="0" applyNumberFormat="1" applyFont="1" applyFill="1" applyBorder="1" applyAlignment="1">
      <alignment horizontal="center" vertical="center"/>
    </xf>
    <xf numFmtId="167" fontId="61" fillId="5" borderId="23" xfId="2" applyNumberFormat="1" applyFont="1" applyFill="1" applyBorder="1" applyAlignment="1">
      <alignment horizontal="center" vertical="center"/>
    </xf>
    <xf numFmtId="0" fontId="73" fillId="0" borderId="0" xfId="0" applyFont="1" applyAlignment="1">
      <alignment horizontal="right" vertical="center"/>
    </xf>
    <xf numFmtId="0" fontId="36" fillId="8" borderId="0" xfId="0" quotePrefix="1" applyFont="1" applyFill="1" applyAlignment="1">
      <alignment horizontal="center" vertical="center" wrapText="1"/>
    </xf>
    <xf numFmtId="17" fontId="36" fillId="8" borderId="82" xfId="0" applyNumberFormat="1" applyFont="1" applyFill="1" applyBorder="1" applyAlignment="1">
      <alignment horizontal="center" vertical="center" wrapText="1"/>
    </xf>
    <xf numFmtId="169" fontId="36" fillId="8" borderId="82" xfId="0" applyNumberFormat="1" applyFont="1" applyFill="1" applyBorder="1" applyAlignment="1">
      <alignment horizontal="center" vertical="center" wrapText="1"/>
    </xf>
    <xf numFmtId="0" fontId="36" fillId="8" borderId="82" xfId="0" applyFont="1" applyFill="1" applyBorder="1" applyAlignment="1">
      <alignment horizontal="center" vertical="center" wrapText="1"/>
    </xf>
    <xf numFmtId="0" fontId="36" fillId="8" borderId="83" xfId="0" applyFont="1" applyFill="1" applyBorder="1" applyAlignment="1">
      <alignment horizontal="center" vertical="center" wrapText="1"/>
    </xf>
    <xf numFmtId="0" fontId="36" fillId="8" borderId="97" xfId="0" quotePrefix="1" applyFont="1" applyFill="1" applyBorder="1" applyAlignment="1">
      <alignment horizontal="left" vertical="center"/>
    </xf>
    <xf numFmtId="168" fontId="36" fillId="8" borderId="98" xfId="0" applyNumberFormat="1" applyFont="1" applyFill="1" applyBorder="1" applyAlignment="1">
      <alignment horizontal="right" vertical="center"/>
    </xf>
    <xf numFmtId="168" fontId="36" fillId="8" borderId="98" xfId="0" applyNumberFormat="1" applyFont="1" applyFill="1" applyBorder="1" applyAlignment="1">
      <alignment horizontal="left" vertical="center"/>
    </xf>
    <xf numFmtId="0" fontId="36" fillId="8" borderId="98" xfId="2" applyNumberFormat="1" applyFont="1" applyFill="1" applyBorder="1" applyAlignment="1">
      <alignment horizontal="left" vertical="center"/>
    </xf>
    <xf numFmtId="0" fontId="36" fillId="8" borderId="99" xfId="2" applyNumberFormat="1" applyFont="1" applyFill="1" applyBorder="1" applyAlignment="1">
      <alignment horizontal="center" vertical="center"/>
    </xf>
    <xf numFmtId="4" fontId="36" fillId="8" borderId="84" xfId="0" applyNumberFormat="1" applyFont="1" applyFill="1" applyBorder="1" applyAlignment="1">
      <alignment horizontal="center" vertical="center"/>
    </xf>
    <xf numFmtId="0" fontId="36" fillId="8" borderId="84" xfId="0" applyFont="1" applyFill="1" applyBorder="1" applyAlignment="1">
      <alignment horizontal="center" vertical="center"/>
    </xf>
    <xf numFmtId="17" fontId="36" fillId="8" borderId="26" xfId="0" quotePrefix="1" applyNumberFormat="1" applyFont="1" applyFill="1" applyBorder="1" applyAlignment="1">
      <alignment horizontal="center" vertical="center" wrapText="1"/>
    </xf>
    <xf numFmtId="17" fontId="36"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6" fillId="8" borderId="69" xfId="1" applyFont="1" applyFill="1" applyBorder="1" applyAlignment="1">
      <alignment horizontal="center" vertical="center" wrapText="1"/>
    </xf>
    <xf numFmtId="0" fontId="36" fillId="8" borderId="70" xfId="0" applyFont="1" applyFill="1" applyBorder="1" applyAlignment="1">
      <alignment horizontal="center" vertical="center" wrapText="1"/>
    </xf>
    <xf numFmtId="0" fontId="36" fillId="8" borderId="71" xfId="0" applyFont="1" applyFill="1" applyBorder="1" applyAlignment="1">
      <alignment horizontal="center" vertical="center" wrapText="1"/>
    </xf>
    <xf numFmtId="0" fontId="36" fillId="8" borderId="72" xfId="0" applyFont="1" applyFill="1" applyBorder="1" applyAlignment="1">
      <alignment vertical="center" wrapText="1"/>
    </xf>
    <xf numFmtId="0" fontId="36" fillId="8" borderId="73" xfId="0" applyFont="1" applyFill="1" applyBorder="1" applyAlignment="1">
      <alignment horizontal="center" vertical="center" wrapText="1"/>
    </xf>
    <xf numFmtId="0" fontId="36" fillId="8" borderId="74" xfId="0" applyFont="1" applyFill="1" applyBorder="1" applyAlignment="1">
      <alignment vertical="center" wrapText="1"/>
    </xf>
    <xf numFmtId="4" fontId="36" fillId="8" borderId="57" xfId="0" applyNumberFormat="1" applyFont="1" applyFill="1" applyBorder="1" applyAlignment="1">
      <alignment vertical="center"/>
    </xf>
    <xf numFmtId="0" fontId="36" fillId="8" borderId="93" xfId="0" applyFont="1" applyFill="1" applyBorder="1" applyAlignment="1">
      <alignment vertical="center"/>
    </xf>
    <xf numFmtId="4" fontId="36" fillId="8" borderId="93" xfId="0" applyNumberFormat="1" applyFont="1" applyFill="1" applyBorder="1" applyAlignment="1">
      <alignment vertical="center"/>
    </xf>
    <xf numFmtId="4" fontId="72" fillId="8" borderId="57" xfId="0" applyNumberFormat="1" applyFont="1" applyFill="1" applyBorder="1" applyAlignment="1">
      <alignment vertical="center"/>
    </xf>
    <xf numFmtId="17" fontId="36" fillId="10" borderId="45" xfId="6" quotePrefix="1" applyNumberFormat="1" applyFont="1" applyFill="1" applyBorder="1" applyAlignment="1">
      <alignment horizontal="center" vertical="center" wrapText="1"/>
    </xf>
    <xf numFmtId="0" fontId="36" fillId="10" borderId="45" xfId="6" quotePrefix="1" applyFont="1" applyFill="1" applyBorder="1" applyAlignment="1">
      <alignment horizontal="center" vertical="center" wrapText="1"/>
    </xf>
    <xf numFmtId="0" fontId="36" fillId="10" borderId="45" xfId="6" applyFont="1" applyFill="1" applyBorder="1" applyAlignment="1">
      <alignment horizontal="center" vertical="center" wrapText="1"/>
    </xf>
    <xf numFmtId="14" fontId="36" fillId="10" borderId="45" xfId="6" applyNumberFormat="1" applyFont="1" applyFill="1" applyBorder="1" applyAlignment="1">
      <alignment horizontal="center" vertical="center"/>
    </xf>
    <xf numFmtId="20" fontId="36" fillId="10" borderId="94" xfId="6" applyNumberFormat="1" applyFont="1" applyFill="1" applyBorder="1" applyAlignment="1">
      <alignment horizontal="center" vertical="center"/>
    </xf>
    <xf numFmtId="174" fontId="41" fillId="8" borderId="96" xfId="0" applyNumberFormat="1" applyFont="1" applyFill="1" applyBorder="1" applyAlignment="1">
      <alignment horizontal="center" vertical="center"/>
    </xf>
    <xf numFmtId="174" fontId="41" fillId="8" borderId="96" xfId="0" applyNumberFormat="1" applyFont="1" applyFill="1" applyBorder="1" applyAlignment="1">
      <alignment horizontal="center" vertical="center" wrapText="1"/>
    </xf>
    <xf numFmtId="0" fontId="36" fillId="8" borderId="72" xfId="0" applyFont="1" applyFill="1" applyBorder="1" applyAlignment="1">
      <alignment horizontal="center" vertical="center"/>
    </xf>
    <xf numFmtId="43" fontId="36" fillId="8" borderId="72" xfId="1" applyFont="1" applyFill="1" applyBorder="1" applyAlignment="1">
      <alignment horizontal="center" vertical="center"/>
    </xf>
    <xf numFmtId="4" fontId="36" fillId="8" borderId="72" xfId="0" applyNumberFormat="1" applyFont="1" applyFill="1" applyBorder="1" applyAlignment="1">
      <alignment horizontal="center" vertical="center"/>
    </xf>
    <xf numFmtId="0" fontId="36" fillId="8" borderId="72" xfId="0" applyFont="1" applyFill="1" applyBorder="1" applyAlignment="1">
      <alignment horizontal="center" vertical="center" wrapText="1"/>
    </xf>
    <xf numFmtId="0" fontId="72" fillId="8" borderId="93"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71" fillId="4" borderId="90" xfId="0" applyFont="1" applyFill="1" applyBorder="1"/>
    <xf numFmtId="43" fontId="71" fillId="4" borderId="90" xfId="1" applyFont="1" applyFill="1" applyBorder="1"/>
    <xf numFmtId="43" fontId="71" fillId="4" borderId="90" xfId="0" applyNumberFormat="1" applyFont="1" applyFill="1" applyBorder="1"/>
    <xf numFmtId="0" fontId="32" fillId="8" borderId="76" xfId="0" quotePrefix="1" applyFont="1" applyFill="1" applyBorder="1" applyAlignment="1">
      <alignment horizontal="center" vertical="center" wrapText="1"/>
    </xf>
    <xf numFmtId="0" fontId="32" fillId="8" borderId="76" xfId="0" applyFont="1" applyFill="1" applyBorder="1" applyAlignment="1">
      <alignment horizontal="center" vertical="center" wrapText="1"/>
    </xf>
    <xf numFmtId="0" fontId="32" fillId="8" borderId="77" xfId="0" applyFont="1" applyFill="1" applyBorder="1" applyAlignment="1">
      <alignment horizontal="center" vertical="center" wrapText="1"/>
    </xf>
    <xf numFmtId="0" fontId="32" fillId="8" borderId="75" xfId="0" applyFont="1" applyFill="1" applyBorder="1" applyAlignment="1">
      <alignment horizontal="center" vertical="center" wrapText="1"/>
    </xf>
    <xf numFmtId="166" fontId="65" fillId="0" borderId="0" xfId="7" applyNumberFormat="1" applyFont="1"/>
    <xf numFmtId="0" fontId="36" fillId="8" borderId="102" xfId="0" applyFont="1" applyFill="1" applyBorder="1" applyAlignment="1">
      <alignment horizontal="center" vertical="center" wrapText="1"/>
    </xf>
    <xf numFmtId="0" fontId="36" fillId="8" borderId="103" xfId="0" applyFont="1" applyFill="1" applyBorder="1" applyAlignment="1">
      <alignment horizontal="center" vertical="center" wrapText="1"/>
    </xf>
    <xf numFmtId="0" fontId="36" fillId="8" borderId="104" xfId="0" applyFont="1" applyFill="1" applyBorder="1" applyAlignment="1">
      <alignment horizontal="center" vertical="center" wrapText="1"/>
    </xf>
    <xf numFmtId="0" fontId="36" fillId="8" borderId="105"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1" fillId="0" borderId="0" xfId="0" applyFont="1"/>
    <xf numFmtId="22" fontId="30" fillId="0" borderId="0" xfId="0" applyNumberFormat="1" applyFont="1" applyAlignment="1">
      <alignment vertical="center"/>
    </xf>
    <xf numFmtId="14" fontId="0" fillId="0" borderId="0" xfId="0" applyNumberFormat="1" applyAlignment="1">
      <alignment horizontal="center"/>
    </xf>
    <xf numFmtId="20" fontId="0" fillId="0" borderId="0" xfId="0" applyNumberFormat="1" applyAlignment="1">
      <alignment horizontal="center"/>
    </xf>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6" fillId="8" borderId="92" xfId="0" applyNumberFormat="1" applyFont="1" applyFill="1" applyBorder="1" applyAlignment="1">
      <alignment vertical="center"/>
    </xf>
    <xf numFmtId="4" fontId="0" fillId="0" borderId="106" xfId="0" applyNumberFormat="1" applyBorder="1" applyAlignment="1">
      <alignment vertical="center"/>
    </xf>
    <xf numFmtId="4" fontId="0" fillId="0" borderId="107" xfId="0" applyNumberFormat="1" applyBorder="1" applyAlignment="1">
      <alignment vertical="center"/>
    </xf>
    <xf numFmtId="167" fontId="0" fillId="0" borderId="109" xfId="2" applyNumberFormat="1" applyFont="1" applyBorder="1" applyAlignment="1">
      <alignment vertical="center"/>
    </xf>
    <xf numFmtId="4" fontId="0" fillId="4" borderId="3" xfId="0" applyNumberFormat="1" applyFill="1" applyBorder="1" applyAlignment="1">
      <alignment vertical="center"/>
    </xf>
    <xf numFmtId="4" fontId="0" fillId="4" borderId="110" xfId="0" applyNumberFormat="1" applyFill="1" applyBorder="1" applyAlignment="1">
      <alignment vertical="center"/>
    </xf>
    <xf numFmtId="4" fontId="0" fillId="4" borderId="111" xfId="0" applyNumberFormat="1" applyFill="1" applyBorder="1" applyAlignment="1">
      <alignment vertical="center"/>
    </xf>
    <xf numFmtId="167" fontId="0" fillId="4" borderId="112" xfId="2" applyNumberFormat="1" applyFont="1" applyFill="1" applyBorder="1" applyAlignment="1">
      <alignment vertical="center"/>
    </xf>
    <xf numFmtId="4" fontId="0" fillId="0" borderId="3" xfId="0" applyNumberFormat="1" applyBorder="1" applyAlignment="1">
      <alignment vertical="center"/>
    </xf>
    <xf numFmtId="4" fontId="0" fillId="0" borderId="110" xfId="0" applyNumberFormat="1" applyBorder="1" applyAlignment="1">
      <alignment vertical="center"/>
    </xf>
    <xf numFmtId="4" fontId="0" fillId="0" borderId="111" xfId="0" applyNumberFormat="1" applyBorder="1" applyAlignment="1">
      <alignment vertical="center"/>
    </xf>
    <xf numFmtId="167" fontId="0" fillId="0" borderId="112" xfId="2" applyNumberFormat="1" applyFont="1" applyBorder="1" applyAlignment="1">
      <alignment vertical="center"/>
    </xf>
    <xf numFmtId="4" fontId="0" fillId="0" borderId="106" xfId="0" applyNumberFormat="1" applyBorder="1"/>
    <xf numFmtId="4" fontId="0" fillId="0" borderId="113" xfId="0" applyNumberFormat="1" applyBorder="1" applyAlignment="1">
      <alignment horizontal="right"/>
    </xf>
    <xf numFmtId="167" fontId="0" fillId="0" borderId="109" xfId="2" applyNumberFormat="1" applyFont="1" applyBorder="1"/>
    <xf numFmtId="4" fontId="0" fillId="4" borderId="3" xfId="0" applyNumberFormat="1" applyFill="1" applyBorder="1"/>
    <xf numFmtId="4" fontId="0" fillId="4" borderId="114" xfId="0" applyNumberFormat="1" applyFill="1" applyBorder="1" applyAlignment="1">
      <alignment horizontal="right"/>
    </xf>
    <xf numFmtId="167" fontId="0" fillId="4" borderId="112" xfId="2" applyNumberFormat="1" applyFont="1" applyFill="1" applyBorder="1"/>
    <xf numFmtId="4" fontId="0" fillId="0" borderId="3" xfId="0" applyNumberFormat="1" applyBorder="1"/>
    <xf numFmtId="4" fontId="0" fillId="0" borderId="114" xfId="0" applyNumberFormat="1" applyBorder="1" applyAlignment="1">
      <alignment horizontal="right"/>
    </xf>
    <xf numFmtId="167" fontId="0" fillId="0" borderId="112" xfId="2" applyNumberFormat="1" applyFont="1" applyBorder="1"/>
    <xf numFmtId="4" fontId="0" fillId="4" borderId="115" xfId="0" applyNumberFormat="1" applyFill="1" applyBorder="1"/>
    <xf numFmtId="4" fontId="0" fillId="4" borderId="116" xfId="0" applyNumberFormat="1" applyFill="1" applyBorder="1" applyAlignment="1">
      <alignment horizontal="right"/>
    </xf>
    <xf numFmtId="167" fontId="0" fillId="4" borderId="117" xfId="2" applyNumberFormat="1" applyFont="1" applyFill="1" applyBorder="1"/>
    <xf numFmtId="2" fontId="50" fillId="0" borderId="0" xfId="0" applyNumberFormat="1" applyFont="1"/>
    <xf numFmtId="0" fontId="60" fillId="0" borderId="72" xfId="0" applyFont="1" applyBorder="1" applyAlignment="1">
      <alignment horizontal="left" vertical="center" wrapText="1"/>
    </xf>
    <xf numFmtId="0" fontId="77" fillId="0" borderId="0" xfId="0" applyFont="1"/>
    <xf numFmtId="0" fontId="78" fillId="0" borderId="0" xfId="0" applyFont="1" applyAlignment="1">
      <alignment vertical="center"/>
    </xf>
    <xf numFmtId="49" fontId="77" fillId="0" borderId="0" xfId="0" applyNumberFormat="1" applyFont="1" applyAlignment="1">
      <alignment horizontal="center"/>
    </xf>
    <xf numFmtId="1" fontId="77" fillId="0" borderId="0" xfId="0" applyNumberFormat="1" applyFont="1" applyAlignment="1">
      <alignment horizontal="center"/>
    </xf>
    <xf numFmtId="49" fontId="77" fillId="0" borderId="0" xfId="0" applyNumberFormat="1" applyFont="1" applyAlignment="1">
      <alignment horizontal="left"/>
    </xf>
    <xf numFmtId="1" fontId="77" fillId="0" borderId="0" xfId="0" applyNumberFormat="1" applyFont="1" applyAlignment="1">
      <alignment horizontal="left"/>
    </xf>
    <xf numFmtId="165" fontId="77" fillId="0" borderId="0" xfId="0" applyNumberFormat="1" applyFont="1" applyAlignment="1">
      <alignment horizontal="center"/>
    </xf>
    <xf numFmtId="0" fontId="77" fillId="0" borderId="0" xfId="0" applyFont="1" applyAlignment="1">
      <alignment horizontal="center"/>
    </xf>
    <xf numFmtId="2" fontId="77" fillId="0" borderId="0" xfId="0" applyNumberFormat="1" applyFont="1"/>
    <xf numFmtId="10" fontId="77"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8" borderId="23" xfId="0" applyNumberFormat="1" applyFont="1" applyFill="1" applyBorder="1" applyAlignment="1">
      <alignment horizontal="center"/>
    </xf>
    <xf numFmtId="0" fontId="32" fillId="8" borderId="23" xfId="0" applyFont="1" applyFill="1" applyBorder="1" applyAlignment="1">
      <alignment horizontal="center" wrapText="1"/>
    </xf>
    <xf numFmtId="16" fontId="32" fillId="8" borderId="24" xfId="0" applyNumberFormat="1" applyFont="1" applyFill="1" applyBorder="1" applyAlignment="1">
      <alignment horizontal="center" vertical="center"/>
    </xf>
    <xf numFmtId="16" fontId="32" fillId="8" borderId="24" xfId="0" applyNumberFormat="1" applyFont="1" applyFill="1" applyBorder="1" applyAlignment="1">
      <alignment horizontal="center" wrapText="1"/>
    </xf>
    <xf numFmtId="20" fontId="32" fillId="8" borderId="26" xfId="0" quotePrefix="1" applyNumberFormat="1" applyFont="1" applyFill="1" applyBorder="1" applyAlignment="1">
      <alignment horizontal="center" vertical="center"/>
    </xf>
    <xf numFmtId="20" fontId="32"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174" fontId="36" fillId="8" borderId="57" xfId="0" applyNumberFormat="1" applyFont="1" applyFill="1" applyBorder="1" applyAlignment="1">
      <alignment vertical="center"/>
    </xf>
    <xf numFmtId="177" fontId="0" fillId="0" borderId="0" xfId="1" applyNumberFormat="1" applyFont="1" applyAlignment="1">
      <alignment horizontal="center"/>
    </xf>
    <xf numFmtId="177" fontId="33" fillId="4" borderId="56"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36" fillId="8" borderId="87" xfId="5" applyFont="1" applyFill="1" applyBorder="1" applyAlignment="1">
      <alignment horizontal="center" vertical="center"/>
    </xf>
    <xf numFmtId="0" fontId="36" fillId="8" borderId="91" xfId="5" applyFont="1" applyFill="1" applyBorder="1" applyAlignment="1">
      <alignment horizontal="center" vertical="center"/>
    </xf>
    <xf numFmtId="10" fontId="33" fillId="2" borderId="56" xfId="2" applyNumberFormat="1" applyFont="1" applyFill="1" applyBorder="1" applyAlignment="1">
      <alignment horizontal="right" vertical="center"/>
    </xf>
    <xf numFmtId="0" fontId="31" fillId="0" borderId="0" xfId="0" applyFont="1" applyBorder="1"/>
    <xf numFmtId="43" fontId="31" fillId="0" borderId="0" xfId="1" applyFont="1" applyBorder="1"/>
    <xf numFmtId="43" fontId="31" fillId="0" borderId="0" xfId="0" applyNumberFormat="1" applyFont="1" applyBorder="1"/>
    <xf numFmtId="0" fontId="30" fillId="0" borderId="0" xfId="0" applyFont="1" applyBorder="1"/>
    <xf numFmtId="0" fontId="0" fillId="0" borderId="0" xfId="0" applyFont="1"/>
    <xf numFmtId="17" fontId="36" fillId="8" borderId="119" xfId="0" applyNumberFormat="1" applyFont="1" applyFill="1" applyBorder="1" applyAlignment="1">
      <alignment horizontal="center" vertical="center"/>
    </xf>
    <xf numFmtId="0" fontId="36" fillId="8" borderId="121" xfId="5" applyFont="1" applyFill="1" applyBorder="1" applyAlignment="1">
      <alignment horizontal="center" vertical="center"/>
    </xf>
    <xf numFmtId="0" fontId="36" fillId="8" borderId="123" xfId="5" applyFont="1" applyFill="1" applyBorder="1" applyAlignment="1">
      <alignment horizontal="center" vertical="center"/>
    </xf>
    <xf numFmtId="0" fontId="71" fillId="4" borderId="0" xfId="0" applyFont="1" applyFill="1" applyBorder="1"/>
    <xf numFmtId="43" fontId="71" fillId="4" borderId="0" xfId="1" applyFont="1" applyFill="1" applyBorder="1"/>
    <xf numFmtId="0" fontId="31" fillId="0" borderId="0" xfId="0" applyFont="1" applyBorder="1" applyAlignment="1">
      <alignment vertical="center"/>
    </xf>
    <xf numFmtId="43" fontId="31" fillId="0" borderId="0" xfId="1" applyFont="1" applyBorder="1" applyAlignment="1">
      <alignment vertical="center"/>
    </xf>
    <xf numFmtId="0" fontId="31" fillId="2" borderId="0" xfId="0" applyFont="1" applyFill="1" applyBorder="1"/>
    <xf numFmtId="43" fontId="31" fillId="2" borderId="0" xfId="1" applyFont="1" applyFill="1" applyBorder="1"/>
    <xf numFmtId="4" fontId="36" fillId="8" borderId="126" xfId="0" applyNumberFormat="1" applyFont="1" applyFill="1" applyBorder="1" applyAlignment="1">
      <alignment vertical="center"/>
    </xf>
    <xf numFmtId="4" fontId="72" fillId="8" borderId="126" xfId="0" applyNumberFormat="1" applyFont="1" applyFill="1" applyBorder="1" applyAlignment="1">
      <alignment vertical="center"/>
    </xf>
    <xf numFmtId="0" fontId="36" fillId="8" borderId="125" xfId="0" applyFont="1" applyFill="1" applyBorder="1" applyAlignment="1">
      <alignment vertical="center"/>
    </xf>
    <xf numFmtId="0" fontId="0" fillId="0" borderId="127" xfId="0" applyBorder="1"/>
    <xf numFmtId="0" fontId="36" fillId="10" borderId="131" xfId="6" applyFont="1" applyFill="1" applyBorder="1" applyAlignment="1">
      <alignment horizontal="center" vertical="center" wrapText="1"/>
    </xf>
    <xf numFmtId="0" fontId="36" fillId="10" borderId="131" xfId="6" applyFont="1" applyFill="1" applyBorder="1" applyAlignment="1">
      <alignment horizontal="center" vertical="center"/>
    </xf>
    <xf numFmtId="0" fontId="36" fillId="10" borderId="133" xfId="6" applyFont="1" applyFill="1" applyBorder="1" applyAlignment="1">
      <alignment horizontal="center" vertical="center"/>
    </xf>
    <xf numFmtId="20" fontId="36" fillId="10" borderId="135" xfId="6" applyNumberFormat="1" applyFont="1" applyFill="1" applyBorder="1" applyAlignment="1">
      <alignment horizontal="center" vertical="center"/>
    </xf>
    <xf numFmtId="0" fontId="36" fillId="10" borderId="136" xfId="6" applyFont="1" applyFill="1" applyBorder="1" applyAlignment="1">
      <alignment horizontal="center" vertical="center"/>
    </xf>
    <xf numFmtId="10" fontId="36" fillId="8" borderId="126" xfId="2" applyNumberFormat="1" applyFont="1" applyFill="1" applyBorder="1" applyAlignment="1">
      <alignment vertical="center"/>
    </xf>
    <xf numFmtId="10" fontId="72" fillId="8" borderId="126" xfId="2" applyNumberFormat="1" applyFont="1" applyFill="1" applyBorder="1" applyAlignment="1">
      <alignment vertical="center"/>
    </xf>
    <xf numFmtId="0" fontId="72" fillId="8" borderId="125" xfId="0" applyFont="1" applyFill="1" applyBorder="1" applyAlignment="1">
      <alignment vertical="center"/>
    </xf>
    <xf numFmtId="0" fontId="21" fillId="2" borderId="90" xfId="0" quotePrefix="1" applyFont="1" applyFill="1" applyBorder="1" applyAlignment="1">
      <alignment vertical="center"/>
    </xf>
    <xf numFmtId="0" fontId="30" fillId="0" borderId="90" xfId="0" applyFont="1" applyBorder="1"/>
    <xf numFmtId="0" fontId="37"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4" fillId="0" borderId="0" xfId="0" applyFont="1" applyAlignment="1">
      <alignment horizontal="center" vertical="center"/>
    </xf>
    <xf numFmtId="0" fontId="79" fillId="2" borderId="0" xfId="0" applyFont="1" applyFill="1" applyAlignment="1">
      <alignment horizontal="left" vertical="center" wrapText="1"/>
    </xf>
    <xf numFmtId="0" fontId="71" fillId="0" borderId="30" xfId="0" applyFont="1" applyBorder="1"/>
    <xf numFmtId="10" fontId="31" fillId="0" borderId="31" xfId="2" applyNumberFormat="1" applyFont="1" applyBorder="1"/>
    <xf numFmtId="0" fontId="71" fillId="4" borderId="139" xfId="0" applyFont="1" applyFill="1" applyBorder="1"/>
    <xf numFmtId="10" fontId="71" fillId="4" borderId="140" xfId="2" applyNumberFormat="1" applyFont="1" applyFill="1" applyBorder="1"/>
    <xf numFmtId="0" fontId="71" fillId="0" borderId="30" xfId="0" applyFont="1" applyBorder="1" applyAlignment="1">
      <alignment vertical="center" wrapText="1"/>
    </xf>
    <xf numFmtId="43" fontId="31" fillId="0" borderId="31" xfId="1" applyFont="1" applyBorder="1"/>
    <xf numFmtId="43" fontId="71" fillId="4" borderId="140" xfId="1" applyFont="1" applyFill="1" applyBorder="1"/>
    <xf numFmtId="0" fontId="31" fillId="0" borderId="31" xfId="0" applyFont="1" applyBorder="1"/>
    <xf numFmtId="0" fontId="71" fillId="2" borderId="30" xfId="0" applyFont="1" applyFill="1" applyBorder="1"/>
    <xf numFmtId="43" fontId="31" fillId="2" borderId="31" xfId="1" applyFont="1" applyFill="1" applyBorder="1"/>
    <xf numFmtId="0" fontId="71" fillId="4" borderId="141" xfId="0" applyFont="1" applyFill="1" applyBorder="1"/>
    <xf numFmtId="0" fontId="71" fillId="4" borderId="125" xfId="0" applyFont="1" applyFill="1" applyBorder="1"/>
    <xf numFmtId="43" fontId="71" fillId="4" borderId="125" xfId="1" applyFont="1" applyFill="1" applyBorder="1"/>
    <xf numFmtId="43" fontId="71" fillId="4" borderId="142" xfId="1" applyFont="1" applyFill="1" applyBorder="1"/>
    <xf numFmtId="0" fontId="71" fillId="0" borderId="30" xfId="0" applyFont="1" applyBorder="1" applyAlignment="1">
      <alignment wrapText="1"/>
    </xf>
    <xf numFmtId="43" fontId="31" fillId="0" borderId="31" xfId="1" applyFont="1" applyBorder="1" applyAlignment="1">
      <alignment vertical="center"/>
    </xf>
    <xf numFmtId="0" fontId="31" fillId="0" borderId="143" xfId="0" applyFont="1" applyBorder="1"/>
    <xf numFmtId="43" fontId="31" fillId="0" borderId="144" xfId="1" applyFont="1" applyBorder="1"/>
    <xf numFmtId="0" fontId="31" fillId="0" borderId="30" xfId="0" applyFont="1" applyBorder="1"/>
    <xf numFmtId="0" fontId="71" fillId="4" borderId="30" xfId="0" applyFont="1" applyFill="1" applyBorder="1"/>
    <xf numFmtId="43" fontId="71" fillId="4" borderId="31" xfId="1" applyFont="1" applyFill="1" applyBorder="1"/>
    <xf numFmtId="0" fontId="71" fillId="0" borderId="143"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1" fillId="0" borderId="144" xfId="2" applyFont="1" applyBorder="1"/>
    <xf numFmtId="10" fontId="31" fillId="0" borderId="144" xfId="2" applyNumberFormat="1" applyFont="1" applyBorder="1"/>
    <xf numFmtId="43" fontId="62" fillId="0" borderId="145" xfId="1" applyFont="1" applyBorder="1" applyAlignment="1">
      <alignment vertical="center" wrapText="1"/>
    </xf>
    <xf numFmtId="0" fontId="62" fillId="0" borderId="145" xfId="0" applyFont="1" applyBorder="1" applyAlignment="1">
      <alignment vertical="center" wrapText="1"/>
    </xf>
    <xf numFmtId="4" fontId="13" fillId="0" borderId="145" xfId="0" applyNumberFormat="1" applyFont="1" applyBorder="1" applyAlignment="1">
      <alignment horizontal="center" vertical="center"/>
    </xf>
    <xf numFmtId="167" fontId="13" fillId="0" borderId="145" xfId="2" applyNumberFormat="1" applyFont="1" applyBorder="1" applyAlignment="1">
      <alignment horizontal="center" vertical="center"/>
    </xf>
    <xf numFmtId="0" fontId="36" fillId="8" borderId="147" xfId="0" applyFont="1" applyFill="1" applyBorder="1" applyAlignment="1">
      <alignment horizontal="center" vertical="center" wrapText="1"/>
    </xf>
    <xf numFmtId="0" fontId="36" fillId="8" borderId="114" xfId="0" applyFont="1" applyFill="1" applyBorder="1" applyAlignment="1">
      <alignment horizontal="center" vertical="center" wrapText="1"/>
    </xf>
    <xf numFmtId="0" fontId="36" fillId="8" borderId="148" xfId="0" applyFont="1" applyFill="1" applyBorder="1" applyAlignment="1">
      <alignment horizontal="center" vertical="center" wrapText="1"/>
    </xf>
    <xf numFmtId="0" fontId="61" fillId="4" borderId="150" xfId="0" applyFont="1" applyFill="1" applyBorder="1" applyAlignment="1">
      <alignment horizontal="center" vertical="center"/>
    </xf>
    <xf numFmtId="4" fontId="61" fillId="4" borderId="151" xfId="0" applyNumberFormat="1" applyFont="1" applyFill="1" applyBorder="1" applyAlignment="1">
      <alignment horizontal="center" vertical="center"/>
    </xf>
    <xf numFmtId="0" fontId="31" fillId="0" borderId="0" xfId="0" applyFont="1" applyAlignment="1">
      <alignment vertical="center"/>
    </xf>
    <xf numFmtId="0" fontId="80" fillId="0" borderId="0" xfId="0" applyFont="1"/>
    <xf numFmtId="0" fontId="80" fillId="0" borderId="0" xfId="0" applyFont="1" applyAlignment="1">
      <alignment horizontal="right"/>
    </xf>
    <xf numFmtId="0" fontId="81" fillId="4" borderId="149" xfId="0" applyFont="1" applyFill="1" applyBorder="1" applyAlignment="1">
      <alignment vertical="center"/>
    </xf>
    <xf numFmtId="0" fontId="60" fillId="2" borderId="84" xfId="0" quotePrefix="1" applyFont="1" applyFill="1" applyBorder="1" applyAlignment="1">
      <alignment vertical="center" wrapText="1"/>
    </xf>
    <xf numFmtId="0" fontId="27" fillId="4" borderId="49" xfId="0" applyFont="1" applyFill="1" applyBorder="1" applyAlignment="1">
      <alignment vertical="center" wrapText="1"/>
    </xf>
    <xf numFmtId="4" fontId="13" fillId="0" borderId="153" xfId="0" applyNumberFormat="1" applyFont="1" applyBorder="1" applyAlignment="1">
      <alignment horizontal="center" vertical="center"/>
    </xf>
    <xf numFmtId="0" fontId="81" fillId="0" borderId="149" xfId="0" applyFont="1" applyFill="1" applyBorder="1" applyAlignment="1">
      <alignment vertical="center" wrapText="1"/>
    </xf>
    <xf numFmtId="0" fontId="62" fillId="0" borderId="150" xfId="0" applyFont="1" applyFill="1" applyBorder="1" applyAlignment="1">
      <alignment horizontal="center" vertical="center"/>
    </xf>
    <xf numFmtId="0" fontId="62" fillId="0" borderId="150" xfId="2" applyNumberFormat="1" applyFont="1" applyFill="1" applyBorder="1" applyAlignment="1">
      <alignment horizontal="center" vertical="center"/>
    </xf>
    <xf numFmtId="0" fontId="61" fillId="0" borderId="150" xfId="0" applyFont="1" applyFill="1" applyBorder="1" applyAlignment="1">
      <alignment horizontal="center" vertical="center"/>
    </xf>
    <xf numFmtId="4" fontId="62" fillId="0" borderId="151" xfId="0" applyNumberFormat="1" applyFont="1" applyFill="1" applyBorder="1" applyAlignment="1">
      <alignment horizontal="center" vertical="center"/>
    </xf>
    <xf numFmtId="0" fontId="62" fillId="0" borderId="150" xfId="0" applyFont="1" applyFill="1" applyBorder="1" applyAlignment="1">
      <alignment horizontal="center" vertical="center" wrapText="1"/>
    </xf>
    <xf numFmtId="0" fontId="81" fillId="0" borderId="149" xfId="0" applyFont="1" applyFill="1" applyBorder="1" applyAlignment="1">
      <alignment vertical="center"/>
    </xf>
    <xf numFmtId="0" fontId="75" fillId="0" borderId="0" xfId="0" applyFont="1"/>
    <xf numFmtId="2" fontId="75" fillId="0" borderId="0" xfId="0" applyNumberFormat="1" applyFont="1" applyAlignment="1">
      <alignment horizontal="center" vertical="center" wrapText="1"/>
    </xf>
    <xf numFmtId="2" fontId="75" fillId="0" borderId="0" xfId="0" quotePrefix="1" applyNumberFormat="1" applyFont="1" applyAlignment="1">
      <alignment horizontal="center" vertical="center" wrapText="1"/>
    </xf>
    <xf numFmtId="17" fontId="75" fillId="0" borderId="0" xfId="0" quotePrefix="1" applyNumberFormat="1" applyFont="1" applyAlignment="1">
      <alignment horizontal="center" vertical="center" wrapText="1"/>
    </xf>
    <xf numFmtId="0" fontId="75" fillId="0" borderId="0" xfId="0" quotePrefix="1" applyFont="1" applyAlignment="1">
      <alignment horizontal="center" vertical="center" wrapText="1"/>
    </xf>
    <xf numFmtId="2" fontId="75" fillId="0" borderId="0" xfId="0" applyNumberFormat="1" applyFont="1" applyAlignment="1">
      <alignment horizontal="left"/>
    </xf>
    <xf numFmtId="2" fontId="74" fillId="0" borderId="0" xfId="0" applyNumberFormat="1" applyFont="1" applyAlignment="1">
      <alignment horizontal="center"/>
    </xf>
    <xf numFmtId="2" fontId="75" fillId="0" borderId="0" xfId="0" applyNumberFormat="1" applyFont="1" applyAlignment="1">
      <alignment horizontal="center"/>
    </xf>
    <xf numFmtId="43" fontId="75" fillId="0" borderId="0" xfId="1" applyFont="1" applyAlignment="1">
      <alignment horizontal="left"/>
    </xf>
    <xf numFmtId="0" fontId="75" fillId="0" borderId="0" xfId="0" applyFont="1" applyAlignment="1">
      <alignment vertical="top" wrapText="1"/>
    </xf>
    <xf numFmtId="166" fontId="50" fillId="0" borderId="0" xfId="0" applyNumberFormat="1" applyFont="1" applyAlignment="1">
      <alignment vertical="center"/>
    </xf>
    <xf numFmtId="172" fontId="67" fillId="7" borderId="0" xfId="3" applyNumberFormat="1" applyFont="1" applyFill="1" applyAlignment="1">
      <alignment horizontal="center"/>
    </xf>
    <xf numFmtId="2" fontId="67" fillId="7" borderId="0" xfId="3" applyNumberFormat="1" applyFont="1" applyFill="1"/>
    <xf numFmtId="2" fontId="67" fillId="7" borderId="0" xfId="3" applyNumberFormat="1" applyFont="1" applyFill="1" applyAlignment="1">
      <alignment horizontal="center"/>
    </xf>
    <xf numFmtId="175" fontId="82" fillId="7" borderId="0" xfId="0" applyNumberFormat="1" applyFont="1" applyFill="1" applyAlignment="1">
      <alignment vertical="center"/>
    </xf>
    <xf numFmtId="175" fontId="65" fillId="0" borderId="0" xfId="0" applyNumberFormat="1" applyFont="1" applyAlignment="1">
      <alignment vertical="center"/>
    </xf>
    <xf numFmtId="0" fontId="82" fillId="0" borderId="0" xfId="0" applyFont="1"/>
    <xf numFmtId="176" fontId="21" fillId="0" borderId="39" xfId="2" applyNumberFormat="1" applyFont="1" applyBorder="1" applyAlignment="1">
      <alignment horizontal="right" vertical="center"/>
    </xf>
    <xf numFmtId="0" fontId="0" fillId="0" borderId="0" xfId="0"/>
    <xf numFmtId="0" fontId="83" fillId="0" borderId="0" xfId="0" applyFont="1"/>
    <xf numFmtId="166" fontId="65" fillId="7" borderId="0" xfId="0" applyNumberFormat="1" applyFont="1" applyFill="1"/>
    <xf numFmtId="0" fontId="83" fillId="0" borderId="0" xfId="0" applyFont="1" applyAlignment="1">
      <alignment horizontal="center"/>
    </xf>
    <xf numFmtId="175" fontId="83" fillId="0" borderId="0" xfId="0" applyNumberFormat="1" applyFont="1" applyAlignment="1">
      <alignment horizontal="center"/>
    </xf>
    <xf numFmtId="17" fontId="52" fillId="0" borderId="0" xfId="0" applyNumberFormat="1" applyFont="1" applyAlignment="1">
      <alignment horizontal="center" vertical="center"/>
    </xf>
    <xf numFmtId="2" fontId="52" fillId="0" borderId="0" xfId="0" applyNumberFormat="1" applyFont="1" applyAlignment="1">
      <alignment horizontal="center" vertical="center"/>
    </xf>
    <xf numFmtId="2" fontId="52" fillId="0" borderId="0" xfId="0" quotePrefix="1" applyNumberFormat="1" applyFont="1" applyAlignment="1">
      <alignment horizontal="center" vertical="center" wrapText="1"/>
    </xf>
    <xf numFmtId="0" fontId="13" fillId="2" borderId="0" xfId="0" applyFont="1" applyFill="1" applyAlignment="1">
      <alignment horizontal="left" vertical="center"/>
    </xf>
    <xf numFmtId="43" fontId="21" fillId="4" borderId="40" xfId="1" applyNumberFormat="1" applyFont="1" applyFill="1" applyBorder="1" applyAlignment="1">
      <alignment horizontal="right" vertical="center"/>
    </xf>
    <xf numFmtId="0" fontId="32" fillId="3" borderId="94" xfId="0" applyFont="1" applyFill="1" applyBorder="1" applyAlignment="1">
      <alignment vertical="center"/>
    </xf>
    <xf numFmtId="174" fontId="32" fillId="3" borderId="94"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1" fillId="4" borderId="139" xfId="0" applyFont="1" applyFill="1" applyBorder="1" applyAlignment="1">
      <alignment wrapText="1"/>
    </xf>
    <xf numFmtId="0" fontId="84" fillId="0" borderId="96" xfId="0" applyFont="1" applyBorder="1"/>
    <xf numFmtId="174" fontId="84" fillId="0" borderId="96" xfId="0" applyNumberFormat="1" applyFont="1" applyBorder="1"/>
    <xf numFmtId="174" fontId="84" fillId="11" borderId="96" xfId="0" applyNumberFormat="1" applyFont="1" applyFill="1" applyBorder="1"/>
    <xf numFmtId="43" fontId="62" fillId="0" borderId="153" xfId="1" applyFont="1" applyBorder="1" applyAlignment="1">
      <alignment vertical="center" wrapText="1"/>
    </xf>
    <xf numFmtId="0" fontId="62" fillId="0" borderId="153" xfId="0" applyFont="1" applyBorder="1" applyAlignment="1">
      <alignment vertical="center" wrapText="1"/>
    </xf>
    <xf numFmtId="0" fontId="85" fillId="0" borderId="0" xfId="0" applyFont="1" applyAlignment="1">
      <alignment vertical="center"/>
    </xf>
    <xf numFmtId="49" fontId="64" fillId="0" borderId="0" xfId="0" applyNumberFormat="1" applyFont="1" applyAlignment="1">
      <alignment horizontal="right"/>
    </xf>
    <xf numFmtId="1" fontId="64" fillId="0" borderId="0" xfId="0" applyNumberFormat="1" applyFont="1" applyAlignment="1">
      <alignment horizontal="right"/>
    </xf>
    <xf numFmtId="0" fontId="64" fillId="0" borderId="0" xfId="0" applyFont="1" applyAlignment="1">
      <alignment horizontal="right"/>
    </xf>
    <xf numFmtId="1" fontId="30"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2" fillId="8" borderId="125" xfId="0" applyFont="1" applyFill="1" applyBorder="1" applyAlignment="1">
      <alignment vertical="center"/>
    </xf>
    <xf numFmtId="0" fontId="86" fillId="0" borderId="0" xfId="0" applyFont="1"/>
    <xf numFmtId="175" fontId="86" fillId="0" borderId="0" xfId="0" applyNumberFormat="1" applyFont="1"/>
    <xf numFmtId="175" fontId="86" fillId="0" borderId="0" xfId="0" applyNumberFormat="1" applyFont="1" applyAlignment="1">
      <alignment horizontal="center"/>
    </xf>
    <xf numFmtId="0" fontId="86" fillId="0" borderId="0" xfId="0" applyFont="1" applyAlignment="1">
      <alignment horizontal="center"/>
    </xf>
    <xf numFmtId="0" fontId="27" fillId="4" borderId="0" xfId="0" applyFont="1" applyFill="1" applyBorder="1" applyAlignment="1">
      <alignment vertical="center"/>
    </xf>
    <xf numFmtId="167" fontId="33" fillId="4" borderId="0" xfId="2" applyNumberFormat="1" applyFont="1" applyFill="1" applyBorder="1" applyAlignment="1">
      <alignment vertical="center"/>
    </xf>
    <xf numFmtId="170" fontId="27" fillId="4" borderId="0" xfId="0" applyNumberFormat="1" applyFont="1" applyFill="1" applyBorder="1" applyAlignment="1">
      <alignment vertical="center"/>
    </xf>
    <xf numFmtId="1" fontId="64" fillId="0" borderId="0" xfId="0" applyNumberFormat="1" applyFont="1"/>
    <xf numFmtId="9" fontId="21" fillId="4" borderId="78" xfId="2" applyFont="1" applyFill="1" applyBorder="1" applyAlignment="1">
      <alignment horizontal="center" vertical="center"/>
    </xf>
    <xf numFmtId="43" fontId="62" fillId="0" borderId="152" xfId="1" applyFont="1" applyBorder="1" applyAlignment="1">
      <alignment horizontal="center" vertical="center" wrapText="1"/>
    </xf>
    <xf numFmtId="174" fontId="84" fillId="0" borderId="96" xfId="0" applyNumberFormat="1" applyFont="1" applyBorder="1" applyAlignment="1">
      <alignment horizontal="center"/>
    </xf>
    <xf numFmtId="174" fontId="84" fillId="11" borderId="96" xfId="0" applyNumberFormat="1" applyFont="1" applyFill="1" applyBorder="1" applyAlignment="1">
      <alignment horizontal="center"/>
    </xf>
    <xf numFmtId="0" fontId="31" fillId="0" borderId="0" xfId="0" applyFont="1" applyAlignment="1">
      <alignment vertical="center" wrapText="1"/>
    </xf>
    <xf numFmtId="43" fontId="33" fillId="4" borderId="54" xfId="1" applyNumberFormat="1" applyFont="1" applyFill="1" applyBorder="1" applyAlignment="1">
      <alignment horizontal="right" vertical="center"/>
    </xf>
    <xf numFmtId="4" fontId="0" fillId="2" borderId="108" xfId="0" applyNumberFormat="1" applyFill="1" applyBorder="1" applyAlignment="1">
      <alignment vertical="center"/>
    </xf>
    <xf numFmtId="4" fontId="0" fillId="0" borderId="113" xfId="0" applyNumberFormat="1" applyFill="1" applyBorder="1" applyAlignment="1">
      <alignment horizontal="right"/>
    </xf>
    <xf numFmtId="0" fontId="65" fillId="0" borderId="0" xfId="0" applyFont="1" applyAlignment="1">
      <alignment horizontal="right"/>
    </xf>
    <xf numFmtId="0" fontId="83" fillId="0" borderId="0" xfId="0" applyFont="1" applyAlignment="1">
      <alignment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1" fillId="5" borderId="38" xfId="0" applyFont="1" applyFill="1" applyBorder="1" applyAlignment="1">
      <alignment horizontal="left" vertical="center"/>
    </xf>
    <xf numFmtId="0" fontId="61" fillId="5" borderId="40" xfId="0" applyFont="1" applyFill="1" applyBorder="1" applyAlignment="1">
      <alignment horizontal="left" vertical="center"/>
    </xf>
    <xf numFmtId="0" fontId="36" fillId="8" borderId="34" xfId="0" applyFont="1" applyFill="1" applyBorder="1" applyAlignment="1">
      <alignment horizontal="center" vertical="center" wrapText="1"/>
    </xf>
    <xf numFmtId="0" fontId="36" fillId="8"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1" fillId="5" borderId="27" xfId="0" applyFont="1" applyFill="1" applyBorder="1" applyAlignment="1">
      <alignment horizontal="left" vertical="center"/>
    </xf>
    <xf numFmtId="0" fontId="61" fillId="5" borderId="29" xfId="0" applyFont="1" applyFill="1" applyBorder="1" applyAlignment="1">
      <alignment horizontal="left" vertical="center"/>
    </xf>
    <xf numFmtId="0" fontId="61" fillId="2" borderId="30" xfId="0" applyFont="1" applyFill="1" applyBorder="1" applyAlignment="1">
      <alignment horizontal="left" vertical="center"/>
    </xf>
    <xf numFmtId="0" fontId="61" fillId="2" borderId="31" xfId="0" applyFont="1" applyFill="1" applyBorder="1" applyAlignment="1">
      <alignment horizontal="left" vertical="center"/>
    </xf>
    <xf numFmtId="0" fontId="61" fillId="5" borderId="30" xfId="0" applyFont="1" applyFill="1" applyBorder="1" applyAlignment="1">
      <alignment horizontal="left" vertical="center"/>
    </xf>
    <xf numFmtId="0" fontId="61" fillId="5" borderId="31" xfId="0" applyFont="1" applyFill="1" applyBorder="1" applyAlignment="1">
      <alignment horizontal="left" vertical="center"/>
    </xf>
    <xf numFmtId="0" fontId="61" fillId="2" borderId="32" xfId="0" applyFont="1" applyFill="1" applyBorder="1" applyAlignment="1">
      <alignment horizontal="left" vertical="center"/>
    </xf>
    <xf numFmtId="0" fontId="61" fillId="2" borderId="34" xfId="0" applyFont="1" applyFill="1" applyBorder="1" applyAlignment="1">
      <alignment horizontal="left" vertical="center"/>
    </xf>
    <xf numFmtId="0" fontId="62" fillId="2" borderId="0" xfId="0" quotePrefix="1" applyFont="1" applyFill="1" applyAlignment="1">
      <alignment horizontal="left" vertical="center"/>
    </xf>
    <xf numFmtId="0" fontId="62"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4" fillId="0" borderId="0" xfId="0" applyFont="1" applyAlignment="1">
      <alignment horizontal="left"/>
    </xf>
    <xf numFmtId="0" fontId="6" fillId="2" borderId="0" xfId="0" applyFont="1" applyFill="1" applyAlignment="1">
      <alignment horizontal="center"/>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8" borderId="23" xfId="1" applyFont="1" applyFill="1" applyBorder="1" applyAlignment="1">
      <alignment horizontal="center" vertical="center"/>
    </xf>
    <xf numFmtId="17" fontId="32" fillId="8" borderId="23" xfId="0" applyNumberFormat="1" applyFont="1" applyFill="1" applyBorder="1" applyAlignment="1">
      <alignment horizontal="center" vertical="center"/>
    </xf>
    <xf numFmtId="0" fontId="32" fillId="8" borderId="23" xfId="0" applyFont="1" applyFill="1" applyBorder="1" applyAlignment="1">
      <alignment horizontal="center" vertical="center"/>
    </xf>
    <xf numFmtId="167" fontId="32" fillId="8" borderId="23" xfId="2" applyNumberFormat="1" applyFont="1" applyFill="1" applyBorder="1" applyAlignment="1">
      <alignment horizontal="center" vertical="center" wrapText="1"/>
    </xf>
    <xf numFmtId="167" fontId="32" fillId="8" borderId="23" xfId="2" applyNumberFormat="1" applyFont="1" applyFill="1" applyBorder="1" applyAlignment="1">
      <alignment horizontal="center" vertical="center"/>
    </xf>
    <xf numFmtId="0" fontId="32"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01" xfId="0" applyNumberFormat="1" applyFont="1" applyFill="1" applyBorder="1" applyAlignment="1">
      <alignment horizontal="left" vertical="center" wrapText="1"/>
    </xf>
    <xf numFmtId="0" fontId="76" fillId="2" borderId="0" xfId="0" applyFont="1" applyFill="1" applyAlignment="1">
      <alignment horizontal="left" vertical="center"/>
    </xf>
    <xf numFmtId="43" fontId="62" fillId="0" borderId="152" xfId="1" applyFont="1" applyBorder="1" applyAlignment="1">
      <alignment horizontal="center" vertical="center" wrapText="1"/>
    </xf>
    <xf numFmtId="43" fontId="62" fillId="0" borderId="155" xfId="1" applyFont="1" applyBorder="1" applyAlignment="1">
      <alignment horizontal="center" vertical="center" wrapText="1"/>
    </xf>
    <xf numFmtId="43" fontId="62" fillId="0" borderId="154" xfId="1" applyFont="1" applyBorder="1" applyAlignment="1">
      <alignment horizontal="center" vertical="center" wrapText="1"/>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43" fontId="36" fillId="8" borderId="85" xfId="1" applyFont="1" applyFill="1" applyBorder="1" applyAlignment="1">
      <alignment horizontal="center" vertical="center" wrapText="1"/>
    </xf>
    <xf numFmtId="43" fontId="36" fillId="8" borderId="146"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6" xfId="0" applyFont="1" applyFill="1" applyBorder="1" applyAlignment="1">
      <alignment horizontal="left" vertical="center"/>
    </xf>
    <xf numFmtId="0" fontId="37" fillId="2" borderId="0" xfId="0" quotePrefix="1" applyFont="1" applyFill="1" applyBorder="1" applyAlignment="1">
      <alignment horizontal="left"/>
    </xf>
    <xf numFmtId="0" fontId="27" fillId="0" borderId="0" xfId="0" applyFont="1" applyAlignment="1">
      <alignment horizontal="left" vertical="center" wrapText="1"/>
    </xf>
    <xf numFmtId="0" fontId="36" fillId="8" borderId="118" xfId="5" applyFont="1" applyFill="1" applyBorder="1" applyAlignment="1">
      <alignment horizontal="center" vertical="center"/>
    </xf>
    <xf numFmtId="0" fontId="36" fillId="8" borderId="120" xfId="5" applyFont="1" applyFill="1" applyBorder="1" applyAlignment="1">
      <alignment horizontal="center" vertical="center"/>
    </xf>
    <xf numFmtId="0" fontId="36" fillId="8" borderId="122" xfId="5" applyFont="1" applyFill="1" applyBorder="1" applyAlignment="1">
      <alignment horizontal="center" vertical="center"/>
    </xf>
    <xf numFmtId="0" fontId="36" fillId="8" borderId="88" xfId="5" applyFont="1" applyFill="1" applyBorder="1" applyAlignment="1">
      <alignment horizontal="center" vertical="center"/>
    </xf>
    <xf numFmtId="0" fontId="36" fillId="8" borderId="87" xfId="5" applyFont="1" applyFill="1" applyBorder="1" applyAlignment="1">
      <alignment horizontal="center" vertical="center"/>
    </xf>
    <xf numFmtId="0" fontId="36" fillId="8" borderId="91" xfId="5" applyFont="1" applyFill="1" applyBorder="1" applyAlignment="1">
      <alignment horizontal="center" vertical="center"/>
    </xf>
    <xf numFmtId="17" fontId="36" fillId="8" borderId="88" xfId="0" applyNumberFormat="1" applyFont="1" applyFill="1" applyBorder="1" applyAlignment="1">
      <alignment horizontal="center" vertical="center"/>
    </xf>
    <xf numFmtId="0" fontId="36" fillId="8" borderId="87" xfId="0" applyFont="1" applyFill="1" applyBorder="1" applyAlignment="1">
      <alignment horizontal="center" vertical="center"/>
    </xf>
    <xf numFmtId="0" fontId="36" fillId="8" borderId="44" xfId="5" applyFont="1" applyFill="1" applyBorder="1" applyAlignment="1">
      <alignment horizontal="center" vertical="center" wrapText="1"/>
    </xf>
    <xf numFmtId="0" fontId="36" fillId="8" borderId="88" xfId="5" applyFont="1" applyFill="1" applyBorder="1" applyAlignment="1">
      <alignment horizontal="center" vertical="center" wrapText="1"/>
    </xf>
    <xf numFmtId="0" fontId="36" fillId="8" borderId="124" xfId="5" applyFont="1" applyFill="1" applyBorder="1" applyAlignment="1">
      <alignment horizontal="center" vertical="center"/>
    </xf>
    <xf numFmtId="0" fontId="36" fillId="8" borderId="44" xfId="5" applyFont="1" applyFill="1" applyBorder="1" applyAlignment="1">
      <alignment horizontal="center" vertical="center"/>
    </xf>
    <xf numFmtId="0" fontId="31" fillId="0" borderId="0" xfId="0" applyFont="1" applyAlignment="1">
      <alignment horizontal="left" vertical="center" wrapText="1"/>
    </xf>
    <xf numFmtId="0" fontId="31" fillId="0" borderId="0" xfId="0" applyFont="1" applyBorder="1" applyAlignment="1">
      <alignment horizontal="left" vertical="center" wrapText="1"/>
    </xf>
    <xf numFmtId="0" fontId="36" fillId="10" borderId="128" xfId="6" applyFont="1" applyFill="1" applyBorder="1" applyAlignment="1">
      <alignment horizontal="center" vertical="center"/>
    </xf>
    <xf numFmtId="0" fontId="36" fillId="10" borderId="130" xfId="6" applyFont="1" applyFill="1" applyBorder="1" applyAlignment="1">
      <alignment horizontal="center" vertical="center"/>
    </xf>
    <xf numFmtId="0" fontId="36" fillId="10" borderId="134" xfId="6" applyFont="1" applyFill="1" applyBorder="1" applyAlignment="1">
      <alignment horizontal="center" vertical="center"/>
    </xf>
    <xf numFmtId="0" fontId="36" fillId="10" borderId="95" xfId="6" applyFont="1" applyFill="1" applyBorder="1" applyAlignment="1">
      <alignment horizontal="center" vertical="center"/>
    </xf>
    <xf numFmtId="0" fontId="36" fillId="10" borderId="45" xfId="6" applyFont="1" applyFill="1" applyBorder="1" applyAlignment="1">
      <alignment horizontal="center" vertical="center"/>
    </xf>
    <xf numFmtId="0" fontId="36" fillId="10" borderId="135" xfId="6" applyFont="1" applyFill="1" applyBorder="1" applyAlignment="1">
      <alignment horizontal="center" vertical="center"/>
    </xf>
    <xf numFmtId="0" fontId="36" fillId="10" borderId="129" xfId="6" applyFont="1" applyFill="1" applyBorder="1" applyAlignment="1">
      <alignment horizontal="center" vertical="center"/>
    </xf>
    <xf numFmtId="0" fontId="36" fillId="10" borderId="137" xfId="6" applyFont="1" applyFill="1" applyBorder="1" applyAlignment="1">
      <alignment horizontal="center" vertical="center"/>
    </xf>
    <xf numFmtId="0" fontId="36" fillId="10" borderId="132" xfId="6" applyFont="1" applyFill="1" applyBorder="1" applyAlignment="1">
      <alignment horizontal="center" vertical="center"/>
    </xf>
    <xf numFmtId="0" fontId="36" fillId="10" borderId="18" xfId="6" applyFont="1" applyFill="1" applyBorder="1" applyAlignment="1">
      <alignment horizontal="center" vertical="center"/>
    </xf>
    <xf numFmtId="0" fontId="36" fillId="10" borderId="94" xfId="6" applyFont="1" applyFill="1" applyBorder="1" applyAlignment="1">
      <alignment horizontal="center" vertical="center"/>
    </xf>
    <xf numFmtId="0" fontId="36" fillId="10" borderId="138" xfId="6" applyFont="1" applyFill="1" applyBorder="1" applyAlignment="1">
      <alignment horizontal="center" vertical="center"/>
    </xf>
    <xf numFmtId="0" fontId="31" fillId="0" borderId="0" xfId="0" applyFont="1" applyAlignment="1">
      <alignment horizontal="left" vertical="center"/>
    </xf>
    <xf numFmtId="0" fontId="41" fillId="8" borderId="96" xfId="0" applyFont="1" applyFill="1" applyBorder="1" applyAlignment="1">
      <alignment horizontal="center" vertical="center"/>
    </xf>
    <xf numFmtId="174" fontId="41" fillId="8" borderId="96" xfId="0" applyNumberFormat="1" applyFont="1" applyFill="1" applyBorder="1" applyAlignment="1">
      <alignment horizontal="center"/>
    </xf>
    <xf numFmtId="0" fontId="31" fillId="0" borderId="156" xfId="0" applyFont="1" applyBorder="1" applyAlignment="1">
      <alignment horizontal="center" vertical="center" wrapText="1"/>
    </xf>
    <xf numFmtId="0" fontId="31" fillId="0" borderId="157" xfId="0" applyFont="1" applyBorder="1" applyAlignment="1">
      <alignment horizontal="center" vertical="center" wrapText="1"/>
    </xf>
    <xf numFmtId="0" fontId="31" fillId="0" borderId="158" xfId="0" applyFont="1" applyBorder="1" applyAlignment="1">
      <alignment horizontal="center" vertical="center" wrapText="1"/>
    </xf>
  </cellXfs>
  <cellStyles count="9">
    <cellStyle name="Comma" xfId="1" builtinId="3"/>
    <cellStyle name="Currency" xfId="7" builtinId="4"/>
    <cellStyle name="Normal" xfId="0" builtinId="0"/>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1218371651717391E-2"/>
                  <c:y val="0.1103716693938600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3149.3912726024996</c:v>
                </c:pt>
                <c:pt idx="1">
                  <c:v>1205.8369907049998</c:v>
                </c:pt>
                <c:pt idx="2">
                  <c:v>0</c:v>
                </c:pt>
                <c:pt idx="3">
                  <c:v>2.8942725924999997</c:v>
                </c:pt>
                <c:pt idx="4">
                  <c:v>24.5232905925</c:v>
                </c:pt>
                <c:pt idx="5">
                  <c:v>131.07747016499999</c:v>
                </c:pt>
                <c:pt idx="6">
                  <c:v>77.499948982500001</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1205.8369907049998</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2.8942725924999997</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24.5232905925</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131.07747016499999</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77.499948982500001</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RUNATULLO III</c:v>
                </c:pt>
                <c:pt idx="1">
                  <c:v>C.H. ÁNGEL I</c:v>
                </c:pt>
                <c:pt idx="2">
                  <c:v>C.H. ÁNGEL II</c:v>
                </c:pt>
                <c:pt idx="3">
                  <c:v>C.H. RENOVANDES H1</c:v>
                </c:pt>
                <c:pt idx="4">
                  <c:v>C.H. RUCUY</c:v>
                </c:pt>
                <c:pt idx="5">
                  <c:v>C.H. ÁNGEL III</c:v>
                </c:pt>
                <c:pt idx="6">
                  <c:v>C.H. POTRERO</c:v>
                </c:pt>
                <c:pt idx="7">
                  <c:v>C.H. CHANCAY</c:v>
                </c:pt>
                <c:pt idx="8">
                  <c:v>C.H. YARUCAYA</c:v>
                </c:pt>
                <c:pt idx="9">
                  <c:v>C.H. LAS PIZARRAS</c:v>
                </c:pt>
                <c:pt idx="10">
                  <c:v>C.H. RUNATULLO II</c:v>
                </c:pt>
                <c:pt idx="11">
                  <c:v>C.H. CARHUAC</c:v>
                </c:pt>
                <c:pt idx="12">
                  <c:v>C.H. ZAÑA</c:v>
                </c:pt>
                <c:pt idx="13">
                  <c:v>C.H. CARHUAQUERO IV</c:v>
                </c:pt>
                <c:pt idx="14">
                  <c:v>C.H. 8 DE AGOSTO</c:v>
                </c:pt>
                <c:pt idx="15">
                  <c:v>C.H. HUASAHUASI II</c:v>
                </c:pt>
                <c:pt idx="16">
                  <c:v>C.H. HUASAHUASI I</c:v>
                </c:pt>
                <c:pt idx="17">
                  <c:v>C.H. EL CARMEN</c:v>
                </c:pt>
                <c:pt idx="18">
                  <c:v>C.H. LA JOYA</c:v>
                </c:pt>
                <c:pt idx="19">
                  <c:v>C.H. SANTA CRUZ II</c:v>
                </c:pt>
                <c:pt idx="20">
                  <c:v>C.H. SANTA CRUZ I</c:v>
                </c:pt>
                <c:pt idx="21">
                  <c:v>C.H. CAÑA BRAVA</c:v>
                </c:pt>
                <c:pt idx="22">
                  <c:v>C.H. POECHOS II</c:v>
                </c:pt>
                <c:pt idx="23">
                  <c:v>C.H. IMPERIAL</c:v>
                </c:pt>
                <c:pt idx="24">
                  <c:v>C.H. YANAPAMPA</c:v>
                </c:pt>
                <c:pt idx="25">
                  <c:v>C.H. CANCHAYLLO</c:v>
                </c:pt>
                <c:pt idx="26">
                  <c:v>C.H. RONCADOR</c:v>
                </c:pt>
                <c:pt idx="27">
                  <c:v>C.H. HER 1</c:v>
                </c:pt>
                <c:pt idx="28">
                  <c:v>C.H. PURMACANA</c:v>
                </c:pt>
              </c:strCache>
            </c:strRef>
          </c:cat>
          <c:val>
            <c:numRef>
              <c:f>'6. FP RER'!$O$6:$O$34</c:f>
              <c:numCache>
                <c:formatCode>0.00</c:formatCode>
                <c:ptCount val="29"/>
                <c:pt idx="0">
                  <c:v>14.743725877499999</c:v>
                </c:pt>
                <c:pt idx="1">
                  <c:v>14.513979030000002</c:v>
                </c:pt>
                <c:pt idx="2">
                  <c:v>14.444742625</c:v>
                </c:pt>
                <c:pt idx="3">
                  <c:v>14.3635200525</c:v>
                </c:pt>
                <c:pt idx="4">
                  <c:v>14.270872125</c:v>
                </c:pt>
                <c:pt idx="5">
                  <c:v>14.1397753425</c:v>
                </c:pt>
                <c:pt idx="6">
                  <c:v>14.043767729999999</c:v>
                </c:pt>
                <c:pt idx="7">
                  <c:v>13.974380005</c:v>
                </c:pt>
                <c:pt idx="8">
                  <c:v>13.620981220000001</c:v>
                </c:pt>
                <c:pt idx="9">
                  <c:v>13.1368051575</c:v>
                </c:pt>
                <c:pt idx="10">
                  <c:v>12.601364645</c:v>
                </c:pt>
                <c:pt idx="11">
                  <c:v>9.5464097149999994</c:v>
                </c:pt>
                <c:pt idx="12">
                  <c:v>8.7329810025000008</c:v>
                </c:pt>
                <c:pt idx="13">
                  <c:v>7.1016837224999998</c:v>
                </c:pt>
                <c:pt idx="14">
                  <c:v>6.8712794375000001</c:v>
                </c:pt>
                <c:pt idx="15">
                  <c:v>6.2227574150000002</c:v>
                </c:pt>
                <c:pt idx="16">
                  <c:v>6.172682955</c:v>
                </c:pt>
                <c:pt idx="17">
                  <c:v>5.7353228724999994</c:v>
                </c:pt>
                <c:pt idx="18">
                  <c:v>5.3050266075000003</c:v>
                </c:pt>
                <c:pt idx="19">
                  <c:v>4.4991244749999995</c:v>
                </c:pt>
                <c:pt idx="20">
                  <c:v>4.3597190250000004</c:v>
                </c:pt>
                <c:pt idx="21">
                  <c:v>3.5784355424999998</c:v>
                </c:pt>
                <c:pt idx="22">
                  <c:v>2.6507902800000003</c:v>
                </c:pt>
                <c:pt idx="23">
                  <c:v>2.5846999999999998</c:v>
                </c:pt>
                <c:pt idx="24">
                  <c:v>2.5357750924999998</c:v>
                </c:pt>
                <c:pt idx="25">
                  <c:v>2.1941894350000002</c:v>
                </c:pt>
                <c:pt idx="26">
                  <c:v>2.07250172</c:v>
                </c:pt>
                <c:pt idx="27">
                  <c:v>0.4433283475</c:v>
                </c:pt>
                <c:pt idx="28">
                  <c:v>0.26574854249999996</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RUNATULLO III</c:v>
                </c:pt>
                <c:pt idx="1">
                  <c:v>C.H. ÁNGEL I</c:v>
                </c:pt>
                <c:pt idx="2">
                  <c:v>C.H. ÁNGEL II</c:v>
                </c:pt>
                <c:pt idx="3">
                  <c:v>C.H. RENOVANDES H1</c:v>
                </c:pt>
                <c:pt idx="4">
                  <c:v>C.H. RUCUY</c:v>
                </c:pt>
                <c:pt idx="5">
                  <c:v>C.H. ÁNGEL III</c:v>
                </c:pt>
                <c:pt idx="6">
                  <c:v>C.H. POTRERO</c:v>
                </c:pt>
                <c:pt idx="7">
                  <c:v>C.H. CHANCAY</c:v>
                </c:pt>
                <c:pt idx="8">
                  <c:v>C.H. YARUCAYA</c:v>
                </c:pt>
                <c:pt idx="9">
                  <c:v>C.H. LAS PIZARRAS</c:v>
                </c:pt>
                <c:pt idx="10">
                  <c:v>C.H. RUNATULLO II</c:v>
                </c:pt>
                <c:pt idx="11">
                  <c:v>C.H. CARHUAC</c:v>
                </c:pt>
                <c:pt idx="12">
                  <c:v>C.H. ZAÑA</c:v>
                </c:pt>
                <c:pt idx="13">
                  <c:v>C.H. CARHUAQUERO IV</c:v>
                </c:pt>
                <c:pt idx="14">
                  <c:v>C.H. 8 DE AGOSTO</c:v>
                </c:pt>
                <c:pt idx="15">
                  <c:v>C.H. HUASAHUASI II</c:v>
                </c:pt>
                <c:pt idx="16">
                  <c:v>C.H. HUASAHUASI I</c:v>
                </c:pt>
                <c:pt idx="17">
                  <c:v>C.H. EL CARMEN</c:v>
                </c:pt>
                <c:pt idx="18">
                  <c:v>C.H. LA JOYA</c:v>
                </c:pt>
                <c:pt idx="19">
                  <c:v>C.H. SANTA CRUZ II</c:v>
                </c:pt>
                <c:pt idx="20">
                  <c:v>C.H. SANTA CRUZ I</c:v>
                </c:pt>
                <c:pt idx="21">
                  <c:v>C.H. CAÑA BRAVA</c:v>
                </c:pt>
                <c:pt idx="22">
                  <c:v>C.H. POECHOS II</c:v>
                </c:pt>
                <c:pt idx="23">
                  <c:v>C.H. IMPERIAL</c:v>
                </c:pt>
                <c:pt idx="24">
                  <c:v>C.H. YANAPAMPA</c:v>
                </c:pt>
                <c:pt idx="25">
                  <c:v>C.H. CANCHAYLLO</c:v>
                </c:pt>
                <c:pt idx="26">
                  <c:v>C.H. RONCADOR</c:v>
                </c:pt>
                <c:pt idx="27">
                  <c:v>C.H. HER 1</c:v>
                </c:pt>
                <c:pt idx="28">
                  <c:v>C.H. PURMACANA</c:v>
                </c:pt>
              </c:strCache>
            </c:strRef>
          </c:cat>
          <c:val>
            <c:numRef>
              <c:f>'6. FP RER'!$P$6:$P$34</c:f>
              <c:numCache>
                <c:formatCode>0.00</c:formatCode>
                <c:ptCount val="29"/>
                <c:pt idx="0">
                  <c:v>0.99252909229965114</c:v>
                </c:pt>
                <c:pt idx="1">
                  <c:v>0.96766053227406568</c:v>
                </c:pt>
                <c:pt idx="2">
                  <c:v>0.96304447651316349</c:v>
                </c:pt>
                <c:pt idx="3">
                  <c:v>0.98473891977441574</c:v>
                </c:pt>
                <c:pt idx="4">
                  <c:v>0.95906398689516126</c:v>
                </c:pt>
                <c:pt idx="5">
                  <c:v>0.94271202306947643</c:v>
                </c:pt>
                <c:pt idx="6">
                  <c:v>0.94854431633976344</c:v>
                </c:pt>
                <c:pt idx="7">
                  <c:v>0.93913844119623657</c:v>
                </c:pt>
                <c:pt idx="8">
                  <c:v>1</c:v>
                </c:pt>
                <c:pt idx="9">
                  <c:v>0.91965916713640894</c:v>
                </c:pt>
                <c:pt idx="10">
                  <c:v>0.84826554170564228</c:v>
                </c:pt>
                <c:pt idx="11">
                  <c:v>0.64155979267473118</c:v>
                </c:pt>
                <c:pt idx="12">
                  <c:v>0.88923315844941364</c:v>
                </c:pt>
                <c:pt idx="13">
                  <c:v>0.95615284188766048</c:v>
                </c:pt>
                <c:pt idx="14">
                  <c:v>0.48608371798953032</c:v>
                </c:pt>
                <c:pt idx="15">
                  <c:v>0.8182274757112532</c:v>
                </c:pt>
                <c:pt idx="16">
                  <c:v>0.84229612944162446</c:v>
                </c:pt>
                <c:pt idx="17">
                  <c:v>0.917710393065156</c:v>
                </c:pt>
                <c:pt idx="18">
                  <c:v>0.9206471409754472</c:v>
                </c:pt>
                <c:pt idx="19">
                  <c:v>0.81454880332168833</c:v>
                </c:pt>
                <c:pt idx="20">
                  <c:v>0.84217266444287842</c:v>
                </c:pt>
                <c:pt idx="21">
                  <c:v>0.84827604788928723</c:v>
                </c:pt>
                <c:pt idx="22">
                  <c:v>0.37245349793961141</c:v>
                </c:pt>
                <c:pt idx="23">
                  <c:v>0.87640240660568769</c:v>
                </c:pt>
                <c:pt idx="24">
                  <c:v>0.8703056923685788</c:v>
                </c:pt>
                <c:pt idx="25">
                  <c:v>0.5683521580493891</c:v>
                </c:pt>
                <c:pt idx="26">
                  <c:v>0.80046568718329014</c:v>
                </c:pt>
                <c:pt idx="27">
                  <c:v>0.85124490687403997</c:v>
                </c:pt>
                <c:pt idx="28">
                  <c:v>0.20839492485978847</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20"/>
        <c:minorUnit val="5"/>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RER'!$L$35:$L$39</c:f>
              <c:strCache>
                <c:ptCount val="5"/>
                <c:pt idx="0">
                  <c:v>C.E. WAYRA I</c:v>
                </c:pt>
                <c:pt idx="1">
                  <c:v>C.E. TRES HERMANAS</c:v>
                </c:pt>
                <c:pt idx="2">
                  <c:v>C.E. CUPISNIQUE</c:v>
                </c:pt>
                <c:pt idx="3">
                  <c:v>C.E. TALARA</c:v>
                </c:pt>
                <c:pt idx="4">
                  <c:v>C.E. MARCONA</c:v>
                </c:pt>
              </c:strCache>
            </c:strRef>
          </c:cat>
          <c:val>
            <c:numRef>
              <c:f>'6. FP RER'!$O$35:$O$39</c:f>
              <c:numCache>
                <c:formatCode>0.00</c:formatCode>
                <c:ptCount val="5"/>
                <c:pt idx="0">
                  <c:v>47.909157652499999</c:v>
                </c:pt>
                <c:pt idx="1">
                  <c:v>31.962913342499998</c:v>
                </c:pt>
                <c:pt idx="2">
                  <c:v>28.791526627499998</c:v>
                </c:pt>
                <c:pt idx="3">
                  <c:v>11.8269391525</c:v>
                </c:pt>
                <c:pt idx="4">
                  <c:v>10.58693339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RER'!$L$35:$L$39</c:f>
              <c:strCache>
                <c:ptCount val="5"/>
                <c:pt idx="0">
                  <c:v>C.E. WAYRA I</c:v>
                </c:pt>
                <c:pt idx="1">
                  <c:v>C.E. TRES HERMANAS</c:v>
                </c:pt>
                <c:pt idx="2">
                  <c:v>C.E. CUPISNIQUE</c:v>
                </c:pt>
                <c:pt idx="3">
                  <c:v>C.E. TALARA</c:v>
                </c:pt>
                <c:pt idx="4">
                  <c:v>C.E. MARCONA</c:v>
                </c:pt>
              </c:strCache>
            </c:strRef>
          </c:cat>
          <c:val>
            <c:numRef>
              <c:f>'6. FP RER'!$P$35:$P$39</c:f>
              <c:numCache>
                <c:formatCode>0.00</c:formatCode>
                <c:ptCount val="5"/>
                <c:pt idx="0">
                  <c:v>0.48672735527454702</c:v>
                </c:pt>
                <c:pt idx="1">
                  <c:v>0.4422120950102103</c:v>
                </c:pt>
                <c:pt idx="2">
                  <c:v>0.46540334910189507</c:v>
                </c:pt>
                <c:pt idx="3">
                  <c:v>0.51511417991153241</c:v>
                </c:pt>
                <c:pt idx="4">
                  <c:v>0.44467966187836022</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RER'!$L$40:$L$46</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RER'!$O$40:$O$46</c:f>
              <c:numCache>
                <c:formatCode>0.00</c:formatCode>
                <c:ptCount val="7"/>
                <c:pt idx="0">
                  <c:v>44.343811827499998</c:v>
                </c:pt>
                <c:pt idx="1">
                  <c:v>11.219323107500001</c:v>
                </c:pt>
                <c:pt idx="2">
                  <c:v>5.1118561224999999</c:v>
                </c:pt>
                <c:pt idx="3">
                  <c:v>4.7135483574999997</c:v>
                </c:pt>
                <c:pt idx="4">
                  <c:v>4.1535138974999999</c:v>
                </c:pt>
                <c:pt idx="5">
                  <c:v>4.0165161999999999</c:v>
                </c:pt>
                <c:pt idx="6">
                  <c:v>3.9413794699999998</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RER'!$L$39:$L$45</c:f>
              <c:strCache>
                <c:ptCount val="7"/>
                <c:pt idx="0">
                  <c:v>C.E. MARCONA</c:v>
                </c:pt>
                <c:pt idx="1">
                  <c:v>C.S. RUBI</c:v>
                </c:pt>
                <c:pt idx="2">
                  <c:v>C.S. INTIPAMPA</c:v>
                </c:pt>
                <c:pt idx="3">
                  <c:v>C.S. PANAMERICANA SOLAR</c:v>
                </c:pt>
                <c:pt idx="4">
                  <c:v>C.S. MOQUEGUA FV</c:v>
                </c:pt>
                <c:pt idx="5">
                  <c:v>C.S. TACNA SOLAR</c:v>
                </c:pt>
                <c:pt idx="6">
                  <c:v>C.S. MAJES SOLAR</c:v>
                </c:pt>
              </c:strCache>
            </c:strRef>
          </c:cat>
          <c:val>
            <c:numRef>
              <c:f>'6. FP RER'!$P$39:$P$45</c:f>
              <c:numCache>
                <c:formatCode>0.00</c:formatCode>
                <c:ptCount val="7"/>
                <c:pt idx="0">
                  <c:v>0.44467966187836022</c:v>
                </c:pt>
                <c:pt idx="1">
                  <c:v>0.41252697686605438</c:v>
                </c:pt>
                <c:pt idx="2">
                  <c:v>0.33856612841362843</c:v>
                </c:pt>
                <c:pt idx="3">
                  <c:v>0.34353871790994628</c:v>
                </c:pt>
                <c:pt idx="4">
                  <c:v>0.395963403687836</c:v>
                </c:pt>
                <c:pt idx="5">
                  <c:v>0.27913399848790321</c:v>
                </c:pt>
                <c:pt idx="6">
                  <c:v>0.26992716397849464</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RER'!$L$47:$L$50</c:f>
              <c:strCache>
                <c:ptCount val="4"/>
                <c:pt idx="0">
                  <c:v>C.T. PARAMONGA</c:v>
                </c:pt>
                <c:pt idx="1">
                  <c:v>C.T. HUAYCOLORO</c:v>
                </c:pt>
                <c:pt idx="2">
                  <c:v>C.T. DOÑA CATALINA</c:v>
                </c:pt>
                <c:pt idx="3">
                  <c:v>C.T. LA GRINGA</c:v>
                </c:pt>
              </c:strCache>
            </c:strRef>
          </c:cat>
          <c:val>
            <c:numRef>
              <c:f>'6. FP RER'!$O$47:$O$50</c:f>
              <c:numCache>
                <c:formatCode>0.00</c:formatCode>
                <c:ptCount val="4"/>
                <c:pt idx="0">
                  <c:v>9.2241424849999998</c:v>
                </c:pt>
                <c:pt idx="1">
                  <c:v>2.840626275</c:v>
                </c:pt>
                <c:pt idx="2">
                  <c:v>1.5055900250000001</c:v>
                </c:pt>
                <c:pt idx="3">
                  <c:v>0.30642174999999999</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RER'!$L$47:$L$50</c:f>
              <c:strCache>
                <c:ptCount val="4"/>
                <c:pt idx="0">
                  <c:v>C.T. PARAMONGA</c:v>
                </c:pt>
                <c:pt idx="1">
                  <c:v>C.T. HUAYCOLORO</c:v>
                </c:pt>
                <c:pt idx="2">
                  <c:v>C.T. DOÑA CATALINA</c:v>
                </c:pt>
                <c:pt idx="3">
                  <c:v>C.T. LA GRINGA</c:v>
                </c:pt>
              </c:strCache>
            </c:strRef>
          </c:cat>
          <c:val>
            <c:numRef>
              <c:f>'6. FP RER'!$P$47:$P$50</c:f>
              <c:numCache>
                <c:formatCode>0.00</c:formatCode>
                <c:ptCount val="4"/>
                <c:pt idx="0">
                  <c:v>0.97307843344640887</c:v>
                </c:pt>
                <c:pt idx="1">
                  <c:v>0.89572928294390308</c:v>
                </c:pt>
                <c:pt idx="2">
                  <c:v>0.84318437780017919</c:v>
                </c:pt>
                <c:pt idx="3">
                  <c:v>0.13943771908461083</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2019</c:v>
                </c:pt>
              </c:strCache>
            </c:strRef>
          </c:tx>
          <c:spPr>
            <a:solidFill>
              <a:srgbClr val="0077A5"/>
            </a:solidFill>
          </c:spPr>
          <c:invertIfNegative val="0"/>
          <c:cat>
            <c:multiLvlStrRef>
              <c:f>'6. FP RER'!$S$6:$T$50</c:f>
              <c:multiLvlStrCache>
                <c:ptCount val="45"/>
                <c:lvl>
                  <c:pt idx="0">
                    <c:v>C.H. YARUCAYA</c:v>
                  </c:pt>
                  <c:pt idx="1">
                    <c:v>C.H. RENOVANDES H1</c:v>
                  </c:pt>
                  <c:pt idx="2">
                    <c:v>C.H. LA JOYA</c:v>
                  </c:pt>
                  <c:pt idx="3">
                    <c:v>C.H. CARHUAQUERO IV</c:v>
                  </c:pt>
                  <c:pt idx="4">
                    <c:v>C.H. IMPERIAL</c:v>
                  </c:pt>
                  <c:pt idx="5">
                    <c:v>C.H. HER 1</c:v>
                  </c:pt>
                  <c:pt idx="6">
                    <c:v>C.H. CAÑA BRAVA</c:v>
                  </c:pt>
                  <c:pt idx="7">
                    <c:v>C.H. YANAPAMPA</c:v>
                  </c:pt>
                  <c:pt idx="8">
                    <c:v>C.H. RUNATULLO III</c:v>
                  </c:pt>
                  <c:pt idx="9">
                    <c:v>C.H. POTRERO</c:v>
                  </c:pt>
                  <c:pt idx="10">
                    <c:v>C.H. CANCHAYLLO</c:v>
                  </c:pt>
                  <c:pt idx="11">
                    <c:v>C.H. ZAÑA</c:v>
                  </c:pt>
                  <c:pt idx="12">
                    <c:v>C.H. CARHUAC</c:v>
                  </c:pt>
                  <c:pt idx="13">
                    <c:v>C.H. LAS PIZARRAS</c:v>
                  </c:pt>
                  <c:pt idx="14">
                    <c:v>C.H. POECHOS II</c:v>
                  </c:pt>
                  <c:pt idx="15">
                    <c:v>C.H. HUASAHUASI II</c:v>
                  </c:pt>
                  <c:pt idx="16">
                    <c:v>C.H. HUASAHUASI I</c:v>
                  </c:pt>
                  <c:pt idx="17">
                    <c:v>C.H. RUNATULLO II</c:v>
                  </c:pt>
                  <c:pt idx="18">
                    <c:v>C.H. SANTA CRUZ II</c:v>
                  </c:pt>
                  <c:pt idx="19">
                    <c:v>C.H. SANTA CRUZ I</c:v>
                  </c:pt>
                  <c:pt idx="20">
                    <c:v>C.H. CHANCAY</c:v>
                  </c:pt>
                  <c:pt idx="21">
                    <c:v>C.H. ÁNGEL II</c:v>
                  </c:pt>
                  <c:pt idx="22">
                    <c:v>C.H. RONCADOR</c:v>
                  </c:pt>
                  <c:pt idx="23">
                    <c:v>C.H. ÁNGEL III</c:v>
                  </c:pt>
                  <c:pt idx="24">
                    <c:v>C.H. ÁNGEL I</c:v>
                  </c:pt>
                  <c:pt idx="25">
                    <c:v>C.H. RUCUY</c:v>
                  </c:pt>
                  <c:pt idx="26">
                    <c:v>C.H. PURMACANA</c:v>
                  </c:pt>
                  <c:pt idx="27">
                    <c:v>C.H. EL CARMEN</c:v>
                  </c:pt>
                  <c:pt idx="28">
                    <c:v>C.H. 8 DE AGOSTO</c:v>
                  </c:pt>
                  <c:pt idx="29">
                    <c:v>C.E. MARCONA</c:v>
                  </c:pt>
                  <c:pt idx="30">
                    <c:v>C.E. TRES HERMANAS</c:v>
                  </c:pt>
                  <c:pt idx="31">
                    <c:v>C.E. WAYRA I</c:v>
                  </c:pt>
                  <c:pt idx="32">
                    <c:v>C.E. TALARA</c:v>
                  </c:pt>
                  <c:pt idx="33">
                    <c:v>C.E. CUPISNIQUE</c:v>
                  </c:pt>
                  <c:pt idx="34">
                    <c:v>C.S. MOQUEGUA FV</c:v>
                  </c:pt>
                  <c:pt idx="35">
                    <c:v>C.S. RUBI</c:v>
                  </c:pt>
                  <c:pt idx="36">
                    <c:v>C.S. PANAMERICANA SOLAR</c:v>
                  </c:pt>
                  <c:pt idx="37">
                    <c:v>C.S. INTIPAMPA</c:v>
                  </c:pt>
                  <c:pt idx="38">
                    <c:v>C.S. TACNA SOLAR</c:v>
                  </c:pt>
                  <c:pt idx="39">
                    <c:v>C.S. MAJES SOLAR</c:v>
                  </c:pt>
                  <c:pt idx="40">
                    <c:v>C.S. REPARTICION</c:v>
                  </c:pt>
                  <c:pt idx="41">
                    <c:v>C.T. HUAYCOLORO</c:v>
                  </c:pt>
                  <c:pt idx="42">
                    <c:v>C.T. PARAMONGA</c:v>
                  </c:pt>
                  <c:pt idx="43">
                    <c:v>C.T. DOÑA CATALINA</c:v>
                  </c:pt>
                  <c:pt idx="44">
                    <c:v>C.T. LA GRINGA</c:v>
                  </c:pt>
                </c:lvl>
                <c:lvl>
                  <c:pt idx="0">
                    <c:v>HIDROELÉCTRICAS</c:v>
                  </c:pt>
                  <c:pt idx="29">
                    <c:v>EÓLICAS</c:v>
                  </c:pt>
                  <c:pt idx="34">
                    <c:v>SOLARES</c:v>
                  </c:pt>
                  <c:pt idx="41">
                    <c:v>TERMOELÉCTRICAS</c:v>
                  </c:pt>
                </c:lvl>
              </c:multiLvlStrCache>
            </c:multiLvlStrRef>
          </c:cat>
          <c:val>
            <c:numRef>
              <c:f>'6. FP RER'!$U$6:$U$50</c:f>
              <c:numCache>
                <c:formatCode>0.000</c:formatCode>
                <c:ptCount val="45"/>
                <c:pt idx="0">
                  <c:v>1</c:v>
                </c:pt>
                <c:pt idx="1">
                  <c:v>0.93967903283047971</c:v>
                </c:pt>
                <c:pt idx="2">
                  <c:v>0.86415269208150214</c:v>
                </c:pt>
                <c:pt idx="3">
                  <c:v>0.82111296984554083</c:v>
                </c:pt>
                <c:pt idx="4">
                  <c:v>0.80199247565993814</c:v>
                </c:pt>
                <c:pt idx="5">
                  <c:v>0.71491640329419437</c:v>
                </c:pt>
                <c:pt idx="6">
                  <c:v>0.69878021127781409</c:v>
                </c:pt>
                <c:pt idx="7">
                  <c:v>0.6786183531728367</c:v>
                </c:pt>
                <c:pt idx="8">
                  <c:v>0.67536264775117683</c:v>
                </c:pt>
                <c:pt idx="9">
                  <c:v>0.66727213314001521</c:v>
                </c:pt>
                <c:pt idx="10">
                  <c:v>0.66680311821591332</c:v>
                </c:pt>
                <c:pt idx="11">
                  <c:v>0.65406604067213214</c:v>
                </c:pt>
                <c:pt idx="12">
                  <c:v>0.64204528608732869</c:v>
                </c:pt>
                <c:pt idx="13">
                  <c:v>0.62526381677200749</c:v>
                </c:pt>
                <c:pt idx="14">
                  <c:v>0.61275423962172915</c:v>
                </c:pt>
                <c:pt idx="15">
                  <c:v>0.59040543719384042</c:v>
                </c:pt>
                <c:pt idx="16">
                  <c:v>0.5864999775745775</c:v>
                </c:pt>
                <c:pt idx="17">
                  <c:v>0.54833239891483077</c:v>
                </c:pt>
                <c:pt idx="18">
                  <c:v>0.54041926183807165</c:v>
                </c:pt>
                <c:pt idx="19">
                  <c:v>0.52826582936136035</c:v>
                </c:pt>
                <c:pt idx="20">
                  <c:v>0.52510240595034241</c:v>
                </c:pt>
                <c:pt idx="21">
                  <c:v>0.50522911615749799</c:v>
                </c:pt>
                <c:pt idx="22">
                  <c:v>0.50108274254710561</c:v>
                </c:pt>
                <c:pt idx="23">
                  <c:v>0.49671202780722268</c:v>
                </c:pt>
                <c:pt idx="24">
                  <c:v>0.44057373804937222</c:v>
                </c:pt>
                <c:pt idx="25">
                  <c:v>0.38664259043949767</c:v>
                </c:pt>
                <c:pt idx="26">
                  <c:v>0.15269548037781797</c:v>
                </c:pt>
                <c:pt idx="27">
                  <c:v>0.12339957881468794</c:v>
                </c:pt>
                <c:pt idx="28">
                  <c:v>4.2747421638428262E-2</c:v>
                </c:pt>
                <c:pt idx="29">
                  <c:v>0.56046330484803097</c:v>
                </c:pt>
                <c:pt idx="30">
                  <c:v>0.54188868373061461</c:v>
                </c:pt>
                <c:pt idx="31">
                  <c:v>0.50408204700297166</c:v>
                </c:pt>
                <c:pt idx="32">
                  <c:v>0.46574247533417967</c:v>
                </c:pt>
                <c:pt idx="33">
                  <c:v>0.43627004394256397</c:v>
                </c:pt>
                <c:pt idx="34">
                  <c:v>0.33751199992865288</c:v>
                </c:pt>
                <c:pt idx="35">
                  <c:v>0.3342356266406657</c:v>
                </c:pt>
                <c:pt idx="36">
                  <c:v>0.29281275777682653</c:v>
                </c:pt>
                <c:pt idx="37">
                  <c:v>0.27086007030517945</c:v>
                </c:pt>
                <c:pt idx="38">
                  <c:v>0.26680857133276253</c:v>
                </c:pt>
                <c:pt idx="39">
                  <c:v>0.25275814591894968</c:v>
                </c:pt>
                <c:pt idx="40">
                  <c:v>0.24763715602168948</c:v>
                </c:pt>
                <c:pt idx="41">
                  <c:v>0.90537404183237569</c:v>
                </c:pt>
                <c:pt idx="42">
                  <c:v>0.87134051816908875</c:v>
                </c:pt>
                <c:pt idx="43">
                  <c:v>0.70362049752663647</c:v>
                </c:pt>
                <c:pt idx="44">
                  <c:v>0.65789340014760511</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2018</c:v>
                </c:pt>
              </c:strCache>
            </c:strRef>
          </c:tx>
          <c:spPr>
            <a:solidFill>
              <a:schemeClr val="accent2"/>
            </a:solidFill>
          </c:spPr>
          <c:invertIfNegative val="0"/>
          <c:cat>
            <c:multiLvlStrRef>
              <c:f>'6. FP RER'!$S$6:$T$50</c:f>
              <c:multiLvlStrCache>
                <c:ptCount val="45"/>
                <c:lvl>
                  <c:pt idx="0">
                    <c:v>C.H. YARUCAYA</c:v>
                  </c:pt>
                  <c:pt idx="1">
                    <c:v>C.H. RENOVANDES H1</c:v>
                  </c:pt>
                  <c:pt idx="2">
                    <c:v>C.H. LA JOYA</c:v>
                  </c:pt>
                  <c:pt idx="3">
                    <c:v>C.H. CARHUAQUERO IV</c:v>
                  </c:pt>
                  <c:pt idx="4">
                    <c:v>C.H. IMPERIAL</c:v>
                  </c:pt>
                  <c:pt idx="5">
                    <c:v>C.H. HER 1</c:v>
                  </c:pt>
                  <c:pt idx="6">
                    <c:v>C.H. CAÑA BRAVA</c:v>
                  </c:pt>
                  <c:pt idx="7">
                    <c:v>C.H. YANAPAMPA</c:v>
                  </c:pt>
                  <c:pt idx="8">
                    <c:v>C.H. RUNATULLO III</c:v>
                  </c:pt>
                  <c:pt idx="9">
                    <c:v>C.H. POTRERO</c:v>
                  </c:pt>
                  <c:pt idx="10">
                    <c:v>C.H. CANCHAYLLO</c:v>
                  </c:pt>
                  <c:pt idx="11">
                    <c:v>C.H. ZAÑA</c:v>
                  </c:pt>
                  <c:pt idx="12">
                    <c:v>C.H. CARHUAC</c:v>
                  </c:pt>
                  <c:pt idx="13">
                    <c:v>C.H. LAS PIZARRAS</c:v>
                  </c:pt>
                  <c:pt idx="14">
                    <c:v>C.H. POECHOS II</c:v>
                  </c:pt>
                  <c:pt idx="15">
                    <c:v>C.H. HUASAHUASI II</c:v>
                  </c:pt>
                  <c:pt idx="16">
                    <c:v>C.H. HUASAHUASI I</c:v>
                  </c:pt>
                  <c:pt idx="17">
                    <c:v>C.H. RUNATULLO II</c:v>
                  </c:pt>
                  <c:pt idx="18">
                    <c:v>C.H. SANTA CRUZ II</c:v>
                  </c:pt>
                  <c:pt idx="19">
                    <c:v>C.H. SANTA CRUZ I</c:v>
                  </c:pt>
                  <c:pt idx="20">
                    <c:v>C.H. CHANCAY</c:v>
                  </c:pt>
                  <c:pt idx="21">
                    <c:v>C.H. ÁNGEL II</c:v>
                  </c:pt>
                  <c:pt idx="22">
                    <c:v>C.H. RONCADOR</c:v>
                  </c:pt>
                  <c:pt idx="23">
                    <c:v>C.H. ÁNGEL III</c:v>
                  </c:pt>
                  <c:pt idx="24">
                    <c:v>C.H. ÁNGEL I</c:v>
                  </c:pt>
                  <c:pt idx="25">
                    <c:v>C.H. RUCUY</c:v>
                  </c:pt>
                  <c:pt idx="26">
                    <c:v>C.H. PURMACANA</c:v>
                  </c:pt>
                  <c:pt idx="27">
                    <c:v>C.H. EL CARMEN</c:v>
                  </c:pt>
                  <c:pt idx="28">
                    <c:v>C.H. 8 DE AGOSTO</c:v>
                  </c:pt>
                  <c:pt idx="29">
                    <c:v>C.E. MARCONA</c:v>
                  </c:pt>
                  <c:pt idx="30">
                    <c:v>C.E. TRES HERMANAS</c:v>
                  </c:pt>
                  <c:pt idx="31">
                    <c:v>C.E. WAYRA I</c:v>
                  </c:pt>
                  <c:pt idx="32">
                    <c:v>C.E. TALARA</c:v>
                  </c:pt>
                  <c:pt idx="33">
                    <c:v>C.E. CUPISNIQUE</c:v>
                  </c:pt>
                  <c:pt idx="34">
                    <c:v>C.S. MOQUEGUA FV</c:v>
                  </c:pt>
                  <c:pt idx="35">
                    <c:v>C.S. RUBI</c:v>
                  </c:pt>
                  <c:pt idx="36">
                    <c:v>C.S. PANAMERICANA SOLAR</c:v>
                  </c:pt>
                  <c:pt idx="37">
                    <c:v>C.S. INTIPAMPA</c:v>
                  </c:pt>
                  <c:pt idx="38">
                    <c:v>C.S. TACNA SOLAR</c:v>
                  </c:pt>
                  <c:pt idx="39">
                    <c:v>C.S. MAJES SOLAR</c:v>
                  </c:pt>
                  <c:pt idx="40">
                    <c:v>C.S. REPARTICION</c:v>
                  </c:pt>
                  <c:pt idx="41">
                    <c:v>C.T. HUAYCOLORO</c:v>
                  </c:pt>
                  <c:pt idx="42">
                    <c:v>C.T. PARAMONGA</c:v>
                  </c:pt>
                  <c:pt idx="43">
                    <c:v>C.T. DOÑA CATALINA</c:v>
                  </c:pt>
                  <c:pt idx="44">
                    <c:v>C.T. LA GRINGA</c:v>
                  </c:pt>
                </c:lvl>
                <c:lvl>
                  <c:pt idx="0">
                    <c:v>HIDROELÉCTRICAS</c:v>
                  </c:pt>
                  <c:pt idx="29">
                    <c:v>EÓLICAS</c:v>
                  </c:pt>
                  <c:pt idx="34">
                    <c:v>SOLARES</c:v>
                  </c:pt>
                  <c:pt idx="41">
                    <c:v>TERMOELÉCTRICAS</c:v>
                  </c:pt>
                </c:lvl>
              </c:multiLvlStrCache>
            </c:multiLvlStrRef>
          </c:cat>
          <c:val>
            <c:numRef>
              <c:f>'6. FP RER'!$V$6:$V$50</c:f>
              <c:numCache>
                <c:formatCode>0.000</c:formatCode>
                <c:ptCount val="45"/>
                <c:pt idx="0">
                  <c:v>1</c:v>
                </c:pt>
                <c:pt idx="1">
                  <c:v>0.93748709423998255</c:v>
                </c:pt>
                <c:pt idx="2">
                  <c:v>0.80333934229183057</c:v>
                </c:pt>
                <c:pt idx="3">
                  <c:v>0.8126698725733289</c:v>
                </c:pt>
                <c:pt idx="4">
                  <c:v>0.72492616194149162</c:v>
                </c:pt>
                <c:pt idx="5">
                  <c:v>0.22208608630952381</c:v>
                </c:pt>
                <c:pt idx="6">
                  <c:v>0.60151705599244609</c:v>
                </c:pt>
                <c:pt idx="7">
                  <c:v>0.73256459352666703</c:v>
                </c:pt>
                <c:pt idx="8">
                  <c:v>0.76503767340551998</c:v>
                </c:pt>
                <c:pt idx="9">
                  <c:v>0.56264461360742068</c:v>
                </c:pt>
                <c:pt idx="10">
                  <c:v>0.716037180479694</c:v>
                </c:pt>
                <c:pt idx="12">
                  <c:v>0.49558954053030296</c:v>
                </c:pt>
                <c:pt idx="13">
                  <c:v>0.61622619236183984</c:v>
                </c:pt>
                <c:pt idx="14">
                  <c:v>0.55299914052408794</c:v>
                </c:pt>
                <c:pt idx="15">
                  <c:v>0.63167170353539559</c:v>
                </c:pt>
                <c:pt idx="16">
                  <c:v>0.62073401244118409</c:v>
                </c:pt>
                <c:pt idx="17">
                  <c:v>0.60644141446400257</c:v>
                </c:pt>
                <c:pt idx="18">
                  <c:v>0.54185108713502295</c:v>
                </c:pt>
                <c:pt idx="19">
                  <c:v>0.517279203515286</c:v>
                </c:pt>
                <c:pt idx="21">
                  <c:v>0.26330854082994642</c:v>
                </c:pt>
                <c:pt idx="22">
                  <c:v>0.72215045145449508</c:v>
                </c:pt>
                <c:pt idx="23">
                  <c:v>0.18760959514742273</c:v>
                </c:pt>
                <c:pt idx="24">
                  <c:v>0.20862393734865697</c:v>
                </c:pt>
                <c:pt idx="26">
                  <c:v>0.16123056746615308</c:v>
                </c:pt>
                <c:pt idx="29">
                  <c:v>0.52933399228560218</c:v>
                </c:pt>
                <c:pt idx="30">
                  <c:v>0.54720675729171797</c:v>
                </c:pt>
                <c:pt idx="31">
                  <c:v>0.58239238063535903</c:v>
                </c:pt>
                <c:pt idx="32">
                  <c:v>0.45540836066992796</c:v>
                </c:pt>
                <c:pt idx="33">
                  <c:v>0.39055398275521225</c:v>
                </c:pt>
                <c:pt idx="34">
                  <c:v>0.34049667292736874</c:v>
                </c:pt>
                <c:pt idx="35">
                  <c:v>0.30819540921014227</c:v>
                </c:pt>
                <c:pt idx="36">
                  <c:v>0.29663191695205482</c:v>
                </c:pt>
                <c:pt idx="37">
                  <c:v>0.27536111039932626</c:v>
                </c:pt>
                <c:pt idx="38">
                  <c:v>0.27537398849885847</c:v>
                </c:pt>
                <c:pt idx="39">
                  <c:v>0.25388001660958903</c:v>
                </c:pt>
                <c:pt idx="40">
                  <c:v>0.23569123025114158</c:v>
                </c:pt>
                <c:pt idx="41">
                  <c:v>0.81013708057151257</c:v>
                </c:pt>
                <c:pt idx="42">
                  <c:v>0.8025814673175814</c:v>
                </c:pt>
                <c:pt idx="43">
                  <c:v>0.29804004304604265</c:v>
                </c:pt>
                <c:pt idx="44">
                  <c:v>0.544182319389519</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2019</c:v>
                </c:pt>
                <c:pt idx="1">
                  <c:v>2018</c:v>
                </c:pt>
                <c:pt idx="2">
                  <c:v>2017</c:v>
                </c:pt>
              </c:numCache>
            </c:numRef>
          </c:cat>
          <c:val>
            <c:numRef>
              <c:f>('8. Max Potencia'!$G$10:$H$10,'8. Max Potencia'!$J$10)</c:f>
              <c:numCache>
                <c:formatCode>_(* #,##0.00_);_(* \(#,##0.00\);_(* "-"??_);_(@_)</c:formatCode>
                <c:ptCount val="3"/>
                <c:pt idx="0">
                  <c:v>4202.9162399999987</c:v>
                </c:pt>
                <c:pt idx="1">
                  <c:v>3972.194399999999</c:v>
                </c:pt>
                <c:pt idx="2">
                  <c:v>4181.7234999999982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2019</c:v>
                </c:pt>
                <c:pt idx="1">
                  <c:v>2018</c:v>
                </c:pt>
                <c:pt idx="2">
                  <c:v>2017</c:v>
                </c:pt>
              </c:numCache>
            </c:numRef>
          </c:cat>
          <c:val>
            <c:numRef>
              <c:f>('8. Max Potencia'!$G$11:$H$11,'8. Max Potencia'!$J$11)</c:f>
              <c:numCache>
                <c:formatCode>_(* #,##0.00_);_(* \(#,##0.00\);_(* "-"??_);_(@_)</c:formatCode>
                <c:ptCount val="3"/>
                <c:pt idx="0">
                  <c:v>2527.9566699999996</c:v>
                </c:pt>
                <c:pt idx="1">
                  <c:v>2665.2945000000009</c:v>
                </c:pt>
                <c:pt idx="2">
                  <c:v>2286.1302900000001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2019</c:v>
                </c:pt>
                <c:pt idx="1">
                  <c:v>2018</c:v>
                </c:pt>
                <c:pt idx="2">
                  <c:v>2017</c:v>
                </c:pt>
              </c:numCache>
            </c:numRef>
          </c:cat>
          <c:val>
            <c:numRef>
              <c:f>('8. Max Potencia'!$G$12:$H$12,'8. Max Potencia'!$J$12)</c:f>
              <c:numCache>
                <c:formatCode>_(* #,##0.00_);_(* \(#,##0.00\);_(* "-"??_);_(@_)</c:formatCode>
                <c:ptCount val="3"/>
                <c:pt idx="0">
                  <c:v>286.69846000000001</c:v>
                </c:pt>
                <c:pt idx="1">
                  <c:v>247.10244</c:v>
                </c:pt>
                <c:pt idx="2">
                  <c:v>91.209550000000007</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2019</c:v>
                </c:pt>
              </c:strCache>
            </c:strRef>
          </c:tx>
          <c:spPr>
            <a:solidFill>
              <a:srgbClr val="0077A5"/>
            </a:solidFill>
          </c:spPr>
          <c:invertIfNegative val="0"/>
          <c:cat>
            <c:strRef>
              <c:f>'9. Pot. Empresa'!$L$7:$L$64</c:f>
              <c:strCache>
                <c:ptCount val="58"/>
                <c:pt idx="0">
                  <c:v>AGROAURORA</c:v>
                </c:pt>
                <c:pt idx="1">
                  <c:v>AIPSA</c:v>
                </c:pt>
                <c:pt idx="2">
                  <c:v>CERRO VERDE</c:v>
                </c:pt>
                <c:pt idx="3">
                  <c:v>GTS MAJES</c:v>
                </c:pt>
                <c:pt idx="4">
                  <c:v>GTS REPARTICION</c:v>
                </c:pt>
                <c:pt idx="5">
                  <c:v>IYEPSA</c:v>
                </c:pt>
                <c:pt idx="6">
                  <c:v>MAJA ENERGIA</c:v>
                </c:pt>
                <c:pt idx="7">
                  <c:v>MOQUEGUA FV</c:v>
                </c:pt>
                <c:pt idx="8">
                  <c:v>PANAMERICANA SOLAR</c:v>
                </c:pt>
                <c:pt idx="9">
                  <c:v>PLANTA  ETEN</c:v>
                </c:pt>
                <c:pt idx="10">
                  <c:v>SAMAY I</c:v>
                </c:pt>
                <c:pt idx="11">
                  <c:v>SHOUGESA</c:v>
                </c:pt>
                <c:pt idx="12">
                  <c:v>TACNA SOLAR</c:v>
                </c:pt>
                <c:pt idx="13">
                  <c:v>TERMOCHILCA</c:v>
                </c:pt>
                <c:pt idx="14">
                  <c:v>TERMOSELVA</c:v>
                </c:pt>
                <c:pt idx="15">
                  <c:v>ELECTRICA SANTA ROSA / ATRIA</c:v>
                </c:pt>
                <c:pt idx="16">
                  <c:v>HYDRO PATAPO</c:v>
                </c:pt>
                <c:pt idx="17">
                  <c:v>EGECSAC</c:v>
                </c:pt>
                <c:pt idx="18">
                  <c:v>ELECTRICA YANAPAMPA</c:v>
                </c:pt>
                <c:pt idx="19">
                  <c:v>HIDROCAÑETE</c:v>
                </c:pt>
                <c:pt idx="20">
                  <c:v>PETRAMAS</c:v>
                </c:pt>
                <c:pt idx="21">
                  <c:v>SAN JACINTO</c:v>
                </c:pt>
                <c:pt idx="22">
                  <c:v>GENERACIÓN ANDINA</c:v>
                </c:pt>
                <c:pt idx="23">
                  <c:v>BIOENERGIA</c:v>
                </c:pt>
                <c:pt idx="24">
                  <c:v>CHINANGO</c:v>
                </c:pt>
                <c:pt idx="25">
                  <c:v>ELECTRO ZAÑA</c:v>
                </c:pt>
                <c:pt idx="26">
                  <c:v>EGESUR</c:v>
                </c:pt>
                <c:pt idx="27">
                  <c:v>RIO BAÑOS</c:v>
                </c:pt>
                <c:pt idx="28">
                  <c:v>RIO DOBLE</c:v>
                </c:pt>
                <c:pt idx="29">
                  <c:v>HUAURA POWER</c:v>
                </c:pt>
                <c:pt idx="30">
                  <c:v>AGUA AZUL</c:v>
                </c:pt>
                <c:pt idx="31">
                  <c:v>HIDROMARAÑON/ CELEPSA RENOVABLES</c:v>
                </c:pt>
                <c:pt idx="32">
                  <c:v>HIDROELECTRICA HUANCHOR</c:v>
                </c:pt>
                <c:pt idx="33">
                  <c:v>SANTA ANA</c:v>
                </c:pt>
                <c:pt idx="34">
                  <c:v>ANDEAN POWER</c:v>
                </c:pt>
                <c:pt idx="35">
                  <c:v>P.E. MARCONA</c:v>
                </c:pt>
                <c:pt idx="36">
                  <c:v>SINERSA</c:v>
                </c:pt>
                <c:pt idx="37">
                  <c:v>SDF ENERGIA</c:v>
                </c:pt>
                <c:pt idx="38">
                  <c:v>EMGE JUNÍN / SANTA CRUZ</c:v>
                </c:pt>
                <c:pt idx="39">
                  <c:v>ENERGÍA EÓLICA</c:v>
                </c:pt>
                <c:pt idx="40">
                  <c:v>GEPSA</c:v>
                </c:pt>
                <c:pt idx="41">
                  <c:v>P.E. TRES HERMANAS</c:v>
                </c:pt>
                <c:pt idx="42">
                  <c:v>EMGE HUANZA</c:v>
                </c:pt>
                <c:pt idx="43">
                  <c:v>ENEL GENERACION PIURA</c:v>
                </c:pt>
                <c:pt idx="44">
                  <c:v>INLAND</c:v>
                </c:pt>
                <c:pt idx="45">
                  <c:v>SAN GABAN</c:v>
                </c:pt>
                <c:pt idx="46">
                  <c:v>ENEL GREEN POWER PERU</c:v>
                </c:pt>
                <c:pt idx="47">
                  <c:v>EGEMSA</c:v>
                </c:pt>
                <c:pt idx="48">
                  <c:v>EGASA</c:v>
                </c:pt>
                <c:pt idx="49">
                  <c:v>CELEPSA</c:v>
                </c:pt>
                <c:pt idx="50">
                  <c:v>FENIX POWER</c:v>
                </c:pt>
                <c:pt idx="51">
                  <c:v>STATKRAFT</c:v>
                </c:pt>
                <c:pt idx="52">
                  <c:v>ORAZUL ENERGY PERÚ</c:v>
                </c:pt>
                <c:pt idx="53">
                  <c:v>EMGE HUALLAGA</c:v>
                </c:pt>
                <c:pt idx="54">
                  <c:v>ELECTROPERU</c:v>
                </c:pt>
                <c:pt idx="55">
                  <c:v>ENEL GENERACION PERU</c:v>
                </c:pt>
                <c:pt idx="56">
                  <c:v>ENGIE</c:v>
                </c:pt>
                <c:pt idx="57">
                  <c:v>KALLPA</c:v>
                </c:pt>
              </c:strCache>
            </c:strRef>
          </c:cat>
          <c:val>
            <c:numRef>
              <c:f>'9. Pot. Empresa'!$M$7:$M$64</c:f>
              <c:numCache>
                <c:formatCode>0</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0.14888000000000001</c:v>
                </c:pt>
                <c:pt idx="16">
                  <c:v>0.69699999999999995</c:v>
                </c:pt>
                <c:pt idx="17">
                  <c:v>2.4837899999999999</c:v>
                </c:pt>
                <c:pt idx="18">
                  <c:v>3.4600600000000004</c:v>
                </c:pt>
                <c:pt idx="19">
                  <c:v>3.6</c:v>
                </c:pt>
                <c:pt idx="20">
                  <c:v>6.0778999999999996</c:v>
                </c:pt>
                <c:pt idx="21">
                  <c:v>6.4589999999999996</c:v>
                </c:pt>
                <c:pt idx="22">
                  <c:v>8.335840000000001</c:v>
                </c:pt>
                <c:pt idx="23">
                  <c:v>8.9375</c:v>
                </c:pt>
                <c:pt idx="24">
                  <c:v>9.8530200000000008</c:v>
                </c:pt>
                <c:pt idx="25">
                  <c:v>10.88509</c:v>
                </c:pt>
                <c:pt idx="26">
                  <c:v>12.276</c:v>
                </c:pt>
                <c:pt idx="27">
                  <c:v>16.593600000000002</c:v>
                </c:pt>
                <c:pt idx="28">
                  <c:v>18.142810000000001</c:v>
                </c:pt>
                <c:pt idx="29">
                  <c:v>18.517849999999999</c:v>
                </c:pt>
                <c:pt idx="30">
                  <c:v>19.05782</c:v>
                </c:pt>
                <c:pt idx="31">
                  <c:v>19.142140000000001</c:v>
                </c:pt>
                <c:pt idx="32">
                  <c:v>19.3874</c:v>
                </c:pt>
                <c:pt idx="33">
                  <c:v>20.062539999999998</c:v>
                </c:pt>
                <c:pt idx="34">
                  <c:v>20.720690000000001</c:v>
                </c:pt>
                <c:pt idx="35">
                  <c:v>20.784780000000001</c:v>
                </c:pt>
                <c:pt idx="36">
                  <c:v>23.368099999999998</c:v>
                </c:pt>
                <c:pt idx="37">
                  <c:v>27.175370000000001</c:v>
                </c:pt>
                <c:pt idx="38">
                  <c:v>52.42991</c:v>
                </c:pt>
                <c:pt idx="39">
                  <c:v>65.52637</c:v>
                </c:pt>
                <c:pt idx="40">
                  <c:v>67.464019999999991</c:v>
                </c:pt>
                <c:pt idx="41">
                  <c:v>71.902060000000006</c:v>
                </c:pt>
                <c:pt idx="42">
                  <c:v>80.862840000000006</c:v>
                </c:pt>
                <c:pt idx="43">
                  <c:v>88.887209999999996</c:v>
                </c:pt>
                <c:pt idx="44">
                  <c:v>89.43329</c:v>
                </c:pt>
                <c:pt idx="45">
                  <c:v>108.87512000000001</c:v>
                </c:pt>
                <c:pt idx="46">
                  <c:v>128.48525000000001</c:v>
                </c:pt>
                <c:pt idx="47">
                  <c:v>164.24513999999999</c:v>
                </c:pt>
                <c:pt idx="48">
                  <c:v>168.97479000000004</c:v>
                </c:pt>
                <c:pt idx="49">
                  <c:v>190.60316</c:v>
                </c:pt>
                <c:pt idx="50">
                  <c:v>270.53350999999998</c:v>
                </c:pt>
                <c:pt idx="51">
                  <c:v>337.84769000000006</c:v>
                </c:pt>
                <c:pt idx="52">
                  <c:v>355.59897999999998</c:v>
                </c:pt>
                <c:pt idx="53">
                  <c:v>452.97059999999999</c:v>
                </c:pt>
                <c:pt idx="54">
                  <c:v>862.00319999999999</c:v>
                </c:pt>
                <c:pt idx="55">
                  <c:v>875.17266000000006</c:v>
                </c:pt>
                <c:pt idx="56">
                  <c:v>961.80266000000006</c:v>
                </c:pt>
                <c:pt idx="57">
                  <c:v>1327.7857300000001</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2018</c:v>
                </c:pt>
              </c:strCache>
            </c:strRef>
          </c:tx>
          <c:spPr>
            <a:solidFill>
              <a:srgbClr val="FF6600"/>
            </a:solidFill>
          </c:spPr>
          <c:invertIfNegative val="0"/>
          <c:cat>
            <c:strRef>
              <c:f>'9. Pot. Empresa'!$L$7:$L$64</c:f>
              <c:strCache>
                <c:ptCount val="58"/>
                <c:pt idx="0">
                  <c:v>AGROAURORA</c:v>
                </c:pt>
                <c:pt idx="1">
                  <c:v>AIPSA</c:v>
                </c:pt>
                <c:pt idx="2">
                  <c:v>CERRO VERDE</c:v>
                </c:pt>
                <c:pt idx="3">
                  <c:v>GTS MAJES</c:v>
                </c:pt>
                <c:pt idx="4">
                  <c:v>GTS REPARTICION</c:v>
                </c:pt>
                <c:pt idx="5">
                  <c:v>IYEPSA</c:v>
                </c:pt>
                <c:pt idx="6">
                  <c:v>MAJA ENERGIA</c:v>
                </c:pt>
                <c:pt idx="7">
                  <c:v>MOQUEGUA FV</c:v>
                </c:pt>
                <c:pt idx="8">
                  <c:v>PANAMERICANA SOLAR</c:v>
                </c:pt>
                <c:pt idx="9">
                  <c:v>PLANTA  ETEN</c:v>
                </c:pt>
                <c:pt idx="10">
                  <c:v>SAMAY I</c:v>
                </c:pt>
                <c:pt idx="11">
                  <c:v>SHOUGESA</c:v>
                </c:pt>
                <c:pt idx="12">
                  <c:v>TACNA SOLAR</c:v>
                </c:pt>
                <c:pt idx="13">
                  <c:v>TERMOCHILCA</c:v>
                </c:pt>
                <c:pt idx="14">
                  <c:v>TERMOSELVA</c:v>
                </c:pt>
                <c:pt idx="15">
                  <c:v>ELECTRICA SANTA ROSA / ATRIA</c:v>
                </c:pt>
                <c:pt idx="16">
                  <c:v>HYDRO PATAPO</c:v>
                </c:pt>
                <c:pt idx="17">
                  <c:v>EGECSAC</c:v>
                </c:pt>
                <c:pt idx="18">
                  <c:v>ELECTRICA YANAPAMPA</c:v>
                </c:pt>
                <c:pt idx="19">
                  <c:v>HIDROCAÑETE</c:v>
                </c:pt>
                <c:pt idx="20">
                  <c:v>PETRAMAS</c:v>
                </c:pt>
                <c:pt idx="21">
                  <c:v>SAN JACINTO</c:v>
                </c:pt>
                <c:pt idx="22">
                  <c:v>GENERACIÓN ANDINA</c:v>
                </c:pt>
                <c:pt idx="23">
                  <c:v>BIOENERGIA</c:v>
                </c:pt>
                <c:pt idx="24">
                  <c:v>CHINANGO</c:v>
                </c:pt>
                <c:pt idx="25">
                  <c:v>ELECTRO ZAÑA</c:v>
                </c:pt>
                <c:pt idx="26">
                  <c:v>EGESUR</c:v>
                </c:pt>
                <c:pt idx="27">
                  <c:v>RIO BAÑOS</c:v>
                </c:pt>
                <c:pt idx="28">
                  <c:v>RIO DOBLE</c:v>
                </c:pt>
                <c:pt idx="29">
                  <c:v>HUAURA POWER</c:v>
                </c:pt>
                <c:pt idx="30">
                  <c:v>AGUA AZUL</c:v>
                </c:pt>
                <c:pt idx="31">
                  <c:v>HIDROMARAÑON/ CELEPSA RENOVABLES</c:v>
                </c:pt>
                <c:pt idx="32">
                  <c:v>HIDROELECTRICA HUANCHOR</c:v>
                </c:pt>
                <c:pt idx="33">
                  <c:v>SANTA ANA</c:v>
                </c:pt>
                <c:pt idx="34">
                  <c:v>ANDEAN POWER</c:v>
                </c:pt>
                <c:pt idx="35">
                  <c:v>P.E. MARCONA</c:v>
                </c:pt>
                <c:pt idx="36">
                  <c:v>SINERSA</c:v>
                </c:pt>
                <c:pt idx="37">
                  <c:v>SDF ENERGIA</c:v>
                </c:pt>
                <c:pt idx="38">
                  <c:v>EMGE JUNÍN / SANTA CRUZ</c:v>
                </c:pt>
                <c:pt idx="39">
                  <c:v>ENERGÍA EÓLICA</c:v>
                </c:pt>
                <c:pt idx="40">
                  <c:v>GEPSA</c:v>
                </c:pt>
                <c:pt idx="41">
                  <c:v>P.E. TRES HERMANAS</c:v>
                </c:pt>
                <c:pt idx="42">
                  <c:v>EMGE HUANZA</c:v>
                </c:pt>
                <c:pt idx="43">
                  <c:v>ENEL GENERACION PIURA</c:v>
                </c:pt>
                <c:pt idx="44">
                  <c:v>INLAND</c:v>
                </c:pt>
                <c:pt idx="45">
                  <c:v>SAN GABAN</c:v>
                </c:pt>
                <c:pt idx="46">
                  <c:v>ENEL GREEN POWER PERU</c:v>
                </c:pt>
                <c:pt idx="47">
                  <c:v>EGEMSA</c:v>
                </c:pt>
                <c:pt idx="48">
                  <c:v>EGASA</c:v>
                </c:pt>
                <c:pt idx="49">
                  <c:v>CELEPSA</c:v>
                </c:pt>
                <c:pt idx="50">
                  <c:v>FENIX POWER</c:v>
                </c:pt>
                <c:pt idx="51">
                  <c:v>STATKRAFT</c:v>
                </c:pt>
                <c:pt idx="52">
                  <c:v>ORAZUL ENERGY PERÚ</c:v>
                </c:pt>
                <c:pt idx="53">
                  <c:v>EMGE HUALLAGA</c:v>
                </c:pt>
                <c:pt idx="54">
                  <c:v>ELECTROPERU</c:v>
                </c:pt>
                <c:pt idx="55">
                  <c:v>ENEL GENERACION PERU</c:v>
                </c:pt>
                <c:pt idx="56">
                  <c:v>ENGIE</c:v>
                </c:pt>
                <c:pt idx="57">
                  <c:v>KALLPA</c:v>
                </c:pt>
              </c:strCache>
            </c:strRef>
          </c:cat>
          <c:val>
            <c:numRef>
              <c:f>'9. Pot. Empresa'!$N$7:$N$64</c:f>
              <c:numCache>
                <c:formatCode>0</c:formatCode>
                <c:ptCount val="58"/>
                <c:pt idx="0">
                  <c:v>13.55499</c:v>
                </c:pt>
                <c:pt idx="1">
                  <c:v>12.84328</c:v>
                </c:pt>
                <c:pt idx="2">
                  <c:v>0</c:v>
                </c:pt>
                <c:pt idx="3">
                  <c:v>0</c:v>
                </c:pt>
                <c:pt idx="4">
                  <c:v>0</c:v>
                </c:pt>
                <c:pt idx="5">
                  <c:v>0</c:v>
                </c:pt>
                <c:pt idx="6">
                  <c:v>1.5269999999999999</c:v>
                </c:pt>
                <c:pt idx="7">
                  <c:v>0</c:v>
                </c:pt>
                <c:pt idx="8">
                  <c:v>0</c:v>
                </c:pt>
                <c:pt idx="9">
                  <c:v>0</c:v>
                </c:pt>
                <c:pt idx="10">
                  <c:v>0</c:v>
                </c:pt>
                <c:pt idx="11">
                  <c:v>20.883690000000001</c:v>
                </c:pt>
                <c:pt idx="12">
                  <c:v>0</c:v>
                </c:pt>
                <c:pt idx="13">
                  <c:v>291.77163999999999</c:v>
                </c:pt>
                <c:pt idx="14">
                  <c:v>0</c:v>
                </c:pt>
                <c:pt idx="15">
                  <c:v>0.94188000000000005</c:v>
                </c:pt>
                <c:pt idx="16">
                  <c:v>0.90700000000000003</c:v>
                </c:pt>
                <c:pt idx="17">
                  <c:v>4.9903599999999999</c:v>
                </c:pt>
                <c:pt idx="18">
                  <c:v>3.60182</c:v>
                </c:pt>
                <c:pt idx="19">
                  <c:v>2.4</c:v>
                </c:pt>
                <c:pt idx="20">
                  <c:v>6.8082000000000011</c:v>
                </c:pt>
                <c:pt idx="24">
                  <c:v>182.12267</c:v>
                </c:pt>
                <c:pt idx="25">
                  <c:v>0</c:v>
                </c:pt>
                <c:pt idx="26">
                  <c:v>46.206550000000007</c:v>
                </c:pt>
                <c:pt idx="28">
                  <c:v>9.4473900000000004</c:v>
                </c:pt>
                <c:pt idx="29">
                  <c:v>18.104219999999998</c:v>
                </c:pt>
                <c:pt idx="30">
                  <c:v>15.892329999999999</c:v>
                </c:pt>
                <c:pt idx="31">
                  <c:v>18.877369999999999</c:v>
                </c:pt>
                <c:pt idx="32">
                  <c:v>17.88</c:v>
                </c:pt>
                <c:pt idx="33">
                  <c:v>19.850020000000001</c:v>
                </c:pt>
                <c:pt idx="34">
                  <c:v>20.367170000000002</c:v>
                </c:pt>
                <c:pt idx="35">
                  <c:v>25.828679999999999</c:v>
                </c:pt>
                <c:pt idx="36">
                  <c:v>2.3944800000000002</c:v>
                </c:pt>
                <c:pt idx="37">
                  <c:v>27.943930000000002</c:v>
                </c:pt>
                <c:pt idx="38">
                  <c:v>53.975630000000002</c:v>
                </c:pt>
                <c:pt idx="39">
                  <c:v>56.806190000000001</c:v>
                </c:pt>
                <c:pt idx="40">
                  <c:v>34.778909999999996</c:v>
                </c:pt>
                <c:pt idx="41">
                  <c:v>80.15558</c:v>
                </c:pt>
                <c:pt idx="42">
                  <c:v>81.192689999999999</c:v>
                </c:pt>
                <c:pt idx="43">
                  <c:v>88.366280000000003</c:v>
                </c:pt>
                <c:pt idx="44">
                  <c:v>90.325099999999992</c:v>
                </c:pt>
                <c:pt idx="45">
                  <c:v>110.10356</c:v>
                </c:pt>
                <c:pt idx="46">
                  <c:v>84.311989999999994</c:v>
                </c:pt>
                <c:pt idx="47">
                  <c:v>166.62601000000001</c:v>
                </c:pt>
                <c:pt idx="48">
                  <c:v>167.72149000000002</c:v>
                </c:pt>
                <c:pt idx="49">
                  <c:v>134.03176999999999</c:v>
                </c:pt>
                <c:pt idx="50">
                  <c:v>541.04791</c:v>
                </c:pt>
                <c:pt idx="51">
                  <c:v>339.57974999999999</c:v>
                </c:pt>
                <c:pt idx="52">
                  <c:v>339.10036000000002</c:v>
                </c:pt>
                <c:pt idx="53">
                  <c:v>360.29655000000002</c:v>
                </c:pt>
                <c:pt idx="54">
                  <c:v>837.01967999999999</c:v>
                </c:pt>
                <c:pt idx="55">
                  <c:v>785.28833000000009</c:v>
                </c:pt>
                <c:pt idx="56">
                  <c:v>1017.5046399999998</c:v>
                </c:pt>
                <c:pt idx="57">
                  <c:v>751.21424999999999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0"/>
          <c:order val="2"/>
          <c:tx>
            <c:v>2018</c:v>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2019</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formatCode="0.0">
                  <c:v>224.15199279999999</c:v>
                </c:pt>
                <c:pt idx="18" formatCode="0.0">
                  <c:v>224.378006</c:v>
                </c:pt>
                <c:pt idx="19" formatCode="0.0">
                  <c:v>224.60401920000001</c:v>
                </c:pt>
                <c:pt idx="20" formatCode="0.0">
                  <c:v>223.4909973</c:v>
                </c:pt>
                <c:pt idx="21" formatCode="0.0">
                  <c:v>222.62600710000001</c:v>
                </c:pt>
                <c:pt idx="22" formatCode="0.0">
                  <c:v>221.62399289999999</c:v>
                </c:pt>
                <c:pt idx="23" formatCode="0.0">
                  <c:v>218.3840027</c:v>
                </c:pt>
                <c:pt idx="24" formatCode="0.0">
                  <c:v>215.08099369999999</c:v>
                </c:pt>
                <c:pt idx="25" formatCode="0.0">
                  <c:v>210.41900630000001</c:v>
                </c:pt>
                <c:pt idx="26" formatCode="0.0">
                  <c:v>204.23</c:v>
                </c:pt>
                <c:pt idx="27" formatCode="0.0">
                  <c:v>201.1309967</c:v>
                </c:pt>
                <c:pt idx="28" formatCode="0.0">
                  <c:v>196.16000366210901</c:v>
                </c:pt>
                <c:pt idx="29" formatCode="0.0">
                  <c:v>193.86</c:v>
                </c:pt>
                <c:pt idx="30" formatCode="0.0">
                  <c:v>186.24800110000001</c:v>
                </c:pt>
                <c:pt idx="31" formatCode="General">
                  <c:v>182.40899659999999</c:v>
                </c:pt>
                <c:pt idx="32" formatCode="General">
                  <c:v>178.6940002</c:v>
                </c:pt>
                <c:pt idx="33" formatCode="General">
                  <c:v>173.61300660000001</c:v>
                </c:pt>
                <c:pt idx="34" formatCode="General">
                  <c:v>170.0189972</c:v>
                </c:pt>
                <c:pt idx="35" formatCode="General">
                  <c:v>166.0690002</c:v>
                </c:pt>
                <c:pt idx="36" formatCode="General">
                  <c:v>159.17399599999999</c:v>
                </c:pt>
                <c:pt idx="37" formatCode="General">
                  <c:v>157.84</c:v>
                </c:pt>
                <c:pt idx="38" formatCode="General">
                  <c:v>156.28199768066401</c:v>
                </c:pt>
                <c:pt idx="39" formatCode="General">
                  <c:v>148.3529968</c:v>
                </c:pt>
                <c:pt idx="40" formatCode="General">
                  <c:v>151.04400630000001</c:v>
                </c:pt>
                <c:pt idx="41" formatCode="General">
                  <c:v>146.53</c:v>
                </c:pt>
                <c:pt idx="42" formatCode="General">
                  <c:v>137.7400055</c:v>
                </c:pt>
                <c:pt idx="43" formatCode="General">
                  <c:v>133.1380005</c:v>
                </c:pt>
                <c:pt idx="44" formatCode="General">
                  <c:v>125.7330017</c:v>
                </c:pt>
                <c:pt idx="45" formatCode="General">
                  <c:v>125.2030029</c:v>
                </c:pt>
                <c:pt idx="46" formatCode="General">
                  <c:v>120.5130005</c:v>
                </c:pt>
                <c:pt idx="47" formatCode="General">
                  <c:v>119.3089981</c:v>
                </c:pt>
                <c:pt idx="48" formatCode="General">
                  <c:v>119.33200069999999</c:v>
                </c:pt>
                <c:pt idx="49" formatCode="General">
                  <c:v>135.91499329999999</c:v>
                </c:pt>
                <c:pt idx="50" formatCode="General">
                  <c:v>131.21000670000001</c:v>
                </c:pt>
                <c:pt idx="51" formatCode="General">
                  <c:v>139.86399840000001</c:v>
                </c:pt>
                <c:pt idx="52" formatCode="General">
                  <c:v>146.8090057</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0"/>
          <c:order val="2"/>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2019</c:v>
                </c:pt>
              </c:strCache>
            </c:strRef>
          </c:tx>
          <c:spPr>
            <a:ln w="6350"/>
          </c:spPr>
          <c:val>
            <c:numRef>
              <c:f>'11. Volúmenes'!$R$6:$R$58</c:f>
              <c:numCache>
                <c:formatCode>General</c:formatCode>
                <c:ptCount val="53"/>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formatCode="0.000">
                  <c:v>315.3340149</c:v>
                </c:pt>
                <c:pt idx="20" formatCode="0.000">
                  <c:v>311.78100590000003</c:v>
                </c:pt>
                <c:pt idx="21" formatCode="0.000">
                  <c:v>310.60000609999997</c:v>
                </c:pt>
                <c:pt idx="22" formatCode="0.000">
                  <c:v>307.06500240000003</c:v>
                </c:pt>
                <c:pt idx="23" formatCode="0.000">
                  <c:v>302.9590149</c:v>
                </c:pt>
                <c:pt idx="24" formatCode="0.000">
                  <c:v>300.0379944</c:v>
                </c:pt>
                <c:pt idx="25" formatCode="0.000">
                  <c:v>296.06698610000001</c:v>
                </c:pt>
                <c:pt idx="26" formatCode="0.000">
                  <c:v>275.89</c:v>
                </c:pt>
                <c:pt idx="27" formatCode="0.000">
                  <c:v>248.58200070000001</c:v>
                </c:pt>
                <c:pt idx="28" formatCode="0.000">
                  <c:v>238.787994384765</c:v>
                </c:pt>
                <c:pt idx="29" formatCode="0.000">
                  <c:v>229.12</c:v>
                </c:pt>
                <c:pt idx="30" formatCode="0.00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pt idx="52">
                  <c:v>140.34500120000001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6="http://schemas.microsoft.com/office/drawing/2014/chart" uri="{C3380CC4-5D6E-409C-BE32-E72D297353CC}">
              <c16:uniqueId val="{00000002-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6="http://schemas.microsoft.com/office/drawing/2014/chart" uri="{C3380CC4-5D6E-409C-BE32-E72D297353CC}">
              <c16:uniqueId val="{00000001-47CE-4929-AC22-8EC513788285}"/>
            </c:ext>
          </c:extLst>
        </c:ser>
        <c:ser>
          <c:idx val="0"/>
          <c:order val="2"/>
          <c:tx>
            <c:v>2018</c:v>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2019</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General</c:formatCode>
                <c:ptCount val="53"/>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pt idx="52">
                  <c:v>183.63100289100001</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2436.2101136875003</c:v>
                </c:pt>
                <c:pt idx="1">
                  <c:v>1812.1990822999999</c:v>
                </c:pt>
                <c:pt idx="2">
                  <c:v>0</c:v>
                </c:pt>
                <c:pt idx="3">
                  <c:v>14.568871332499999</c:v>
                </c:pt>
                <c:pt idx="4">
                  <c:v>16.608781927500001</c:v>
                </c:pt>
                <c:pt idx="5">
                  <c:v>139.86001345999998</c:v>
                </c:pt>
                <c:pt idx="6">
                  <c:v>76.637353504999993</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1205.8369907049998</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2.8942725924999997</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24.5232905925</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131.07747016499999</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77.499948982500001</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'12.Caudales'!$J$4:$K$212</c:f>
              <c:multiLvlStrCache>
                <c:ptCount val="20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89">
                    <c:v>34</c:v>
                  </c:pt>
                  <c:pt idx="195">
                    <c:v>40</c:v>
                  </c:pt>
                  <c:pt idx="199">
                    <c:v>44</c:v>
                  </c:pt>
                  <c:pt idx="203">
                    <c:v>48</c:v>
                  </c:pt>
                  <c:pt idx="208">
                    <c:v>53</c:v>
                  </c:pt>
                </c:lvl>
                <c:lvl>
                  <c:pt idx="0">
                    <c:v>2016</c:v>
                  </c:pt>
                  <c:pt idx="52">
                    <c:v>2017</c:v>
                  </c:pt>
                  <c:pt idx="104">
                    <c:v>2018</c:v>
                  </c:pt>
                  <c:pt idx="156">
                    <c:v>2019</c:v>
                  </c:pt>
                </c:lvl>
              </c:multiLvlStrCache>
            </c:multiLvlStrRef>
          </c:cat>
          <c:val>
            <c:numRef>
              <c:f>'12.Caudales'!$N$4:$N$212</c:f>
              <c:numCache>
                <c:formatCode>0.0</c:formatCode>
                <c:ptCount val="209"/>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pt idx="139">
                  <c:v>23.007142857142856</c:v>
                </c:pt>
                <c:pt idx="140">
                  <c:v>23.173571724285711</c:v>
                </c:pt>
                <c:pt idx="141">
                  <c:v>26.454000201428567</c:v>
                </c:pt>
                <c:pt idx="142">
                  <c:v>23.7</c:v>
                </c:pt>
                <c:pt idx="143">
                  <c:v>23.695143017142858</c:v>
                </c:pt>
                <c:pt idx="144">
                  <c:v>28.113285882132363</c:v>
                </c:pt>
                <c:pt idx="145">
                  <c:v>37.073285511561743</c:v>
                </c:pt>
                <c:pt idx="146">
                  <c:v>70.535571507045162</c:v>
                </c:pt>
                <c:pt idx="147">
                  <c:v>55.183714184285712</c:v>
                </c:pt>
                <c:pt idx="148">
                  <c:v>60.445714132857141</c:v>
                </c:pt>
                <c:pt idx="149">
                  <c:v>57.005714285714291</c:v>
                </c:pt>
                <c:pt idx="150">
                  <c:v>103.00771440714287</c:v>
                </c:pt>
                <c:pt idx="151">
                  <c:v>99.828000734285709</c:v>
                </c:pt>
                <c:pt idx="152">
                  <c:v>60.27571428571428</c:v>
                </c:pt>
                <c:pt idx="153">
                  <c:v>46.701999664285715</c:v>
                </c:pt>
                <c:pt idx="154">
                  <c:v>68.7</c:v>
                </c:pt>
                <c:pt idx="155">
                  <c:v>97.347143448571416</c:v>
                </c:pt>
                <c:pt idx="156">
                  <c:v>78.298570904285711</c:v>
                </c:pt>
                <c:pt idx="157">
                  <c:v>95.081715179999989</c:v>
                </c:pt>
                <c:pt idx="158">
                  <c:v>95.65</c:v>
                </c:pt>
                <c:pt idx="159">
                  <c:v>109.29957036285714</c:v>
                </c:pt>
                <c:pt idx="160">
                  <c:v>149.65083311999999</c:v>
                </c:pt>
                <c:pt idx="161">
                  <c:v>136.57714285714286</c:v>
                </c:pt>
                <c:pt idx="162">
                  <c:v>224.71071514285714</c:v>
                </c:pt>
                <c:pt idx="163">
                  <c:v>198.04342652857142</c:v>
                </c:pt>
                <c:pt idx="164">
                  <c:v>191.0112849857143</c:v>
                </c:pt>
                <c:pt idx="165">
                  <c:v>215.64014109999999</c:v>
                </c:pt>
                <c:pt idx="166">
                  <c:v>236.76099940708642</c:v>
                </c:pt>
                <c:pt idx="167">
                  <c:v>250.8679761904763</c:v>
                </c:pt>
                <c:pt idx="168">
                  <c:v>301.45971681428574</c:v>
                </c:pt>
                <c:pt idx="169">
                  <c:v>253.08542525714284</c:v>
                </c:pt>
                <c:pt idx="170">
                  <c:v>253.08542525714284</c:v>
                </c:pt>
                <c:pt idx="171">
                  <c:v>141.0458592</c:v>
                </c:pt>
                <c:pt idx="172">
                  <c:v>123.86656951428571</c:v>
                </c:pt>
                <c:pt idx="173">
                  <c:v>85.173857551428583</c:v>
                </c:pt>
                <c:pt idx="174">
                  <c:v>71.224285714285699</c:v>
                </c:pt>
                <c:pt idx="175">
                  <c:v>76.857142859999996</c:v>
                </c:pt>
                <c:pt idx="176">
                  <c:v>47.97114345</c:v>
                </c:pt>
                <c:pt idx="177">
                  <c:v>37.624285945285713</c:v>
                </c:pt>
                <c:pt idx="178">
                  <c:v>37.806285858571421</c:v>
                </c:pt>
                <c:pt idx="179">
                  <c:v>35.468714032857143</c:v>
                </c:pt>
                <c:pt idx="180">
                  <c:v>33.200142724285719</c:v>
                </c:pt>
                <c:pt idx="181">
                  <c:v>28.376285825714287</c:v>
                </c:pt>
                <c:pt idx="182">
                  <c:v>28.47</c:v>
                </c:pt>
                <c:pt idx="183">
                  <c:v>28.920333226666667</c:v>
                </c:pt>
                <c:pt idx="184">
                  <c:v>24.422333717346149</c:v>
                </c:pt>
                <c:pt idx="185">
                  <c:v>24.086666666666662</c:v>
                </c:pt>
                <c:pt idx="186">
                  <c:v>22.471285411428575</c:v>
                </c:pt>
                <c:pt idx="187">
                  <c:v>25.212714058571429</c:v>
                </c:pt>
                <c:pt idx="188">
                  <c:v>28.061000278571431</c:v>
                </c:pt>
                <c:pt idx="189">
                  <c:v>28.455856868571431</c:v>
                </c:pt>
                <c:pt idx="190">
                  <c:v>26.646000226666668</c:v>
                </c:pt>
                <c:pt idx="191">
                  <c:v>27.720570974285714</c:v>
                </c:pt>
                <c:pt idx="192">
                  <c:v>27.967571258571429</c:v>
                </c:pt>
                <c:pt idx="193">
                  <c:v>31.354000000000003</c:v>
                </c:pt>
                <c:pt idx="194">
                  <c:v>37.146399307250938</c:v>
                </c:pt>
                <c:pt idx="195">
                  <c:v>29.934999783333328</c:v>
                </c:pt>
                <c:pt idx="196">
                  <c:v>31.668000084285715</c:v>
                </c:pt>
                <c:pt idx="197">
                  <c:v>30.061428571428571</c:v>
                </c:pt>
                <c:pt idx="198">
                  <c:v>48.129999975714291</c:v>
                </c:pt>
                <c:pt idx="199">
                  <c:v>37.781833011666663</c:v>
                </c:pt>
                <c:pt idx="200">
                  <c:v>60.721429549999996</c:v>
                </c:pt>
                <c:pt idx="201">
                  <c:v>68.569856369999997</c:v>
                </c:pt>
                <c:pt idx="202">
                  <c:v>51.534999302857152</c:v>
                </c:pt>
                <c:pt idx="203">
                  <c:v>45.115714484285718</c:v>
                </c:pt>
                <c:pt idx="204">
                  <c:v>84.846428458571424</c:v>
                </c:pt>
                <c:pt idx="205">
                  <c:v>99.139714364285723</c:v>
                </c:pt>
                <c:pt idx="206">
                  <c:v>201.52657207142857</c:v>
                </c:pt>
                <c:pt idx="207">
                  <c:v>224.1094316857143</c:v>
                </c:pt>
                <c:pt idx="208" formatCode="General">
                  <c:v>205.2461395</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'12.Caudales'!$J$4:$K$212</c:f>
              <c:multiLvlStrCache>
                <c:ptCount val="20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89">
                    <c:v>34</c:v>
                  </c:pt>
                  <c:pt idx="195">
                    <c:v>40</c:v>
                  </c:pt>
                  <c:pt idx="199">
                    <c:v>44</c:v>
                  </c:pt>
                  <c:pt idx="203">
                    <c:v>48</c:v>
                  </c:pt>
                  <c:pt idx="208">
                    <c:v>53</c:v>
                  </c:pt>
                </c:lvl>
                <c:lvl>
                  <c:pt idx="0">
                    <c:v>2016</c:v>
                  </c:pt>
                  <c:pt idx="52">
                    <c:v>2017</c:v>
                  </c:pt>
                  <c:pt idx="104">
                    <c:v>2018</c:v>
                  </c:pt>
                  <c:pt idx="156">
                    <c:v>2019</c:v>
                  </c:pt>
                </c:lvl>
              </c:multiLvlStrCache>
            </c:multiLvlStrRef>
          </c:cat>
          <c:val>
            <c:numRef>
              <c:f>'12.Caudales'!$O$4:$O$212</c:f>
              <c:numCache>
                <c:formatCode>0.0</c:formatCode>
                <c:ptCount val="209"/>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pt idx="139">
                  <c:v>3.9657142857142857</c:v>
                </c:pt>
                <c:pt idx="140">
                  <c:v>3.5334285327142858</c:v>
                </c:pt>
                <c:pt idx="141">
                  <c:v>6.4914285118571433</c:v>
                </c:pt>
                <c:pt idx="142">
                  <c:v>4.9000000000000004</c:v>
                </c:pt>
                <c:pt idx="143">
                  <c:v>4.898285797571428</c:v>
                </c:pt>
                <c:pt idx="144">
                  <c:v>8.3430000032697169</c:v>
                </c:pt>
                <c:pt idx="145">
                  <c:v>7.2735712868826683</c:v>
                </c:pt>
                <c:pt idx="146">
                  <c:v>7.4324284962245324</c:v>
                </c:pt>
                <c:pt idx="147">
                  <c:v>15.801856994857145</c:v>
                </c:pt>
                <c:pt idx="148">
                  <c:v>26.432857787142858</c:v>
                </c:pt>
                <c:pt idx="149">
                  <c:v>53.502857142857145</c:v>
                </c:pt>
                <c:pt idx="150">
                  <c:v>53.459142955714292</c:v>
                </c:pt>
                <c:pt idx="151">
                  <c:v>45.539571760000008</c:v>
                </c:pt>
                <c:pt idx="152">
                  <c:v>17.955714285714286</c:v>
                </c:pt>
                <c:pt idx="153">
                  <c:v>13.432571411428571</c:v>
                </c:pt>
                <c:pt idx="154">
                  <c:v>39.414285714285711</c:v>
                </c:pt>
                <c:pt idx="155">
                  <c:v>65.679429182857149</c:v>
                </c:pt>
                <c:pt idx="156">
                  <c:v>21.927143370000003</c:v>
                </c:pt>
                <c:pt idx="157">
                  <c:v>22.397999900000002</c:v>
                </c:pt>
                <c:pt idx="158">
                  <c:v>17.61</c:v>
                </c:pt>
                <c:pt idx="159">
                  <c:v>17.638000354285712</c:v>
                </c:pt>
                <c:pt idx="160">
                  <c:v>19.218833289999999</c:v>
                </c:pt>
                <c:pt idx="161">
                  <c:v>57.185714285714276</c:v>
                </c:pt>
                <c:pt idx="162">
                  <c:v>118.06042697857141</c:v>
                </c:pt>
                <c:pt idx="163">
                  <c:v>106.29885756428571</c:v>
                </c:pt>
                <c:pt idx="164">
                  <c:v>142.12385776285717</c:v>
                </c:pt>
                <c:pt idx="165">
                  <c:v>164.59685624285717</c:v>
                </c:pt>
                <c:pt idx="166">
                  <c:v>121.6507121494835</c:v>
                </c:pt>
                <c:pt idx="167">
                  <c:v>166.63136904761905</c:v>
                </c:pt>
                <c:pt idx="168">
                  <c:v>180.07000078571429</c:v>
                </c:pt>
                <c:pt idx="169">
                  <c:v>143.43971579999999</c:v>
                </c:pt>
                <c:pt idx="170">
                  <c:v>152.6561442857143</c:v>
                </c:pt>
                <c:pt idx="171">
                  <c:v>83.844285145714295</c:v>
                </c:pt>
                <c:pt idx="172">
                  <c:v>125.28814153857142</c:v>
                </c:pt>
                <c:pt idx="173">
                  <c:v>66.347143447142855</c:v>
                </c:pt>
                <c:pt idx="174">
                  <c:v>42.216071428571425</c:v>
                </c:pt>
                <c:pt idx="175">
                  <c:v>58.324429100000003</c:v>
                </c:pt>
                <c:pt idx="176">
                  <c:v>34.032571519999998</c:v>
                </c:pt>
                <c:pt idx="177">
                  <c:v>40.524285998571429</c:v>
                </c:pt>
                <c:pt idx="178">
                  <c:v>25.010571342857141</c:v>
                </c:pt>
                <c:pt idx="179">
                  <c:v>18.242713997857145</c:v>
                </c:pt>
                <c:pt idx="180">
                  <c:v>16.013142995714286</c:v>
                </c:pt>
                <c:pt idx="181">
                  <c:v>12.961571557142857</c:v>
                </c:pt>
                <c:pt idx="182">
                  <c:v>11.39</c:v>
                </c:pt>
                <c:pt idx="183">
                  <c:v>11.405166626666668</c:v>
                </c:pt>
                <c:pt idx="184">
                  <c:v>10.173999945322651</c:v>
                </c:pt>
                <c:pt idx="185">
                  <c:v>9.1716666666666669</c:v>
                </c:pt>
                <c:pt idx="186">
                  <c:v>8.5915715354285727</c:v>
                </c:pt>
                <c:pt idx="187">
                  <c:v>6.6260000637142857</c:v>
                </c:pt>
                <c:pt idx="188">
                  <c:v>5.9311428751428581</c:v>
                </c:pt>
                <c:pt idx="189">
                  <c:v>5.2604285648571434</c:v>
                </c:pt>
                <c:pt idx="190">
                  <c:v>4.7316666444999997</c:v>
                </c:pt>
                <c:pt idx="191">
                  <c:v>4.5542856622857144</c:v>
                </c:pt>
                <c:pt idx="192">
                  <c:v>4.1919999124285718</c:v>
                </c:pt>
                <c:pt idx="193">
                  <c:v>4.1759999999999993</c:v>
                </c:pt>
                <c:pt idx="194">
                  <c:v>4.8932001113891559</c:v>
                </c:pt>
                <c:pt idx="195">
                  <c:v>5.3130000431666664</c:v>
                </c:pt>
                <c:pt idx="196">
                  <c:v>8.3924286701428574</c:v>
                </c:pt>
                <c:pt idx="197">
                  <c:v>9.2871428571428574</c:v>
                </c:pt>
                <c:pt idx="198">
                  <c:v>18.153714861428572</c:v>
                </c:pt>
                <c:pt idx="199">
                  <c:v>19.903499760000003</c:v>
                </c:pt>
                <c:pt idx="200">
                  <c:v>69.077428547142844</c:v>
                </c:pt>
                <c:pt idx="201">
                  <c:v>51.190428054285711</c:v>
                </c:pt>
                <c:pt idx="202">
                  <c:v>21.676285608571426</c:v>
                </c:pt>
                <c:pt idx="203">
                  <c:v>19.428714208571428</c:v>
                </c:pt>
                <c:pt idx="204">
                  <c:v>67.787142617142862</c:v>
                </c:pt>
                <c:pt idx="205">
                  <c:v>46.000713344285714</c:v>
                </c:pt>
                <c:pt idx="206">
                  <c:v>43.586286274285712</c:v>
                </c:pt>
                <c:pt idx="207">
                  <c:v>50.483570642857153</c:v>
                </c:pt>
                <c:pt idx="208" formatCode="General">
                  <c:v>83.637714931428576</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'12.Caudales'!$J$4:$K$212</c:f>
              <c:multiLvlStrCache>
                <c:ptCount val="20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89">
                    <c:v>34</c:v>
                  </c:pt>
                  <c:pt idx="195">
                    <c:v>40</c:v>
                  </c:pt>
                  <c:pt idx="199">
                    <c:v>44</c:v>
                  </c:pt>
                  <c:pt idx="203">
                    <c:v>48</c:v>
                  </c:pt>
                  <c:pt idx="208">
                    <c:v>53</c:v>
                  </c:pt>
                </c:lvl>
                <c:lvl>
                  <c:pt idx="0">
                    <c:v>2016</c:v>
                  </c:pt>
                  <c:pt idx="52">
                    <c:v>2017</c:v>
                  </c:pt>
                  <c:pt idx="104">
                    <c:v>2018</c:v>
                  </c:pt>
                  <c:pt idx="156">
                    <c:v>2019</c:v>
                  </c:pt>
                </c:lvl>
              </c:multiLvlStrCache>
            </c:multiLvlStrRef>
          </c:cat>
          <c:val>
            <c:numRef>
              <c:f>'12.Caudales'!$M$4:$M$212</c:f>
              <c:numCache>
                <c:formatCode>0.0</c:formatCode>
                <c:ptCount val="209"/>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pt idx="139">
                  <c:v>15.042857142857143</c:v>
                </c:pt>
                <c:pt idx="140">
                  <c:v>13.386857033</c:v>
                </c:pt>
                <c:pt idx="141">
                  <c:v>12.963714189999999</c:v>
                </c:pt>
                <c:pt idx="142">
                  <c:v>9.4700000000000006</c:v>
                </c:pt>
                <c:pt idx="143">
                  <c:v>9.6714286802857146</c:v>
                </c:pt>
                <c:pt idx="144">
                  <c:v>13.23900018419533</c:v>
                </c:pt>
                <c:pt idx="145">
                  <c:v>13.085142816816015</c:v>
                </c:pt>
                <c:pt idx="146">
                  <c:v>24.981571742466489</c:v>
                </c:pt>
                <c:pt idx="147">
                  <c:v>20.55814279714286</c:v>
                </c:pt>
                <c:pt idx="148">
                  <c:v>26.170000077142856</c:v>
                </c:pt>
                <c:pt idx="149">
                  <c:v>19.728571428571428</c:v>
                </c:pt>
                <c:pt idx="150">
                  <c:v>39.656714302857139</c:v>
                </c:pt>
                <c:pt idx="151">
                  <c:v>39.656714302857139</c:v>
                </c:pt>
                <c:pt idx="152">
                  <c:v>22.62857142857143</c:v>
                </c:pt>
                <c:pt idx="153">
                  <c:v>17.776714461428572</c:v>
                </c:pt>
                <c:pt idx="154">
                  <c:v>34.085714285714282</c:v>
                </c:pt>
                <c:pt idx="155">
                  <c:v>52.094142914285719</c:v>
                </c:pt>
                <c:pt idx="156">
                  <c:v>27.79999951142857</c:v>
                </c:pt>
                <c:pt idx="157">
                  <c:v>28.678571428571427</c:v>
                </c:pt>
                <c:pt idx="158">
                  <c:v>44.51</c:v>
                </c:pt>
                <c:pt idx="159">
                  <c:v>73.323141914285699</c:v>
                </c:pt>
                <c:pt idx="160">
                  <c:v>103.17716724333333</c:v>
                </c:pt>
                <c:pt idx="161">
                  <c:v>79.165714285714287</c:v>
                </c:pt>
                <c:pt idx="162">
                  <c:v>120.02256992142858</c:v>
                </c:pt>
                <c:pt idx="163">
                  <c:v>97.560142514285715</c:v>
                </c:pt>
                <c:pt idx="164">
                  <c:v>97.560142514285715</c:v>
                </c:pt>
                <c:pt idx="165">
                  <c:v>97.497286117142863</c:v>
                </c:pt>
                <c:pt idx="166">
                  <c:v>98.21585736955906</c:v>
                </c:pt>
                <c:pt idx="167">
                  <c:v>91.857713972857141</c:v>
                </c:pt>
                <c:pt idx="168">
                  <c:v>100.0137132957143</c:v>
                </c:pt>
                <c:pt idx="169">
                  <c:v>84.272714885714294</c:v>
                </c:pt>
                <c:pt idx="170">
                  <c:v>61.074856892857142</c:v>
                </c:pt>
                <c:pt idx="171">
                  <c:v>47.843714031428576</c:v>
                </c:pt>
                <c:pt idx="172">
                  <c:v>50.907143728571427</c:v>
                </c:pt>
                <c:pt idx="173">
                  <c:v>39.120999471428568</c:v>
                </c:pt>
                <c:pt idx="174">
                  <c:v>35.410856791428571</c:v>
                </c:pt>
                <c:pt idx="175">
                  <c:v>32.405142920000003</c:v>
                </c:pt>
                <c:pt idx="176">
                  <c:v>26.58385740142857</c:v>
                </c:pt>
                <c:pt idx="177">
                  <c:v>19.653714315714286</c:v>
                </c:pt>
                <c:pt idx="178">
                  <c:v>16.50400011857143</c:v>
                </c:pt>
                <c:pt idx="179">
                  <c:v>14.890428544285713</c:v>
                </c:pt>
                <c:pt idx="180">
                  <c:v>15.340000017142858</c:v>
                </c:pt>
                <c:pt idx="181">
                  <c:v>15.521142687142857</c:v>
                </c:pt>
                <c:pt idx="182">
                  <c:v>15.32</c:v>
                </c:pt>
                <c:pt idx="183">
                  <c:v>14.809428488571427</c:v>
                </c:pt>
                <c:pt idx="184">
                  <c:v>13.666428565978956</c:v>
                </c:pt>
                <c:pt idx="185">
                  <c:v>13.392857142857142</c:v>
                </c:pt>
                <c:pt idx="186">
                  <c:v>13.098428589999999</c:v>
                </c:pt>
                <c:pt idx="187">
                  <c:v>12.228285654285713</c:v>
                </c:pt>
                <c:pt idx="188">
                  <c:v>12.838714327142856</c:v>
                </c:pt>
                <c:pt idx="189">
                  <c:v>12.37928554</c:v>
                </c:pt>
                <c:pt idx="190">
                  <c:v>11.92371409142857</c:v>
                </c:pt>
                <c:pt idx="191">
                  <c:v>10.731857162857143</c:v>
                </c:pt>
                <c:pt idx="192">
                  <c:v>11.481428825714286</c:v>
                </c:pt>
                <c:pt idx="193">
                  <c:v>12.217142857142859</c:v>
                </c:pt>
                <c:pt idx="194">
                  <c:v>15.0261430740356</c:v>
                </c:pt>
                <c:pt idx="195">
                  <c:v>13.292000225714288</c:v>
                </c:pt>
                <c:pt idx="196">
                  <c:v>15.472143037142859</c:v>
                </c:pt>
                <c:pt idx="197">
                  <c:v>14.602857142857143</c:v>
                </c:pt>
                <c:pt idx="198">
                  <c:v>18.763999527142854</c:v>
                </c:pt>
                <c:pt idx="199">
                  <c:v>12.722428322857143</c:v>
                </c:pt>
                <c:pt idx="200">
                  <c:v>22.372000012857146</c:v>
                </c:pt>
                <c:pt idx="201">
                  <c:v>28.101571491428576</c:v>
                </c:pt>
                <c:pt idx="202">
                  <c:v>22.222285951428574</c:v>
                </c:pt>
                <c:pt idx="203">
                  <c:v>18.796428408571426</c:v>
                </c:pt>
                <c:pt idx="204">
                  <c:v>40.459857124285712</c:v>
                </c:pt>
                <c:pt idx="205">
                  <c:v>55.208571570000004</c:v>
                </c:pt>
                <c:pt idx="206">
                  <c:v>84.778857641428559</c:v>
                </c:pt>
                <c:pt idx="207">
                  <c:v>90.21400125571428</c:v>
                </c:pt>
                <c:pt idx="208" formatCode="General">
                  <c:v>80.061285835714287</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'13.Caudales'!$N$4:$O$212</c:f>
              <c:multiLvlStrCache>
                <c:ptCount val="20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pt idx="203">
                    <c:v>48</c:v>
                  </c:pt>
                  <c:pt idx="208">
                    <c:v>53</c:v>
                  </c:pt>
                </c:lvl>
                <c:lvl>
                  <c:pt idx="0">
                    <c:v>2016</c:v>
                  </c:pt>
                  <c:pt idx="52">
                    <c:v>2017</c:v>
                  </c:pt>
                  <c:pt idx="104">
                    <c:v>2018</c:v>
                  </c:pt>
                  <c:pt idx="156">
                    <c:v>2019</c:v>
                  </c:pt>
                </c:lvl>
              </c:multiLvlStrCache>
            </c:multiLvlStrRef>
          </c:cat>
          <c:val>
            <c:numRef>
              <c:f>'13.Caudales'!$Q$4:$Q$212</c:f>
              <c:numCache>
                <c:formatCode>0.0</c:formatCode>
                <c:ptCount val="209"/>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7.5428571428571427</c:v>
                </c:pt>
                <c:pt idx="139">
                  <c:v>7.1671427998571433</c:v>
                </c:pt>
                <c:pt idx="140">
                  <c:v>7.1637143408571422</c:v>
                </c:pt>
                <c:pt idx="141">
                  <c:v>8.31</c:v>
                </c:pt>
                <c:pt idx="142">
                  <c:v>7.621428489714285</c:v>
                </c:pt>
                <c:pt idx="143">
                  <c:v>7.621428489714285</c:v>
                </c:pt>
                <c:pt idx="144">
                  <c:v>7.2698572022574259</c:v>
                </c:pt>
                <c:pt idx="145">
                  <c:v>6.2732856614249064</c:v>
                </c:pt>
                <c:pt idx="146">
                  <c:v>8.3208571161542526</c:v>
                </c:pt>
                <c:pt idx="147">
                  <c:v>9.2941429947142868</c:v>
                </c:pt>
                <c:pt idx="148">
                  <c:v>8.6642857274285721</c:v>
                </c:pt>
                <c:pt idx="149">
                  <c:v>8.5371428571428574</c:v>
                </c:pt>
                <c:pt idx="150">
                  <c:v>9.0094285692857135</c:v>
                </c:pt>
                <c:pt idx="151">
                  <c:v>8.5042856081428582</c:v>
                </c:pt>
                <c:pt idx="152">
                  <c:v>8.27</c:v>
                </c:pt>
                <c:pt idx="153">
                  <c:v>8.1765714374285707</c:v>
                </c:pt>
                <c:pt idx="154">
                  <c:v>10.342857142857142</c:v>
                </c:pt>
                <c:pt idx="155">
                  <c:v>10.661999840142856</c:v>
                </c:pt>
                <c:pt idx="156">
                  <c:v>8.992857251428573</c:v>
                </c:pt>
                <c:pt idx="157">
                  <c:v>7.4904285157142843</c:v>
                </c:pt>
                <c:pt idx="158">
                  <c:v>14.36</c:v>
                </c:pt>
                <c:pt idx="159">
                  <c:v>17.131428719999999</c:v>
                </c:pt>
                <c:pt idx="160">
                  <c:v>30.592286245714288</c:v>
                </c:pt>
                <c:pt idx="161">
                  <c:v>20.372857142857146</c:v>
                </c:pt>
                <c:pt idx="162">
                  <c:v>28.837571554285717</c:v>
                </c:pt>
                <c:pt idx="163">
                  <c:v>20.077857700000003</c:v>
                </c:pt>
                <c:pt idx="164">
                  <c:v>26.317999977142858</c:v>
                </c:pt>
                <c:pt idx="165">
                  <c:v>27.959571565714288</c:v>
                </c:pt>
                <c:pt idx="166">
                  <c:v>27.959571565714288</c:v>
                </c:pt>
                <c:pt idx="167">
                  <c:v>28.476714270455457</c:v>
                </c:pt>
                <c:pt idx="168">
                  <c:v>24.844714028571435</c:v>
                </c:pt>
                <c:pt idx="169">
                  <c:v>29.483285902857141</c:v>
                </c:pt>
                <c:pt idx="170">
                  <c:v>20.040428705714284</c:v>
                </c:pt>
                <c:pt idx="171">
                  <c:v>16.072142737142858</c:v>
                </c:pt>
                <c:pt idx="172">
                  <c:v>15.383999960000001</c:v>
                </c:pt>
                <c:pt idx="173">
                  <c:v>16.026142665714286</c:v>
                </c:pt>
                <c:pt idx="174">
                  <c:v>14.769714355714287</c:v>
                </c:pt>
                <c:pt idx="175">
                  <c:v>13.81242861</c:v>
                </c:pt>
                <c:pt idx="176">
                  <c:v>12.849714414285714</c:v>
                </c:pt>
                <c:pt idx="177">
                  <c:v>12.105428559999998</c:v>
                </c:pt>
                <c:pt idx="178">
                  <c:v>11.272714207142856</c:v>
                </c:pt>
                <c:pt idx="179">
                  <c:v>10.867999894285715</c:v>
                </c:pt>
                <c:pt idx="180">
                  <c:v>10.167285918857143</c:v>
                </c:pt>
                <c:pt idx="181">
                  <c:v>9.3535717554285718</c:v>
                </c:pt>
                <c:pt idx="182">
                  <c:v>8.86</c:v>
                </c:pt>
                <c:pt idx="183">
                  <c:v>8.9135712215714289</c:v>
                </c:pt>
                <c:pt idx="184">
                  <c:v>9.1244284766060932</c:v>
                </c:pt>
                <c:pt idx="185">
                  <c:v>8.5528571428571407</c:v>
                </c:pt>
                <c:pt idx="186">
                  <c:v>8.6655714172857152</c:v>
                </c:pt>
                <c:pt idx="187">
                  <c:v>8.8231430052857132</c:v>
                </c:pt>
                <c:pt idx="188">
                  <c:v>7.5077142715714285</c:v>
                </c:pt>
                <c:pt idx="189">
                  <c:v>7.6147142817142859</c:v>
                </c:pt>
                <c:pt idx="190">
                  <c:v>8.7815715245714294</c:v>
                </c:pt>
                <c:pt idx="191">
                  <c:v>8.2851428302857144</c:v>
                </c:pt>
                <c:pt idx="192">
                  <c:v>7.6475714954285712</c:v>
                </c:pt>
                <c:pt idx="193">
                  <c:v>7.6971428571428575</c:v>
                </c:pt>
                <c:pt idx="194">
                  <c:v>7.6702859061104887</c:v>
                </c:pt>
                <c:pt idx="195">
                  <c:v>6.5494285314285721</c:v>
                </c:pt>
                <c:pt idx="196">
                  <c:v>8.096428529999999</c:v>
                </c:pt>
                <c:pt idx="197">
                  <c:v>7.4685714285714289</c:v>
                </c:pt>
                <c:pt idx="198">
                  <c:v>8.9041427881428579</c:v>
                </c:pt>
                <c:pt idx="199">
                  <c:v>7.8245713370000001</c:v>
                </c:pt>
                <c:pt idx="200">
                  <c:v>9.4607142031428566</c:v>
                </c:pt>
                <c:pt idx="201">
                  <c:v>9.3077141910000005</c:v>
                </c:pt>
                <c:pt idx="202">
                  <c:v>9.4625713492857138</c:v>
                </c:pt>
                <c:pt idx="203">
                  <c:v>10.788142817999999</c:v>
                </c:pt>
                <c:pt idx="204">
                  <c:v>12.195857184142856</c:v>
                </c:pt>
                <c:pt idx="205">
                  <c:v>12.195857184142856</c:v>
                </c:pt>
                <c:pt idx="206">
                  <c:v>18.622142792857144</c:v>
                </c:pt>
                <c:pt idx="207">
                  <c:v>29.98</c:v>
                </c:pt>
                <c:pt idx="208" formatCode="General">
                  <c:v>16.182714325714286</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'13.Caudales'!$N$4:$O$212</c:f>
              <c:multiLvlStrCache>
                <c:ptCount val="20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pt idx="203">
                    <c:v>48</c:v>
                  </c:pt>
                  <c:pt idx="208">
                    <c:v>53</c:v>
                  </c:pt>
                </c:lvl>
                <c:lvl>
                  <c:pt idx="0">
                    <c:v>2016</c:v>
                  </c:pt>
                  <c:pt idx="52">
                    <c:v>2017</c:v>
                  </c:pt>
                  <c:pt idx="104">
                    <c:v>2018</c:v>
                  </c:pt>
                  <c:pt idx="156">
                    <c:v>2019</c:v>
                  </c:pt>
                </c:lvl>
              </c:multiLvlStrCache>
            </c:multiLvlStrRef>
          </c:cat>
          <c:val>
            <c:numRef>
              <c:f>'13.Caudales'!$R$4:$R$212</c:f>
              <c:numCache>
                <c:formatCode>0.0</c:formatCode>
                <c:ptCount val="209"/>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pt idx="139">
                  <c:v>4.8342857142857136</c:v>
                </c:pt>
                <c:pt idx="140">
                  <c:v>3.1535714688571423</c:v>
                </c:pt>
                <c:pt idx="141">
                  <c:v>3.3441428289999995</c:v>
                </c:pt>
                <c:pt idx="142">
                  <c:v>4.6500000000000004</c:v>
                </c:pt>
                <c:pt idx="143">
                  <c:v>5.128571373571428</c:v>
                </c:pt>
                <c:pt idx="144">
                  <c:v>4.8594285079410948</c:v>
                </c:pt>
                <c:pt idx="145">
                  <c:v>4.00314286776951</c:v>
                </c:pt>
                <c:pt idx="146">
                  <c:v>6.0481427737644662</c:v>
                </c:pt>
                <c:pt idx="147">
                  <c:v>7.6531428608571428</c:v>
                </c:pt>
                <c:pt idx="148">
                  <c:v>4.2061428341428568</c:v>
                </c:pt>
                <c:pt idx="149">
                  <c:v>5.9</c:v>
                </c:pt>
                <c:pt idx="150">
                  <c:v>7.1015714912857133</c:v>
                </c:pt>
                <c:pt idx="151">
                  <c:v>4.3617142950000005</c:v>
                </c:pt>
                <c:pt idx="152">
                  <c:v>6.9099999999999993</c:v>
                </c:pt>
                <c:pt idx="153">
                  <c:v>6.5639999597142857</c:v>
                </c:pt>
                <c:pt idx="154">
                  <c:v>7.3285714285714283</c:v>
                </c:pt>
                <c:pt idx="155">
                  <c:v>7.4820000789999996</c:v>
                </c:pt>
                <c:pt idx="156">
                  <c:v>4.4642857141428571</c:v>
                </c:pt>
                <c:pt idx="157">
                  <c:v>3.3685714177142856</c:v>
                </c:pt>
                <c:pt idx="158">
                  <c:v>10.74</c:v>
                </c:pt>
                <c:pt idx="159">
                  <c:v>11.155714580142858</c:v>
                </c:pt>
                <c:pt idx="160">
                  <c:v>16.463000024285716</c:v>
                </c:pt>
                <c:pt idx="161">
                  <c:v>17.05857142857143</c:v>
                </c:pt>
                <c:pt idx="162">
                  <c:v>18.065285818571429</c:v>
                </c:pt>
                <c:pt idx="163">
                  <c:v>14.531571660571432</c:v>
                </c:pt>
                <c:pt idx="164">
                  <c:v>19.520428521428574</c:v>
                </c:pt>
                <c:pt idx="165">
                  <c:v>20.831714628571426</c:v>
                </c:pt>
                <c:pt idx="166">
                  <c:v>22.247142927987216</c:v>
                </c:pt>
                <c:pt idx="167">
                  <c:v>21.707857131428572</c:v>
                </c:pt>
                <c:pt idx="168">
                  <c:v>20.569142751428576</c:v>
                </c:pt>
                <c:pt idx="169">
                  <c:v>18.767857142857142</c:v>
                </c:pt>
                <c:pt idx="170">
                  <c:v>14.275999887714287</c:v>
                </c:pt>
                <c:pt idx="171">
                  <c:v>10.180143014285713</c:v>
                </c:pt>
                <c:pt idx="172">
                  <c:v>12.121571608857142</c:v>
                </c:pt>
                <c:pt idx="173">
                  <c:v>11.996285711571428</c:v>
                </c:pt>
                <c:pt idx="174">
                  <c:v>10.123285769857144</c:v>
                </c:pt>
                <c:pt idx="175">
                  <c:v>9.3731427190000005</c:v>
                </c:pt>
                <c:pt idx="176">
                  <c:v>7.085428442285715</c:v>
                </c:pt>
                <c:pt idx="177">
                  <c:v>7.3308571058571435</c:v>
                </c:pt>
                <c:pt idx="178">
                  <c:v>7.7242857718571427</c:v>
                </c:pt>
                <c:pt idx="179">
                  <c:v>8.8337143495714301</c:v>
                </c:pt>
                <c:pt idx="180">
                  <c:v>7.6592858184285708</c:v>
                </c:pt>
                <c:pt idx="181">
                  <c:v>6.2751428064285708</c:v>
                </c:pt>
                <c:pt idx="182">
                  <c:v>7.15</c:v>
                </c:pt>
                <c:pt idx="183">
                  <c:v>5.7058570728571425</c:v>
                </c:pt>
                <c:pt idx="184">
                  <c:v>6.4564285959516052</c:v>
                </c:pt>
                <c:pt idx="185">
                  <c:v>4.6828571428571433</c:v>
                </c:pt>
                <c:pt idx="186">
                  <c:v>6.0697142064285714</c:v>
                </c:pt>
                <c:pt idx="187">
                  <c:v>7.5088570807142858</c:v>
                </c:pt>
                <c:pt idx="188">
                  <c:v>3.2121428764285715</c:v>
                </c:pt>
                <c:pt idx="189">
                  <c:v>3.3949999810000002</c:v>
                </c:pt>
                <c:pt idx="190">
                  <c:v>7.1025714534285722</c:v>
                </c:pt>
                <c:pt idx="191">
                  <c:v>6.7619999824285708</c:v>
                </c:pt>
                <c:pt idx="192">
                  <c:v>6.5272856442857137</c:v>
                </c:pt>
                <c:pt idx="193">
                  <c:v>5.444285714285714</c:v>
                </c:pt>
                <c:pt idx="194">
                  <c:v>5.896142857415323</c:v>
                </c:pt>
                <c:pt idx="195">
                  <c:v>3.8238571030000004</c:v>
                </c:pt>
                <c:pt idx="196">
                  <c:v>4.0404286040000006</c:v>
                </c:pt>
                <c:pt idx="197">
                  <c:v>4.8257142857142856</c:v>
                </c:pt>
                <c:pt idx="198">
                  <c:v>7.354714223857143</c:v>
                </c:pt>
                <c:pt idx="199">
                  <c:v>6.0929999348571409</c:v>
                </c:pt>
                <c:pt idx="200">
                  <c:v>6.8107141777142859</c:v>
                </c:pt>
                <c:pt idx="201">
                  <c:v>7.0327142307142854</c:v>
                </c:pt>
                <c:pt idx="202">
                  <c:v>5.5844285494285719</c:v>
                </c:pt>
                <c:pt idx="203">
                  <c:v>7.5644286014285722</c:v>
                </c:pt>
                <c:pt idx="204">
                  <c:v>8.7971429828571424</c:v>
                </c:pt>
                <c:pt idx="205">
                  <c:v>8.7971429828571424</c:v>
                </c:pt>
                <c:pt idx="206">
                  <c:v>18.057571141428571</c:v>
                </c:pt>
                <c:pt idx="207">
                  <c:v>19.592142921428572</c:v>
                </c:pt>
                <c:pt idx="208" formatCode="General">
                  <c:v>8.7855713015714283</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'13.Caudales'!$N$4:$O$212</c:f>
              <c:multiLvlStrCache>
                <c:ptCount val="20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pt idx="203">
                    <c:v>48</c:v>
                  </c:pt>
                  <c:pt idx="208">
                    <c:v>53</c:v>
                  </c:pt>
                </c:lvl>
                <c:lvl>
                  <c:pt idx="0">
                    <c:v>2016</c:v>
                  </c:pt>
                  <c:pt idx="52">
                    <c:v>2017</c:v>
                  </c:pt>
                  <c:pt idx="104">
                    <c:v>2018</c:v>
                  </c:pt>
                  <c:pt idx="156">
                    <c:v>2019</c:v>
                  </c:pt>
                </c:lvl>
              </c:multiLvlStrCache>
            </c:multiLvlStrRef>
          </c:cat>
          <c:val>
            <c:numRef>
              <c:f>'13.Caudales'!$S$4:$S$212</c:f>
              <c:numCache>
                <c:formatCode>0.0</c:formatCode>
                <c:ptCount val="209"/>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pt idx="139">
                  <c:v>63.092857142857149</c:v>
                </c:pt>
                <c:pt idx="140">
                  <c:v>61.141713821428574</c:v>
                </c:pt>
                <c:pt idx="141">
                  <c:v>49.664428712857145</c:v>
                </c:pt>
                <c:pt idx="142">
                  <c:v>42.24</c:v>
                </c:pt>
                <c:pt idx="143">
                  <c:v>38.906285422857138</c:v>
                </c:pt>
                <c:pt idx="144">
                  <c:v>42.923713956560341</c:v>
                </c:pt>
                <c:pt idx="145">
                  <c:v>73.976001194545148</c:v>
                </c:pt>
                <c:pt idx="146">
                  <c:v>97.234427315848038</c:v>
                </c:pt>
                <c:pt idx="147">
                  <c:v>120.62971387142855</c:v>
                </c:pt>
                <c:pt idx="148">
                  <c:v>125.43157086857143</c:v>
                </c:pt>
                <c:pt idx="149">
                  <c:v>78.757142857142853</c:v>
                </c:pt>
                <c:pt idx="150">
                  <c:v>88.111712864285735</c:v>
                </c:pt>
                <c:pt idx="151">
                  <c:v>80.151286534285717</c:v>
                </c:pt>
                <c:pt idx="152">
                  <c:v>66.555714285714288</c:v>
                </c:pt>
                <c:pt idx="153">
                  <c:v>61.602715082857152</c:v>
                </c:pt>
                <c:pt idx="154">
                  <c:v>53.9</c:v>
                </c:pt>
                <c:pt idx="155">
                  <c:v>57.504999978571433</c:v>
                </c:pt>
                <c:pt idx="156">
                  <c:v>57.514999934285704</c:v>
                </c:pt>
                <c:pt idx="157">
                  <c:v>63.363856724285711</c:v>
                </c:pt>
                <c:pt idx="158">
                  <c:v>80.75</c:v>
                </c:pt>
                <c:pt idx="159">
                  <c:v>85.689570837142853</c:v>
                </c:pt>
                <c:pt idx="160">
                  <c:v>416.48700821428571</c:v>
                </c:pt>
                <c:pt idx="161">
                  <c:v>426.67142857142863</c:v>
                </c:pt>
                <c:pt idx="162">
                  <c:v>581.62514822857145</c:v>
                </c:pt>
                <c:pt idx="163">
                  <c:v>439.74099729999995</c:v>
                </c:pt>
                <c:pt idx="164">
                  <c:v>316.26999772857147</c:v>
                </c:pt>
                <c:pt idx="165">
                  <c:v>326.63642664285715</c:v>
                </c:pt>
                <c:pt idx="166">
                  <c:v>416.08099801199745</c:v>
                </c:pt>
                <c:pt idx="167">
                  <c:v>394.13957431428571</c:v>
                </c:pt>
                <c:pt idx="168">
                  <c:v>522.42285592857138</c:v>
                </c:pt>
                <c:pt idx="169">
                  <c:v>316.33943394285717</c:v>
                </c:pt>
                <c:pt idx="170">
                  <c:v>168.45457024285716</c:v>
                </c:pt>
                <c:pt idx="171">
                  <c:v>131.80142647142856</c:v>
                </c:pt>
                <c:pt idx="172">
                  <c:v>143.84128789999997</c:v>
                </c:pt>
                <c:pt idx="173">
                  <c:v>111.12314277285714</c:v>
                </c:pt>
                <c:pt idx="174">
                  <c:v>89.41828482428572</c:v>
                </c:pt>
                <c:pt idx="175">
                  <c:v>79.212427410000004</c:v>
                </c:pt>
                <c:pt idx="176">
                  <c:v>62.717000688571432</c:v>
                </c:pt>
                <c:pt idx="177">
                  <c:v>41.633143151428598</c:v>
                </c:pt>
                <c:pt idx="178">
                  <c:v>41.633143151428598</c:v>
                </c:pt>
                <c:pt idx="179">
                  <c:v>78.434000150000003</c:v>
                </c:pt>
                <c:pt idx="180">
                  <c:v>77.872000559999989</c:v>
                </c:pt>
                <c:pt idx="181">
                  <c:v>76.447856358571428</c:v>
                </c:pt>
                <c:pt idx="182">
                  <c:v>77.430000000000007</c:v>
                </c:pt>
                <c:pt idx="183">
                  <c:v>76.24514443428572</c:v>
                </c:pt>
                <c:pt idx="184">
                  <c:v>66.31271307809007</c:v>
                </c:pt>
                <c:pt idx="185">
                  <c:v>72.048571428571435</c:v>
                </c:pt>
                <c:pt idx="186">
                  <c:v>71.543143134285714</c:v>
                </c:pt>
                <c:pt idx="187">
                  <c:v>73.754999434285722</c:v>
                </c:pt>
                <c:pt idx="188">
                  <c:v>68.878572191428574</c:v>
                </c:pt>
                <c:pt idx="189">
                  <c:v>65.663999831428569</c:v>
                </c:pt>
                <c:pt idx="190">
                  <c:v>65.224427905714279</c:v>
                </c:pt>
                <c:pt idx="191">
                  <c:v>60.719142914285719</c:v>
                </c:pt>
                <c:pt idx="192">
                  <c:v>62.679428645714289</c:v>
                </c:pt>
                <c:pt idx="193">
                  <c:v>65.47</c:v>
                </c:pt>
                <c:pt idx="194">
                  <c:v>72.930715288434641</c:v>
                </c:pt>
                <c:pt idx="195">
                  <c:v>70.661287578571418</c:v>
                </c:pt>
                <c:pt idx="196">
                  <c:v>65.047571455714291</c:v>
                </c:pt>
                <c:pt idx="197">
                  <c:v>67.597142857142856</c:v>
                </c:pt>
                <c:pt idx="198">
                  <c:v>80.445570807142857</c:v>
                </c:pt>
                <c:pt idx="199">
                  <c:v>68.079284669999993</c:v>
                </c:pt>
                <c:pt idx="200">
                  <c:v>71.555715832857132</c:v>
                </c:pt>
                <c:pt idx="201">
                  <c:v>91.077428547142858</c:v>
                </c:pt>
                <c:pt idx="202">
                  <c:v>81.972856794285704</c:v>
                </c:pt>
                <c:pt idx="203">
                  <c:v>84.626999989999987</c:v>
                </c:pt>
                <c:pt idx="204">
                  <c:v>127.52371543</c:v>
                </c:pt>
                <c:pt idx="205">
                  <c:v>183.5428575857143</c:v>
                </c:pt>
                <c:pt idx="206">
                  <c:v>292.95071844285718</c:v>
                </c:pt>
                <c:pt idx="207">
                  <c:v>381.11599999999993</c:v>
                </c:pt>
                <c:pt idx="208" formatCode="General">
                  <c:v>271.83385794285715</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'13.Caudales'!$N$4:$O$212</c:f>
              <c:multiLvlStrCache>
                <c:ptCount val="20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pt idx="203">
                    <c:v>48</c:v>
                  </c:pt>
                  <c:pt idx="208">
                    <c:v>53</c:v>
                  </c:pt>
                </c:lvl>
                <c:lvl>
                  <c:pt idx="0">
                    <c:v>2016</c:v>
                  </c:pt>
                  <c:pt idx="52">
                    <c:v>2017</c:v>
                  </c:pt>
                  <c:pt idx="104">
                    <c:v>2018</c:v>
                  </c:pt>
                  <c:pt idx="156">
                    <c:v>2019</c:v>
                  </c:pt>
                </c:lvl>
              </c:multiLvlStrCache>
            </c:multiLvlStrRef>
          </c:cat>
          <c:val>
            <c:numRef>
              <c:f>'13.Caudales'!$T$4:$T$212</c:f>
              <c:numCache>
                <c:formatCode>0.0</c:formatCode>
                <c:ptCount val="209"/>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pt idx="139">
                  <c:v>34.571428571428569</c:v>
                </c:pt>
                <c:pt idx="140">
                  <c:v>28.744000025714286</c:v>
                </c:pt>
                <c:pt idx="141">
                  <c:v>35.571571351428574</c:v>
                </c:pt>
                <c:pt idx="142">
                  <c:v>39.39</c:v>
                </c:pt>
                <c:pt idx="143">
                  <c:v>41.34000069857143</c:v>
                </c:pt>
                <c:pt idx="144">
                  <c:v>56.607142857142847</c:v>
                </c:pt>
                <c:pt idx="145">
                  <c:v>89.232285635811792</c:v>
                </c:pt>
                <c:pt idx="146">
                  <c:v>125.70828465052978</c:v>
                </c:pt>
                <c:pt idx="147">
                  <c:v>157.60714285714286</c:v>
                </c:pt>
                <c:pt idx="148">
                  <c:v>105.63685608857143</c:v>
                </c:pt>
                <c:pt idx="149">
                  <c:v>79.304285714285712</c:v>
                </c:pt>
                <c:pt idx="150">
                  <c:v>74.684428622857141</c:v>
                </c:pt>
                <c:pt idx="151">
                  <c:v>95.303570342857142</c:v>
                </c:pt>
                <c:pt idx="152">
                  <c:v>54.31</c:v>
                </c:pt>
                <c:pt idx="153">
                  <c:v>52.47614288285714</c:v>
                </c:pt>
                <c:pt idx="154">
                  <c:v>126.14285714285714</c:v>
                </c:pt>
                <c:pt idx="155">
                  <c:v>100.38085719714286</c:v>
                </c:pt>
                <c:pt idx="156">
                  <c:v>79.871427261428579</c:v>
                </c:pt>
                <c:pt idx="157">
                  <c:v>84.184571402857145</c:v>
                </c:pt>
                <c:pt idx="158">
                  <c:v>149.30000000000001</c:v>
                </c:pt>
                <c:pt idx="159">
                  <c:v>168.80999974285714</c:v>
                </c:pt>
                <c:pt idx="160">
                  <c:v>195.24999782857142</c:v>
                </c:pt>
                <c:pt idx="161">
                  <c:v>265.28000000000003</c:v>
                </c:pt>
                <c:pt idx="162">
                  <c:v>230.7322888857143</c:v>
                </c:pt>
                <c:pt idx="163">
                  <c:v>219.37485614285717</c:v>
                </c:pt>
                <c:pt idx="164">
                  <c:v>191.17842539999998</c:v>
                </c:pt>
                <c:pt idx="165">
                  <c:v>184.08928571428572</c:v>
                </c:pt>
                <c:pt idx="166">
                  <c:v>226.88085501534573</c:v>
                </c:pt>
                <c:pt idx="167">
                  <c:v>203.44642857142858</c:v>
                </c:pt>
                <c:pt idx="168">
                  <c:v>225.26185825714285</c:v>
                </c:pt>
                <c:pt idx="169">
                  <c:v>152.47643277142856</c:v>
                </c:pt>
                <c:pt idx="170">
                  <c:v>98.160714291428576</c:v>
                </c:pt>
                <c:pt idx="171">
                  <c:v>98.279714314285712</c:v>
                </c:pt>
                <c:pt idx="172">
                  <c:v>83.547571454285716</c:v>
                </c:pt>
                <c:pt idx="173">
                  <c:v>74.392857142857139</c:v>
                </c:pt>
                <c:pt idx="174">
                  <c:v>60.613000051428571</c:v>
                </c:pt>
                <c:pt idx="175">
                  <c:v>72.321428569999995</c:v>
                </c:pt>
                <c:pt idx="176">
                  <c:v>52.565571377142859</c:v>
                </c:pt>
                <c:pt idx="177">
                  <c:v>49.261999948571429</c:v>
                </c:pt>
                <c:pt idx="178">
                  <c:v>40.500142779999997</c:v>
                </c:pt>
                <c:pt idx="179">
                  <c:v>35.785857065714289</c:v>
                </c:pt>
                <c:pt idx="180">
                  <c:v>33.357000077142857</c:v>
                </c:pt>
                <c:pt idx="181">
                  <c:v>29.154571531428569</c:v>
                </c:pt>
                <c:pt idx="182">
                  <c:v>30.35</c:v>
                </c:pt>
                <c:pt idx="183">
                  <c:v>27.702285765714286</c:v>
                </c:pt>
                <c:pt idx="184">
                  <c:v>29.940428597586454</c:v>
                </c:pt>
                <c:pt idx="185">
                  <c:v>36.729999999999997</c:v>
                </c:pt>
                <c:pt idx="186">
                  <c:v>31.720428468571431</c:v>
                </c:pt>
                <c:pt idx="187">
                  <c:v>23.255857194285714</c:v>
                </c:pt>
                <c:pt idx="188">
                  <c:v>21.297428674285715</c:v>
                </c:pt>
                <c:pt idx="189">
                  <c:v>20.922428674285715</c:v>
                </c:pt>
                <c:pt idx="190">
                  <c:v>19.458285740000001</c:v>
                </c:pt>
                <c:pt idx="191">
                  <c:v>25.369000025714286</c:v>
                </c:pt>
                <c:pt idx="192">
                  <c:v>28.136857168571428</c:v>
                </c:pt>
                <c:pt idx="193">
                  <c:v>29.351428571428567</c:v>
                </c:pt>
                <c:pt idx="194">
                  <c:v>26.470285688127774</c:v>
                </c:pt>
                <c:pt idx="195">
                  <c:v>28.190571377142856</c:v>
                </c:pt>
                <c:pt idx="196">
                  <c:v>47.010571615714284</c:v>
                </c:pt>
                <c:pt idx="197">
                  <c:v>47.291428571428575</c:v>
                </c:pt>
                <c:pt idx="198">
                  <c:v>71.934570317142857</c:v>
                </c:pt>
                <c:pt idx="199">
                  <c:v>33.011999948571429</c:v>
                </c:pt>
                <c:pt idx="200">
                  <c:v>77.119000028571435</c:v>
                </c:pt>
                <c:pt idx="201">
                  <c:v>102.37485722571429</c:v>
                </c:pt>
                <c:pt idx="202">
                  <c:v>82.511857174285723</c:v>
                </c:pt>
                <c:pt idx="203">
                  <c:v>67.75</c:v>
                </c:pt>
                <c:pt idx="204">
                  <c:v>92.821572431428564</c:v>
                </c:pt>
                <c:pt idx="205">
                  <c:v>117.73200008285714</c:v>
                </c:pt>
                <c:pt idx="206">
                  <c:v>180.44057028571427</c:v>
                </c:pt>
                <c:pt idx="207">
                  <c:v>222.82728794285717</c:v>
                </c:pt>
                <c:pt idx="208" formatCode="General">
                  <c:v>172.15485925714285</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cat>
            <c:multiLvlStrRef>
              <c:f>'13.Caudales'!$N$4:$O$212</c:f>
              <c:multiLvlStrCache>
                <c:ptCount val="20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pt idx="203">
                    <c:v>48</c:v>
                  </c:pt>
                  <c:pt idx="208">
                    <c:v>53</c:v>
                  </c:pt>
                </c:lvl>
                <c:lvl>
                  <c:pt idx="0">
                    <c:v>2016</c:v>
                  </c:pt>
                  <c:pt idx="52">
                    <c:v>2017</c:v>
                  </c:pt>
                  <c:pt idx="104">
                    <c:v>2018</c:v>
                  </c:pt>
                  <c:pt idx="156">
                    <c:v>2019</c:v>
                  </c:pt>
                </c:lvl>
              </c:multiLvlStrCache>
            </c:multiLvlStrRef>
          </c:cat>
          <c:val>
            <c:numRef>
              <c:f>'13.Caudales'!$U$4:$U$212</c:f>
              <c:numCache>
                <c:formatCode>0.0</c:formatCode>
                <c:ptCount val="209"/>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pt idx="139">
                  <c:v>7.5942857142857134</c:v>
                </c:pt>
                <c:pt idx="140">
                  <c:v>6.5637142318571433</c:v>
                </c:pt>
                <c:pt idx="141">
                  <c:v>7.2939999444285712</c:v>
                </c:pt>
                <c:pt idx="142">
                  <c:v>7.68</c:v>
                </c:pt>
                <c:pt idx="143">
                  <c:v>9.112857137571428</c:v>
                </c:pt>
                <c:pt idx="144">
                  <c:v>11.170142854962995</c:v>
                </c:pt>
                <c:pt idx="145">
                  <c:v>19.282285690307582</c:v>
                </c:pt>
                <c:pt idx="146">
                  <c:v>26.382142475673081</c:v>
                </c:pt>
                <c:pt idx="147">
                  <c:v>33.364427840000005</c:v>
                </c:pt>
                <c:pt idx="148">
                  <c:v>18.735571588571428</c:v>
                </c:pt>
                <c:pt idx="149">
                  <c:v>13.16</c:v>
                </c:pt>
                <c:pt idx="150">
                  <c:v>13.483142988571428</c:v>
                </c:pt>
                <c:pt idx="151">
                  <c:v>12.543571337142859</c:v>
                </c:pt>
                <c:pt idx="152">
                  <c:v>8.99</c:v>
                </c:pt>
                <c:pt idx="153">
                  <c:v>10.909571511285714</c:v>
                </c:pt>
                <c:pt idx="154">
                  <c:v>16.8</c:v>
                </c:pt>
                <c:pt idx="155">
                  <c:v>16.435142652857145</c:v>
                </c:pt>
                <c:pt idx="156">
                  <c:v>13.115714484285716</c:v>
                </c:pt>
                <c:pt idx="157">
                  <c:v>16.11014284285714</c:v>
                </c:pt>
                <c:pt idx="158">
                  <c:v>29.23</c:v>
                </c:pt>
                <c:pt idx="159">
                  <c:v>36.200000218571425</c:v>
                </c:pt>
                <c:pt idx="160">
                  <c:v>36.703999928571427</c:v>
                </c:pt>
                <c:pt idx="161">
                  <c:v>51.29</c:v>
                </c:pt>
                <c:pt idx="162">
                  <c:v>46.224000658571427</c:v>
                </c:pt>
                <c:pt idx="163">
                  <c:v>42.94585745571429</c:v>
                </c:pt>
                <c:pt idx="164">
                  <c:v>34.696428571428569</c:v>
                </c:pt>
                <c:pt idx="165">
                  <c:v>38.680999754285715</c:v>
                </c:pt>
                <c:pt idx="166">
                  <c:v>42.633285522460888</c:v>
                </c:pt>
                <c:pt idx="167">
                  <c:v>43.529285431428569</c:v>
                </c:pt>
                <c:pt idx="168">
                  <c:v>57.974427901428569</c:v>
                </c:pt>
                <c:pt idx="169">
                  <c:v>55.119428907142868</c:v>
                </c:pt>
                <c:pt idx="170">
                  <c:v>27.713714872857139</c:v>
                </c:pt>
                <c:pt idx="171">
                  <c:v>22.869143077142859</c:v>
                </c:pt>
                <c:pt idx="172">
                  <c:v>20.273857388571425</c:v>
                </c:pt>
                <c:pt idx="173">
                  <c:v>18.103142875714287</c:v>
                </c:pt>
                <c:pt idx="174">
                  <c:v>15.728999954285714</c:v>
                </c:pt>
                <c:pt idx="175">
                  <c:v>20.647571429999999</c:v>
                </c:pt>
                <c:pt idx="176">
                  <c:v>14.46171447</c:v>
                </c:pt>
                <c:pt idx="177">
                  <c:v>12.621714454285712</c:v>
                </c:pt>
                <c:pt idx="178">
                  <c:v>10.571857179142857</c:v>
                </c:pt>
                <c:pt idx="179">
                  <c:v>9.2180000031428584</c:v>
                </c:pt>
                <c:pt idx="180">
                  <c:v>8.9321429390000002</c:v>
                </c:pt>
                <c:pt idx="181">
                  <c:v>8.3007144928571428</c:v>
                </c:pt>
                <c:pt idx="182">
                  <c:v>8.59</c:v>
                </c:pt>
                <c:pt idx="183">
                  <c:v>7.8261427880000003</c:v>
                </c:pt>
                <c:pt idx="184">
                  <c:v>7.6488569804600273</c:v>
                </c:pt>
                <c:pt idx="185">
                  <c:v>8.18</c:v>
                </c:pt>
                <c:pt idx="186">
                  <c:v>7.0618571554285712</c:v>
                </c:pt>
                <c:pt idx="187">
                  <c:v>6.2595714159999991</c:v>
                </c:pt>
                <c:pt idx="188">
                  <c:v>6.3691428730000004</c:v>
                </c:pt>
                <c:pt idx="189">
                  <c:v>6.115428584</c:v>
                </c:pt>
                <c:pt idx="190">
                  <c:v>6.3137143680000003</c:v>
                </c:pt>
                <c:pt idx="191">
                  <c:v>5.8737142427142857</c:v>
                </c:pt>
                <c:pt idx="192">
                  <c:v>6.1154285838571436</c:v>
                </c:pt>
                <c:pt idx="193">
                  <c:v>6.8328571428571419</c:v>
                </c:pt>
                <c:pt idx="194">
                  <c:v>9.2337144442966927</c:v>
                </c:pt>
                <c:pt idx="195">
                  <c:v>9.6928569934285722</c:v>
                </c:pt>
                <c:pt idx="196">
                  <c:v>10.709857054714286</c:v>
                </c:pt>
                <c:pt idx="197">
                  <c:v>8.5642857142857132</c:v>
                </c:pt>
                <c:pt idx="198">
                  <c:v>12.279142925142859</c:v>
                </c:pt>
                <c:pt idx="199">
                  <c:v>8.685571329857142</c:v>
                </c:pt>
                <c:pt idx="200">
                  <c:v>11.169571467285715</c:v>
                </c:pt>
                <c:pt idx="201">
                  <c:v>13.601000102857142</c:v>
                </c:pt>
                <c:pt idx="202">
                  <c:v>10.628571509714286</c:v>
                </c:pt>
                <c:pt idx="203">
                  <c:v>8.4404285975714277</c:v>
                </c:pt>
                <c:pt idx="204">
                  <c:v>12.563142707428572</c:v>
                </c:pt>
                <c:pt idx="205">
                  <c:v>21.506999832857144</c:v>
                </c:pt>
                <c:pt idx="206">
                  <c:v>47.032857078571432</c:v>
                </c:pt>
                <c:pt idx="207">
                  <c:v>45.963714052857135</c:v>
                </c:pt>
                <c:pt idx="208" formatCode="General">
                  <c:v>29.933428355714284</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'13.Caudales'!$N$4:$O$212</c:f>
              <c:multiLvlStrCache>
                <c:ptCount val="20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pt idx="203">
                    <c:v>48</c:v>
                  </c:pt>
                  <c:pt idx="208">
                    <c:v>53</c:v>
                  </c:pt>
                </c:lvl>
                <c:lvl>
                  <c:pt idx="0">
                    <c:v>2016</c:v>
                  </c:pt>
                  <c:pt idx="52">
                    <c:v>2017</c:v>
                  </c:pt>
                  <c:pt idx="104">
                    <c:v>2018</c:v>
                  </c:pt>
                  <c:pt idx="156">
                    <c:v>2019</c:v>
                  </c:pt>
                </c:lvl>
              </c:multiLvlStrCache>
            </c:multiLvlStrRef>
          </c:cat>
          <c:val>
            <c:numRef>
              <c:f>'13.Caudales'!$V$4:$V$212</c:f>
              <c:numCache>
                <c:formatCode>0.0</c:formatCode>
                <c:ptCount val="209"/>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pt idx="139">
                  <c:v>11.091428571428571</c:v>
                </c:pt>
                <c:pt idx="140">
                  <c:v>10.825238499999999</c:v>
                </c:pt>
                <c:pt idx="141">
                  <c:v>11.159824370000001</c:v>
                </c:pt>
                <c:pt idx="142">
                  <c:v>11.33</c:v>
                </c:pt>
                <c:pt idx="143">
                  <c:v>11.565001485714285</c:v>
                </c:pt>
                <c:pt idx="144">
                  <c:v>12.740178653172041</c:v>
                </c:pt>
                <c:pt idx="145">
                  <c:v>11.792381422860229</c:v>
                </c:pt>
                <c:pt idx="146">
                  <c:v>12.0416071755545</c:v>
                </c:pt>
                <c:pt idx="147">
                  <c:v>12.188929967142856</c:v>
                </c:pt>
                <c:pt idx="148">
                  <c:v>13</c:v>
                </c:pt>
                <c:pt idx="149">
                  <c:v>13.001428571428571</c:v>
                </c:pt>
                <c:pt idx="150">
                  <c:v>12.142405645714286</c:v>
                </c:pt>
                <c:pt idx="151">
                  <c:v>11.975262778571429</c:v>
                </c:pt>
                <c:pt idx="152">
                  <c:v>12.26</c:v>
                </c:pt>
                <c:pt idx="153">
                  <c:v>13.001428604285715</c:v>
                </c:pt>
                <c:pt idx="154">
                  <c:v>12.257142857142856</c:v>
                </c:pt>
                <c:pt idx="155">
                  <c:v>12.222315514285714</c:v>
                </c:pt>
                <c:pt idx="156">
                  <c:v>11.571904317142856</c:v>
                </c:pt>
                <c:pt idx="157">
                  <c:v>11.570298602857141</c:v>
                </c:pt>
                <c:pt idx="158">
                  <c:v>11.28</c:v>
                </c:pt>
                <c:pt idx="159">
                  <c:v>11.843988554285716</c:v>
                </c:pt>
                <c:pt idx="160">
                  <c:v>12.496724401428571</c:v>
                </c:pt>
                <c:pt idx="161">
                  <c:v>12.744285714285715</c:v>
                </c:pt>
                <c:pt idx="162">
                  <c:v>23.841369902857146</c:v>
                </c:pt>
                <c:pt idx="163">
                  <c:v>23.894881112857146</c:v>
                </c:pt>
                <c:pt idx="164">
                  <c:v>22.406962801428573</c:v>
                </c:pt>
                <c:pt idx="165">
                  <c:v>23.828572680000001</c:v>
                </c:pt>
                <c:pt idx="166">
                  <c:v>23.809881482805473</c:v>
                </c:pt>
                <c:pt idx="167">
                  <c:v>19.572964258571432</c:v>
                </c:pt>
                <c:pt idx="168">
                  <c:v>12.582738467142859</c:v>
                </c:pt>
                <c:pt idx="169">
                  <c:v>21.303751674285714</c:v>
                </c:pt>
                <c:pt idx="170">
                  <c:v>17.810774395714287</c:v>
                </c:pt>
                <c:pt idx="171">
                  <c:v>12.210951395714286</c:v>
                </c:pt>
                <c:pt idx="172">
                  <c:v>12.949641501428573</c:v>
                </c:pt>
                <c:pt idx="173">
                  <c:v>11.493274145714285</c:v>
                </c:pt>
                <c:pt idx="174">
                  <c:v>10.883738517142858</c:v>
                </c:pt>
                <c:pt idx="175">
                  <c:v>11.153748650000001</c:v>
                </c:pt>
                <c:pt idx="176">
                  <c:v>12</c:v>
                </c:pt>
                <c:pt idx="177">
                  <c:v>10.442797251571431</c:v>
                </c:pt>
                <c:pt idx="178">
                  <c:v>10.979225701428572</c:v>
                </c:pt>
                <c:pt idx="179">
                  <c:v>11.096784181428571</c:v>
                </c:pt>
                <c:pt idx="180">
                  <c:v>10.461965969999998</c:v>
                </c:pt>
                <c:pt idx="181">
                  <c:v>11.259941372857144</c:v>
                </c:pt>
                <c:pt idx="182">
                  <c:v>10.758154460361988</c:v>
                </c:pt>
                <c:pt idx="183">
                  <c:v>11.139168601428571</c:v>
                </c:pt>
                <c:pt idx="184">
                  <c:v>10.810358456202879</c:v>
                </c:pt>
                <c:pt idx="185">
                  <c:v>12.61</c:v>
                </c:pt>
                <c:pt idx="186">
                  <c:v>12.322975702857141</c:v>
                </c:pt>
                <c:pt idx="187">
                  <c:v>12.551451548571427</c:v>
                </c:pt>
                <c:pt idx="188">
                  <c:v>12.137084417142857</c:v>
                </c:pt>
                <c:pt idx="189">
                  <c:v>12.034524235714285</c:v>
                </c:pt>
                <c:pt idx="190">
                  <c:v>12.041607177142856</c:v>
                </c:pt>
                <c:pt idx="191">
                  <c:v>12.055594308571429</c:v>
                </c:pt>
                <c:pt idx="192">
                  <c:v>12.130952835714286</c:v>
                </c:pt>
                <c:pt idx="193">
                  <c:v>12.194285714285716</c:v>
                </c:pt>
                <c:pt idx="194">
                  <c:v>12.167024339948341</c:v>
                </c:pt>
                <c:pt idx="195">
                  <c:v>12.594642775714282</c:v>
                </c:pt>
                <c:pt idx="196">
                  <c:v>13.274107117142858</c:v>
                </c:pt>
                <c:pt idx="197">
                  <c:v>13.001428571428571</c:v>
                </c:pt>
                <c:pt idx="198">
                  <c:v>13.139822822857143</c:v>
                </c:pt>
                <c:pt idx="199">
                  <c:v>13.275356975714287</c:v>
                </c:pt>
                <c:pt idx="200">
                  <c:v>14</c:v>
                </c:pt>
                <c:pt idx="201">
                  <c:v>14.050535747142858</c:v>
                </c:pt>
                <c:pt idx="202">
                  <c:v>13.985775811428573</c:v>
                </c:pt>
                <c:pt idx="203">
                  <c:v>13.781128474285714</c:v>
                </c:pt>
                <c:pt idx="204">
                  <c:v>13.148691448571428</c:v>
                </c:pt>
                <c:pt idx="205">
                  <c:v>12.61392865857143</c:v>
                </c:pt>
                <c:pt idx="206">
                  <c:v>12.600475584285714</c:v>
                </c:pt>
                <c:pt idx="207">
                  <c:v>12.617798667142859</c:v>
                </c:pt>
                <c:pt idx="208" formatCode="General">
                  <c:v>12.85226127</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'13.Caudales'!$N$4:$O$212</c:f>
              <c:multiLvlStrCache>
                <c:ptCount val="20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pt idx="203">
                    <c:v>48</c:v>
                  </c:pt>
                  <c:pt idx="208">
                    <c:v>53</c:v>
                  </c:pt>
                </c:lvl>
                <c:lvl>
                  <c:pt idx="0">
                    <c:v>2016</c:v>
                  </c:pt>
                  <c:pt idx="52">
                    <c:v>2017</c:v>
                  </c:pt>
                  <c:pt idx="104">
                    <c:v>2018</c:v>
                  </c:pt>
                  <c:pt idx="156">
                    <c:v>2019</c:v>
                  </c:pt>
                </c:lvl>
              </c:multiLvlStrCache>
            </c:multiLvlStrRef>
          </c:cat>
          <c:val>
            <c:numRef>
              <c:f>'13.Caudales'!$W$4:$W$212</c:f>
              <c:numCache>
                <c:formatCode>0.0</c:formatCode>
                <c:ptCount val="209"/>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pt idx="139">
                  <c:v>1.8442857142857143</c:v>
                </c:pt>
                <c:pt idx="140">
                  <c:v>1.8114285809999999</c:v>
                </c:pt>
                <c:pt idx="141">
                  <c:v>1.8427142925714282</c:v>
                </c:pt>
                <c:pt idx="142">
                  <c:v>1.64</c:v>
                </c:pt>
                <c:pt idx="143">
                  <c:v>1.8221428395714285</c:v>
                </c:pt>
                <c:pt idx="144">
                  <c:v>1.7041428429739784</c:v>
                </c:pt>
                <c:pt idx="145">
                  <c:v>1.5524285691124997</c:v>
                </c:pt>
                <c:pt idx="146">
                  <c:v>1.585428544453207</c:v>
                </c:pt>
                <c:pt idx="147">
                  <c:v>1.6864285471428571</c:v>
                </c:pt>
                <c:pt idx="148">
                  <c:v>1.7397142818571427</c:v>
                </c:pt>
                <c:pt idx="149">
                  <c:v>1.5</c:v>
                </c:pt>
                <c:pt idx="150">
                  <c:v>1.5</c:v>
                </c:pt>
                <c:pt idx="151">
                  <c:v>1.5</c:v>
                </c:pt>
                <c:pt idx="152">
                  <c:v>1.5</c:v>
                </c:pt>
                <c:pt idx="153">
                  <c:v>1.457142846857143</c:v>
                </c:pt>
                <c:pt idx="154">
                  <c:v>1.3857142857142859</c:v>
                </c:pt>
                <c:pt idx="155">
                  <c:v>1.2999999520000001</c:v>
                </c:pt>
                <c:pt idx="156">
                  <c:v>1.2999999520000001</c:v>
                </c:pt>
                <c:pt idx="157">
                  <c:v>1.2999999520000001</c:v>
                </c:pt>
                <c:pt idx="158">
                  <c:v>1.33</c:v>
                </c:pt>
                <c:pt idx="159">
                  <c:v>3.0287143159999999</c:v>
                </c:pt>
                <c:pt idx="160">
                  <c:v>6.6928571292857146</c:v>
                </c:pt>
                <c:pt idx="161">
                  <c:v>14.464285714285714</c:v>
                </c:pt>
                <c:pt idx="162">
                  <c:v>21.059571402857141</c:v>
                </c:pt>
                <c:pt idx="163">
                  <c:v>6.8928571428571432</c:v>
                </c:pt>
                <c:pt idx="164">
                  <c:v>3.3807143142857146</c:v>
                </c:pt>
                <c:pt idx="165">
                  <c:v>2.3840000118571427</c:v>
                </c:pt>
                <c:pt idx="166">
                  <c:v>1.9291428668158341</c:v>
                </c:pt>
                <c:pt idx="167">
                  <c:v>1.7968571012857144</c:v>
                </c:pt>
                <c:pt idx="168">
                  <c:v>1.6904285634285714</c:v>
                </c:pt>
                <c:pt idx="169">
                  <c:v>1.6808571647142858</c:v>
                </c:pt>
                <c:pt idx="170">
                  <c:v>1.7205714498571432</c:v>
                </c:pt>
                <c:pt idx="171">
                  <c:v>1.789857131857143</c:v>
                </c:pt>
                <c:pt idx="172">
                  <c:v>1.6648571664285714</c:v>
                </c:pt>
                <c:pt idx="173">
                  <c:v>1.55</c:v>
                </c:pt>
                <c:pt idx="174">
                  <c:v>1.5914285865714286</c:v>
                </c:pt>
                <c:pt idx="175">
                  <c:v>1.5371428389999999</c:v>
                </c:pt>
                <c:pt idx="176">
                  <c:v>1.5128571304285714</c:v>
                </c:pt>
                <c:pt idx="177">
                  <c:v>1.5</c:v>
                </c:pt>
                <c:pt idx="178">
                  <c:v>1.5</c:v>
                </c:pt>
                <c:pt idx="179">
                  <c:v>1.5</c:v>
                </c:pt>
                <c:pt idx="180">
                  <c:v>1.5</c:v>
                </c:pt>
                <c:pt idx="181">
                  <c:v>1.5</c:v>
                </c:pt>
                <c:pt idx="182">
                  <c:v>1.59</c:v>
                </c:pt>
                <c:pt idx="183">
                  <c:v>1.6000000240000001</c:v>
                </c:pt>
                <c:pt idx="184">
                  <c:v>1.6000000238418504</c:v>
                </c:pt>
                <c:pt idx="185">
                  <c:v>1.6285714285714283</c:v>
                </c:pt>
                <c:pt idx="186">
                  <c:v>1.7000000479999999</c:v>
                </c:pt>
                <c:pt idx="187">
                  <c:v>1.7214285988571427</c:v>
                </c:pt>
                <c:pt idx="188">
                  <c:v>1.7482857022857143</c:v>
                </c:pt>
                <c:pt idx="189">
                  <c:v>1.7482857022857143</c:v>
                </c:pt>
                <c:pt idx="190">
                  <c:v>1.75</c:v>
                </c:pt>
                <c:pt idx="191">
                  <c:v>1.6425714154285713</c:v>
                </c:pt>
                <c:pt idx="192">
                  <c:v>1.6457142658571429</c:v>
                </c:pt>
                <c:pt idx="193">
                  <c:v>1.6014285714285712</c:v>
                </c:pt>
                <c:pt idx="194">
                  <c:v>1.4285714115415273</c:v>
                </c:pt>
                <c:pt idx="195">
                  <c:v>1.3999999759999999</c:v>
                </c:pt>
                <c:pt idx="196">
                  <c:v>1.3785714251428571</c:v>
                </c:pt>
                <c:pt idx="197">
                  <c:v>1.3499999999999999</c:v>
                </c:pt>
                <c:pt idx="198">
                  <c:v>1.2642857177142857</c:v>
                </c:pt>
                <c:pt idx="199">
                  <c:v>1.1857142621428574</c:v>
                </c:pt>
                <c:pt idx="200">
                  <c:v>1.1200000049999999</c:v>
                </c:pt>
                <c:pt idx="201">
                  <c:v>1.1085714441428569</c:v>
                </c:pt>
                <c:pt idx="202">
                  <c:v>1.1000000240000001</c:v>
                </c:pt>
                <c:pt idx="203">
                  <c:v>1.1000000240000001</c:v>
                </c:pt>
                <c:pt idx="204">
                  <c:v>1.1000000000000001</c:v>
                </c:pt>
                <c:pt idx="205">
                  <c:v>1.1014285939999999</c:v>
                </c:pt>
                <c:pt idx="206">
                  <c:v>1.1000000240000001</c:v>
                </c:pt>
                <c:pt idx="207">
                  <c:v>1.4000000274285713</c:v>
                </c:pt>
                <c:pt idx="208" formatCode="General">
                  <c:v>1.4571428811428571</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'13.Caudales'!$Y$4:$Y$212</c:f>
              <c:numCache>
                <c:formatCode>0.0</c:formatCode>
                <c:ptCount val="209"/>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pt idx="139">
                  <c:v>8.0857142857142854</c:v>
                </c:pt>
                <c:pt idx="140">
                  <c:v>8.6452856064285708</c:v>
                </c:pt>
                <c:pt idx="141">
                  <c:v>8.6452856064285708</c:v>
                </c:pt>
                <c:pt idx="142">
                  <c:v>7.4194285528571422</c:v>
                </c:pt>
                <c:pt idx="143">
                  <c:v>9.6005713597142837</c:v>
                </c:pt>
                <c:pt idx="144">
                  <c:v>10.943285942077617</c:v>
                </c:pt>
                <c:pt idx="145">
                  <c:v>17.972571236746628</c:v>
                </c:pt>
                <c:pt idx="146">
                  <c:v>19.552571432931028</c:v>
                </c:pt>
                <c:pt idx="147">
                  <c:v>33.081571032857141</c:v>
                </c:pt>
                <c:pt idx="148">
                  <c:v>39.80185754</c:v>
                </c:pt>
                <c:pt idx="149">
                  <c:v>37.212857142857146</c:v>
                </c:pt>
                <c:pt idx="150">
                  <c:v>35.055428368571434</c:v>
                </c:pt>
                <c:pt idx="151">
                  <c:v>28.370000294285713</c:v>
                </c:pt>
                <c:pt idx="152">
                  <c:v>22.919999999999998</c:v>
                </c:pt>
                <c:pt idx="153">
                  <c:v>17.695714271428571</c:v>
                </c:pt>
                <c:pt idx="154">
                  <c:v>33.51428571428572</c:v>
                </c:pt>
                <c:pt idx="155">
                  <c:v>52.753143308571431</c:v>
                </c:pt>
                <c:pt idx="156">
                  <c:v>64.398429325714275</c:v>
                </c:pt>
                <c:pt idx="157">
                  <c:v>70.997858864285703</c:v>
                </c:pt>
                <c:pt idx="158">
                  <c:v>68.83</c:v>
                </c:pt>
                <c:pt idx="159">
                  <c:v>70.089428494285713</c:v>
                </c:pt>
                <c:pt idx="160">
                  <c:v>74.655428748571438</c:v>
                </c:pt>
                <c:pt idx="161">
                  <c:v>117.82857142857142</c:v>
                </c:pt>
                <c:pt idx="162">
                  <c:v>118.07871352857144</c:v>
                </c:pt>
                <c:pt idx="163">
                  <c:v>98.32</c:v>
                </c:pt>
                <c:pt idx="164">
                  <c:v>120.90099988571428</c:v>
                </c:pt>
                <c:pt idx="165">
                  <c:v>78.177285328571429</c:v>
                </c:pt>
                <c:pt idx="166">
                  <c:v>44.638999938964801</c:v>
                </c:pt>
                <c:pt idx="167">
                  <c:v>98.4</c:v>
                </c:pt>
                <c:pt idx="168">
                  <c:v>92.103571201428579</c:v>
                </c:pt>
                <c:pt idx="169">
                  <c:v>65.665856497142855</c:v>
                </c:pt>
                <c:pt idx="170">
                  <c:v>49.633285522857136</c:v>
                </c:pt>
                <c:pt idx="171">
                  <c:v>31.291000095714285</c:v>
                </c:pt>
                <c:pt idx="172">
                  <c:v>25.921857015714284</c:v>
                </c:pt>
                <c:pt idx="173">
                  <c:v>22.190428595714284</c:v>
                </c:pt>
                <c:pt idx="174">
                  <c:v>20.991285870000006</c:v>
                </c:pt>
                <c:pt idx="175">
                  <c:v>23.085714070000002</c:v>
                </c:pt>
                <c:pt idx="176">
                  <c:v>17.858285902857144</c:v>
                </c:pt>
                <c:pt idx="177">
                  <c:v>15.324571202857143</c:v>
                </c:pt>
                <c:pt idx="178">
                  <c:v>13.868142808571431</c:v>
                </c:pt>
                <c:pt idx="179">
                  <c:v>12.512571334285715</c:v>
                </c:pt>
                <c:pt idx="180">
                  <c:v>11.450428658571429</c:v>
                </c:pt>
                <c:pt idx="181">
                  <c:v>9.6660000944285702</c:v>
                </c:pt>
                <c:pt idx="182">
                  <c:v>8.27</c:v>
                </c:pt>
                <c:pt idx="183">
                  <c:v>7.4899999752857136</c:v>
                </c:pt>
                <c:pt idx="184">
                  <c:v>6.46428571428571</c:v>
                </c:pt>
                <c:pt idx="185">
                  <c:v>8.2285714285714295</c:v>
                </c:pt>
                <c:pt idx="186">
                  <c:v>6.7562857354285706</c:v>
                </c:pt>
                <c:pt idx="187">
                  <c:v>6.4201429230000002</c:v>
                </c:pt>
                <c:pt idx="188">
                  <c:v>4.7154285567142855</c:v>
                </c:pt>
                <c:pt idx="189">
                  <c:v>5.7421428814285713</c:v>
                </c:pt>
                <c:pt idx="190">
                  <c:v>6.5945714541428577</c:v>
                </c:pt>
                <c:pt idx="191">
                  <c:v>4.9847143037142851</c:v>
                </c:pt>
                <c:pt idx="192">
                  <c:v>5.502714293285714</c:v>
                </c:pt>
                <c:pt idx="193">
                  <c:v>6.8414285714285716</c:v>
                </c:pt>
                <c:pt idx="194">
                  <c:v>5.5879999569484111</c:v>
                </c:pt>
                <c:pt idx="195">
                  <c:v>8.0550000327142861</c:v>
                </c:pt>
                <c:pt idx="196">
                  <c:v>6.9969999451428562</c:v>
                </c:pt>
                <c:pt idx="197">
                  <c:v>6.2985714285714289</c:v>
                </c:pt>
                <c:pt idx="198">
                  <c:v>11.989999907285712</c:v>
                </c:pt>
                <c:pt idx="199">
                  <c:v>7.9394285338571438</c:v>
                </c:pt>
                <c:pt idx="200">
                  <c:v>10.621285710571428</c:v>
                </c:pt>
                <c:pt idx="201">
                  <c:v>19.484428541428574</c:v>
                </c:pt>
                <c:pt idx="202">
                  <c:v>19.475428171428575</c:v>
                </c:pt>
                <c:pt idx="203">
                  <c:v>16.918428555714282</c:v>
                </c:pt>
                <c:pt idx="204">
                  <c:v>23.580285755714289</c:v>
                </c:pt>
                <c:pt idx="205">
                  <c:v>41.892142702857143</c:v>
                </c:pt>
                <c:pt idx="206">
                  <c:v>39.827428544285716</c:v>
                </c:pt>
                <c:pt idx="207">
                  <c:v>62.57285690285714</c:v>
                </c:pt>
                <c:pt idx="208" formatCode="General">
                  <c:v>97.806430279999987</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none"/>
          </c:marker>
          <c:val>
            <c:numRef>
              <c:f>'13.Caudales'!$X$4:$X$212</c:f>
              <c:numCache>
                <c:formatCode>0.0</c:formatCode>
                <c:ptCount val="209"/>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pt idx="139">
                  <c:v>31.20428571428571</c:v>
                </c:pt>
                <c:pt idx="140">
                  <c:v>29.614285605714283</c:v>
                </c:pt>
                <c:pt idx="141">
                  <c:v>30.912857054285716</c:v>
                </c:pt>
                <c:pt idx="142">
                  <c:v>37.200000000000003</c:v>
                </c:pt>
                <c:pt idx="143">
                  <c:v>42.197143011428572</c:v>
                </c:pt>
                <c:pt idx="144">
                  <c:v>49.475714547293492</c:v>
                </c:pt>
                <c:pt idx="145">
                  <c:v>72.350713457379968</c:v>
                </c:pt>
                <c:pt idx="146">
                  <c:v>82.484284537179079</c:v>
                </c:pt>
                <c:pt idx="147">
                  <c:v>110.40928649571428</c:v>
                </c:pt>
                <c:pt idx="148">
                  <c:v>114.14357212285714</c:v>
                </c:pt>
                <c:pt idx="149">
                  <c:v>93.457142857142841</c:v>
                </c:pt>
                <c:pt idx="150">
                  <c:v>104.10500007571429</c:v>
                </c:pt>
                <c:pt idx="151">
                  <c:v>91.569999695714287</c:v>
                </c:pt>
                <c:pt idx="152">
                  <c:v>62.974285714285706</c:v>
                </c:pt>
                <c:pt idx="153">
                  <c:v>52.244286674285718</c:v>
                </c:pt>
                <c:pt idx="154">
                  <c:v>86.528571428571439</c:v>
                </c:pt>
                <c:pt idx="155">
                  <c:v>103.53357153142858</c:v>
                </c:pt>
                <c:pt idx="156">
                  <c:v>121.75642612857142</c:v>
                </c:pt>
                <c:pt idx="157">
                  <c:v>180.32999965714288</c:v>
                </c:pt>
                <c:pt idx="158">
                  <c:v>167.22</c:v>
                </c:pt>
                <c:pt idx="159">
                  <c:v>185.51500375714286</c:v>
                </c:pt>
                <c:pt idx="160">
                  <c:v>199.03571430000002</c:v>
                </c:pt>
                <c:pt idx="161">
                  <c:v>338.89857142857142</c:v>
                </c:pt>
                <c:pt idx="162">
                  <c:v>288.0957205571429</c:v>
                </c:pt>
                <c:pt idx="163">
                  <c:v>411.75142995714288</c:v>
                </c:pt>
                <c:pt idx="164">
                  <c:v>249.46285358571427</c:v>
                </c:pt>
                <c:pt idx="165">
                  <c:v>225.10000174285716</c:v>
                </c:pt>
                <c:pt idx="166">
                  <c:v>217.45642525809117</c:v>
                </c:pt>
                <c:pt idx="167">
                  <c:v>327.82142857142861</c:v>
                </c:pt>
                <c:pt idx="168">
                  <c:v>339.04356602857143</c:v>
                </c:pt>
                <c:pt idx="169">
                  <c:v>250.08571298571431</c:v>
                </c:pt>
                <c:pt idx="170">
                  <c:v>148.48785617142858</c:v>
                </c:pt>
                <c:pt idx="171">
                  <c:v>105.47928511571429</c:v>
                </c:pt>
                <c:pt idx="172">
                  <c:v>103.81928579571429</c:v>
                </c:pt>
                <c:pt idx="173">
                  <c:v>91.532855442857141</c:v>
                </c:pt>
                <c:pt idx="174">
                  <c:v>82.45500183</c:v>
                </c:pt>
                <c:pt idx="175">
                  <c:v>76.857142859999996</c:v>
                </c:pt>
                <c:pt idx="176">
                  <c:v>58.057856968571436</c:v>
                </c:pt>
                <c:pt idx="177">
                  <c:v>51.520714895714285</c:v>
                </c:pt>
                <c:pt idx="178">
                  <c:v>46.520714351428573</c:v>
                </c:pt>
                <c:pt idx="179">
                  <c:v>42.473571777142858</c:v>
                </c:pt>
                <c:pt idx="180">
                  <c:v>43.729285104285715</c:v>
                </c:pt>
                <c:pt idx="181">
                  <c:v>44.616428919999997</c:v>
                </c:pt>
                <c:pt idx="182">
                  <c:v>43.84</c:v>
                </c:pt>
                <c:pt idx="183">
                  <c:v>39.995714458571435</c:v>
                </c:pt>
                <c:pt idx="184">
                  <c:v>42.704285757882197</c:v>
                </c:pt>
                <c:pt idx="185">
                  <c:v>44.611428571428576</c:v>
                </c:pt>
                <c:pt idx="186">
                  <c:v>43.444999694285706</c:v>
                </c:pt>
                <c:pt idx="187">
                  <c:v>38.432857512857147</c:v>
                </c:pt>
                <c:pt idx="188">
                  <c:v>36.690713608571421</c:v>
                </c:pt>
                <c:pt idx="189">
                  <c:v>34.872856138571429</c:v>
                </c:pt>
                <c:pt idx="190">
                  <c:v>34.16142872428572</c:v>
                </c:pt>
                <c:pt idx="191">
                  <c:v>35.968571799999999</c:v>
                </c:pt>
                <c:pt idx="192">
                  <c:v>34.324999674285714</c:v>
                </c:pt>
                <c:pt idx="193">
                  <c:v>33.131428571428572</c:v>
                </c:pt>
                <c:pt idx="194">
                  <c:v>32.532142911638481</c:v>
                </c:pt>
                <c:pt idx="195">
                  <c:v>36.384999957142853</c:v>
                </c:pt>
                <c:pt idx="196">
                  <c:v>40.987143380000006</c:v>
                </c:pt>
                <c:pt idx="197">
                  <c:v>37.554285714285712</c:v>
                </c:pt>
                <c:pt idx="198">
                  <c:v>52.87071446142857</c:v>
                </c:pt>
                <c:pt idx="199">
                  <c:v>36.208572388571426</c:v>
                </c:pt>
                <c:pt idx="200">
                  <c:v>61.867856707142856</c:v>
                </c:pt>
                <c:pt idx="201">
                  <c:v>108.26642826857143</c:v>
                </c:pt>
                <c:pt idx="202">
                  <c:v>123.16000039999999</c:v>
                </c:pt>
                <c:pt idx="203">
                  <c:v>94.382143292857137</c:v>
                </c:pt>
                <c:pt idx="204">
                  <c:v>134.38285718142859</c:v>
                </c:pt>
                <c:pt idx="205">
                  <c:v>210.99928282857144</c:v>
                </c:pt>
                <c:pt idx="206">
                  <c:v>166.85428727142857</c:v>
                </c:pt>
                <c:pt idx="207">
                  <c:v>293.28928701428578</c:v>
                </c:pt>
                <c:pt idx="208" formatCode="General">
                  <c:v>278.16286141428571</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559717214603686"/>
              <c:y val="0.94483341230349494"/>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24739327172104933"/>
          <c:y val="0.16369553377365523"/>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8.0039734475137685</c:v>
                </c:pt>
                <c:pt idx="1">
                  <c:v>7.8625888016604071</c:v>
                </c:pt>
                <c:pt idx="2">
                  <c:v>7.7936516527760205</c:v>
                </c:pt>
                <c:pt idx="3">
                  <c:v>7.7296415540989356</c:v>
                </c:pt>
                <c:pt idx="4">
                  <c:v>7.6742693729516631</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INDEPENDENCIA 220</c:v>
                </c:pt>
                <c:pt idx="1">
                  <c:v>CHAVARRIA 220</c:v>
                </c:pt>
                <c:pt idx="2">
                  <c:v>SANTA ROSA 220</c:v>
                </c:pt>
                <c:pt idx="3">
                  <c:v>CARABAYLLO 220</c:v>
                </c:pt>
                <c:pt idx="4">
                  <c:v>SAN JUAN 220</c:v>
                </c:pt>
                <c:pt idx="5">
                  <c:v>POMACOCHA 220</c:v>
                </c:pt>
                <c:pt idx="6">
                  <c:v>OROYA NUEVA 50</c:v>
                </c:pt>
              </c:strCache>
            </c:strRef>
          </c:cat>
          <c:val>
            <c:numRef>
              <c:f>'14. CMg'!$C$27:$I$27</c:f>
              <c:numCache>
                <c:formatCode>0.00</c:formatCode>
                <c:ptCount val="7"/>
                <c:pt idx="0">
                  <c:v>7.6815328946515331</c:v>
                </c:pt>
                <c:pt idx="1">
                  <c:v>7.6608016745763878</c:v>
                </c:pt>
                <c:pt idx="2">
                  <c:v>7.6497304337625502</c:v>
                </c:pt>
                <c:pt idx="3">
                  <c:v>7.6382146576693364</c:v>
                </c:pt>
                <c:pt idx="4">
                  <c:v>7.6088020773564784</c:v>
                </c:pt>
                <c:pt idx="5">
                  <c:v>7.368002403105856</c:v>
                </c:pt>
                <c:pt idx="6">
                  <c:v>7.2541767539978306</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8.2362400413234695</c:v>
                </c:pt>
                <c:pt idx="1">
                  <c:v>7.9841345398906238</c:v>
                </c:pt>
                <c:pt idx="2">
                  <c:v>7.9631053030818579</c:v>
                </c:pt>
                <c:pt idx="3">
                  <c:v>7.8201396423118466</c:v>
                </c:pt>
                <c:pt idx="4">
                  <c:v>7.6896645510582333</c:v>
                </c:pt>
                <c:pt idx="5">
                  <c:v>7.6264188519714473</c:v>
                </c:pt>
                <c:pt idx="6">
                  <c:v>6.7726134137921026</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65519366130112733"/>
        </c:manualLayout>
      </c:layout>
      <c:barChart>
        <c:barDir val="col"/>
        <c:grouping val="clustered"/>
        <c:varyColors val="0"/>
        <c:ser>
          <c:idx val="2"/>
          <c:order val="0"/>
          <c:tx>
            <c:strRef>
              <c:f>'16. Congestiones'!$F$6</c:f>
              <c:strCache>
                <c:ptCount val="1"/>
                <c:pt idx="0">
                  <c:v>DICIEMBRE
 2017</c:v>
                </c:pt>
              </c:strCache>
            </c:strRef>
          </c:tx>
          <c:spPr>
            <a:solidFill>
              <a:schemeClr val="accent6"/>
            </a:solidFill>
          </c:spPr>
          <c:invertIfNegative val="0"/>
          <c:cat>
            <c:strRef>
              <c:f>'16. Congestiones'!$C$7:$C$15</c:f>
              <c:strCache>
                <c:ptCount val="9"/>
                <c:pt idx="0">
                  <c:v>CARHUAMAYO NUEVA</c:v>
                </c:pt>
                <c:pt idx="1">
                  <c:v>KIMAN AYLLU</c:v>
                </c:pt>
                <c:pt idx="2">
                  <c:v>HUANZA-CARABAYLLO</c:v>
                </c:pt>
                <c:pt idx="3">
                  <c:v>POMACOCHA - SAN JUAN</c:v>
                </c:pt>
                <c:pt idx="4">
                  <c:v>CARHUAMAYO - OROYA NUEVA</c:v>
                </c:pt>
                <c:pt idx="5">
                  <c:v>MARCONA - SAN NICOLÁS</c:v>
                </c:pt>
                <c:pt idx="6">
                  <c:v>INDEPENDENCIA</c:v>
                </c:pt>
                <c:pt idx="7">
                  <c:v>CHILCA - DESIERTO</c:v>
                </c:pt>
                <c:pt idx="8">
                  <c:v>MACHUPICCHU - CACHIMAYO</c:v>
                </c:pt>
              </c:strCache>
            </c:strRef>
          </c:cat>
          <c:val>
            <c:numRef>
              <c:f>'16. Congestiones'!$F$7:$F$15</c:f>
              <c:numCache>
                <c:formatCode>#,##0.00</c:formatCode>
                <c:ptCount val="9"/>
                <c:pt idx="0">
                  <c:v>5.0333333333333341</c:v>
                </c:pt>
                <c:pt idx="1">
                  <c:v>4.2999999999999989</c:v>
                </c:pt>
                <c:pt idx="2">
                  <c:v>9.7666666666666675</c:v>
                </c:pt>
                <c:pt idx="6">
                  <c:v>13.5</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DICIEMBRE
 2018</c:v>
                </c:pt>
              </c:strCache>
            </c:strRef>
          </c:tx>
          <c:invertIfNegative val="0"/>
          <c:cat>
            <c:strRef>
              <c:f>'16. Congestiones'!$C$7:$C$15</c:f>
              <c:strCache>
                <c:ptCount val="9"/>
                <c:pt idx="0">
                  <c:v>CARHUAMAYO NUEVA</c:v>
                </c:pt>
                <c:pt idx="1">
                  <c:v>KIMAN AYLLU</c:v>
                </c:pt>
                <c:pt idx="2">
                  <c:v>HUANZA-CARABAYLLO</c:v>
                </c:pt>
                <c:pt idx="3">
                  <c:v>POMACOCHA - SAN JUAN</c:v>
                </c:pt>
                <c:pt idx="4">
                  <c:v>CARHUAMAYO - OROYA NUEVA</c:v>
                </c:pt>
                <c:pt idx="5">
                  <c:v>MARCONA - SAN NICOLÁS</c:v>
                </c:pt>
                <c:pt idx="6">
                  <c:v>INDEPENDENCIA</c:v>
                </c:pt>
                <c:pt idx="7">
                  <c:v>CHILCA - DESIERTO</c:v>
                </c:pt>
                <c:pt idx="8">
                  <c:v>MACHUPICCHU - CACHIMAYO</c:v>
                </c:pt>
              </c:strCache>
            </c:strRef>
          </c:cat>
          <c:val>
            <c:numRef>
              <c:f>'16. Congestiones'!$E$7:$E$15</c:f>
              <c:numCache>
                <c:formatCode>#,##0.00</c:formatCode>
                <c:ptCount val="9"/>
                <c:pt idx="4">
                  <c:v>56.2</c:v>
                </c:pt>
                <c:pt idx="5">
                  <c:v>39.833333333333329</c:v>
                </c:pt>
                <c:pt idx="6">
                  <c:v>295.13333333333327</c:v>
                </c:pt>
                <c:pt idx="8">
                  <c:v>33.466666666666669</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DICIEMBRE
 2019</c:v>
                </c:pt>
              </c:strCache>
            </c:strRef>
          </c:tx>
          <c:invertIfNegative val="0"/>
          <c:cat>
            <c:strRef>
              <c:f>'16. Congestiones'!$C$7:$C$15</c:f>
              <c:strCache>
                <c:ptCount val="9"/>
                <c:pt idx="0">
                  <c:v>CARHUAMAYO NUEVA</c:v>
                </c:pt>
                <c:pt idx="1">
                  <c:v>KIMAN AYLLU</c:v>
                </c:pt>
                <c:pt idx="2">
                  <c:v>HUANZA-CARABAYLLO</c:v>
                </c:pt>
                <c:pt idx="3">
                  <c:v>POMACOCHA - SAN JUAN</c:v>
                </c:pt>
                <c:pt idx="4">
                  <c:v>CARHUAMAYO - OROYA NUEVA</c:v>
                </c:pt>
                <c:pt idx="5">
                  <c:v>MARCONA - SAN NICOLÁS</c:v>
                </c:pt>
                <c:pt idx="6">
                  <c:v>INDEPENDENCIA</c:v>
                </c:pt>
                <c:pt idx="7">
                  <c:v>CHILCA - DESIERTO</c:v>
                </c:pt>
                <c:pt idx="8">
                  <c:v>MACHUPICCHU - CACHIMAYO</c:v>
                </c:pt>
              </c:strCache>
            </c:strRef>
          </c:cat>
          <c:val>
            <c:numRef>
              <c:f>'16. Congestiones'!$D$7:$D$15</c:f>
              <c:numCache>
                <c:formatCode>#,##0.00</c:formatCode>
                <c:ptCount val="9"/>
                <c:pt idx="3">
                  <c:v>5.6333333333333329</c:v>
                </c:pt>
                <c:pt idx="4">
                  <c:v>1.8666666666666654</c:v>
                </c:pt>
                <c:pt idx="6">
                  <c:v>62.733333333333334</c:v>
                </c:pt>
                <c:pt idx="7">
                  <c:v>247.36666666666662</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8195242707363274"/>
          <c:y val="1.7496948728826747E-2"/>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25566823139"/>
          <c:y val="0.20959455009846617"/>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2.8066558998122011E-2"/>
                  <c:y val="-0.114083066578279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CC-4AD3-904F-2124A98CD904}"/>
                </c:ext>
              </c:extLst>
            </c:dLbl>
            <c:dLbl>
              <c:idx val="1"/>
              <c:layout>
                <c:manualLayout>
                  <c:x val="8.5420974666266941E-2"/>
                  <c:y val="-5.734170849641317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0CC-4AD3-904F-2124A98CD904}"/>
                </c:ext>
              </c:extLst>
            </c:dLbl>
            <c:dLbl>
              <c:idx val="2"/>
              <c:layout>
                <c:manualLayout>
                  <c:x val="1.7745903671871125E-2"/>
                  <c:y val="-4.575029011279119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1.4977283949552484E-2"/>
                  <c:y val="-4.077969903919687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1.7720028721195501E-3"/>
                  <c:y val="-3.221476444975071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8.7629832955630926E-2"/>
                  <c:y val="-3.069691566337508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8.2152968395904094E-2"/>
                  <c:y val="-2.4538232089263087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11</c:v>
                </c:pt>
                <c:pt idx="1">
                  <c:v>4</c:v>
                </c:pt>
                <c:pt idx="2">
                  <c:v>3</c:v>
                </c:pt>
                <c:pt idx="3">
                  <c:v>1</c:v>
                </c:pt>
                <c:pt idx="4">
                  <c:v>9</c:v>
                </c:pt>
                <c:pt idx="5">
                  <c:v>0</c:v>
                </c:pt>
                <c:pt idx="6">
                  <c:v>0</c:v>
                </c:pt>
              </c:numCache>
            </c:numRef>
          </c:val>
          <c:extLst>
            <c:ext xmlns:c16="http://schemas.microsoft.com/office/drawing/2014/chart" uri="{C3380CC4-5D6E-409C-BE32-E72D297353CC}">
              <c16:uniqueId val="{00000009-E0CC-4AD3-904F-2124A98CD904}"/>
            </c:ext>
          </c:extLst>
        </c:ser>
        <c:dLbls>
          <c:dLblPos val="inEnd"/>
          <c:showLegendKey val="0"/>
          <c:showVal val="0"/>
          <c:showCatName val="1"/>
          <c:showSerName val="0"/>
          <c:showPercent val="1"/>
          <c:showBubbleSize val="0"/>
          <c:showLeaderLines val="0"/>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Eventos'!$A$7:$A$12</c:f>
              <c:strCache>
                <c:ptCount val="6"/>
                <c:pt idx="0">
                  <c:v>LINEA DE TRANSMISION</c:v>
                </c:pt>
                <c:pt idx="1">
                  <c:v>SUBESTACIÓN</c:v>
                </c:pt>
                <c:pt idx="2">
                  <c:v>TRANSFORMADOR 2D</c:v>
                </c:pt>
                <c:pt idx="3">
                  <c:v>BARRA</c:v>
                </c:pt>
                <c:pt idx="4">
                  <c:v>TRANSFORMADOR 3D</c:v>
                </c:pt>
                <c:pt idx="5">
                  <c:v>REACTOR</c:v>
                </c:pt>
              </c:strCache>
            </c:strRef>
          </c:cat>
          <c:val>
            <c:numRef>
              <c:f>'17. Eventos'!$J$7:$J$12</c:f>
              <c:numCache>
                <c:formatCode>#,##0.00</c:formatCode>
                <c:ptCount val="6"/>
                <c:pt idx="0">
                  <c:v>270.28999999999996</c:v>
                </c:pt>
                <c:pt idx="1">
                  <c:v>20</c:v>
                </c:pt>
                <c:pt idx="2">
                  <c:v>84</c:v>
                </c:pt>
                <c:pt idx="3">
                  <c:v>76.5</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generación'!$B$38:$C$38</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generación'!$D$37:$E$37</c:f>
              <c:strCache>
                <c:ptCount val="2"/>
                <c:pt idx="0">
                  <c:v>DICIEMBRE 2019</c:v>
                </c:pt>
                <c:pt idx="1">
                  <c:v>DICIEMBRE 2018</c:v>
                </c:pt>
              </c:strCache>
            </c:strRef>
          </c:cat>
          <c:val>
            <c:numRef>
              <c:f>'2. Oferta de generación'!$D$38:$E$38</c:f>
              <c:numCache>
                <c:formatCode>#,##0.0</c:formatCode>
                <c:ptCount val="2"/>
                <c:pt idx="0">
                  <c:v>5155.6192474999998</c:v>
                </c:pt>
                <c:pt idx="1">
                  <c:v>4995.1492474999995</c:v>
                </c:pt>
              </c:numCache>
            </c:numRef>
          </c:val>
          <c:extLst>
            <c:ext xmlns:c16="http://schemas.microsoft.com/office/drawing/2014/chart" uri="{C3380CC4-5D6E-409C-BE32-E72D297353CC}">
              <c16:uniqueId val="{00000004-54B0-402D-913D-0304413B844F}"/>
            </c:ext>
          </c:extLst>
        </c:ser>
        <c:ser>
          <c:idx val="1"/>
          <c:order val="1"/>
          <c:tx>
            <c:strRef>
              <c:f>'2. Oferta de generación'!$B$39:$C$39</c:f>
              <c:strCache>
                <c:ptCount val="2"/>
                <c:pt idx="0">
                  <c:v>TERMOELÉCTRICA</c:v>
                </c:pt>
              </c:strCache>
            </c:strRef>
          </c:tx>
          <c:spPr>
            <a:solidFill>
              <a:schemeClr val="accent2"/>
            </a:solidFill>
          </c:spPr>
          <c:invertIfNegative val="0"/>
          <c:cat>
            <c:strRef>
              <c:f>'2. Oferta de generación'!$D$37:$E$37</c:f>
              <c:strCache>
                <c:ptCount val="2"/>
                <c:pt idx="0">
                  <c:v>DICIEMBRE 2019</c:v>
                </c:pt>
                <c:pt idx="1">
                  <c:v>DICIEMBRE 2018</c:v>
                </c:pt>
              </c:strCache>
            </c:strRef>
          </c:cat>
          <c:val>
            <c:numRef>
              <c:f>'2. Oferta de generación'!$D$39:$E$39</c:f>
              <c:numCache>
                <c:formatCode>#,##0.0</c:formatCode>
                <c:ptCount val="2"/>
                <c:pt idx="0">
                  <c:v>7431.6745000000001</c:v>
                </c:pt>
                <c:pt idx="1">
                  <c:v>7395.9645</c:v>
                </c:pt>
              </c:numCache>
            </c:numRef>
          </c:val>
          <c:extLst>
            <c:ext xmlns:c16="http://schemas.microsoft.com/office/drawing/2014/chart" uri="{C3380CC4-5D6E-409C-BE32-E72D297353CC}">
              <c16:uniqueId val="{00000005-54B0-402D-913D-0304413B844F}"/>
            </c:ext>
          </c:extLst>
        </c:ser>
        <c:ser>
          <c:idx val="2"/>
          <c:order val="2"/>
          <c:tx>
            <c:strRef>
              <c:f>'2. Oferta de generación'!$B$40:$C$40</c:f>
              <c:strCache>
                <c:ptCount val="2"/>
                <c:pt idx="0">
                  <c:v>EÓLICA</c:v>
                </c:pt>
              </c:strCache>
            </c:strRef>
          </c:tx>
          <c:spPr>
            <a:solidFill>
              <a:srgbClr val="6DA6D9"/>
            </a:solidFill>
          </c:spPr>
          <c:invertIfNegative val="0"/>
          <c:cat>
            <c:strRef>
              <c:f>'2. Oferta de generación'!$D$37:$E$37</c:f>
              <c:strCache>
                <c:ptCount val="2"/>
                <c:pt idx="0">
                  <c:v>DICIEMBRE 2019</c:v>
                </c:pt>
                <c:pt idx="1">
                  <c:v>DICIEMBRE 2018</c:v>
                </c:pt>
              </c:strCache>
            </c:strRef>
          </c:cat>
          <c:val>
            <c:numRef>
              <c:f>'2. Oferta de generación'!$D$40:$E$40</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generación'!$B$41:$C$41</c:f>
              <c:strCache>
                <c:ptCount val="2"/>
                <c:pt idx="0">
                  <c:v>SOLAR</c:v>
                </c:pt>
              </c:strCache>
            </c:strRef>
          </c:tx>
          <c:invertIfNegative val="0"/>
          <c:cat>
            <c:strRef>
              <c:f>'2. Oferta de generación'!$D$37:$E$37</c:f>
              <c:strCache>
                <c:ptCount val="2"/>
                <c:pt idx="0">
                  <c:v>DICIEMBRE 2019</c:v>
                </c:pt>
                <c:pt idx="1">
                  <c:v>DICIEMBRE 2018</c:v>
                </c:pt>
              </c:strCache>
            </c:strRef>
          </c:cat>
          <c:val>
            <c:numRef>
              <c:f>'2. Oferta de generación'!$D$41:$E$41</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68322210389846"/>
          <c:y val="0.229665314339425"/>
          <c:w val="0.60976766919672709"/>
          <c:h val="0.526561721275584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Eventos'!$A$7:$A$12</c:f>
              <c:strCache>
                <c:ptCount val="6"/>
                <c:pt idx="0">
                  <c:v>LINEA DE TRANSMISION</c:v>
                </c:pt>
                <c:pt idx="1">
                  <c:v>SUBESTACIÓN</c:v>
                </c:pt>
                <c:pt idx="2">
                  <c:v>TRANSFORMADOR 2D</c:v>
                </c:pt>
                <c:pt idx="3">
                  <c:v>BARRA</c:v>
                </c:pt>
                <c:pt idx="4">
                  <c:v>TRANSFORMADOR 3D</c:v>
                </c:pt>
                <c:pt idx="5">
                  <c:v>REACTOR</c:v>
                </c:pt>
              </c:strCache>
            </c:strRef>
          </c:cat>
          <c:val>
            <c:numRef>
              <c:f>'17. Eventos'!$B$7:$B$12</c:f>
              <c:numCache>
                <c:formatCode>General</c:formatCode>
                <c:ptCount val="6"/>
                <c:pt idx="0">
                  <c:v>11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Eventos'!$A$7:$A$12</c:f>
              <c:strCache>
                <c:ptCount val="6"/>
                <c:pt idx="0">
                  <c:v>LINEA DE TRANSMISION</c:v>
                </c:pt>
                <c:pt idx="1">
                  <c:v>SUBESTACIÓN</c:v>
                </c:pt>
                <c:pt idx="2">
                  <c:v>TRANSFORMADOR 2D</c:v>
                </c:pt>
                <c:pt idx="3">
                  <c:v>BARRA</c:v>
                </c:pt>
                <c:pt idx="4">
                  <c:v>TRANSFORMADOR 3D</c:v>
                </c:pt>
                <c:pt idx="5">
                  <c:v>REACTOR</c:v>
                </c:pt>
              </c:strCache>
            </c:strRef>
          </c:cat>
          <c:val>
            <c:numRef>
              <c:f>'17. Eventos'!$C$7:$C$12</c:f>
              <c:numCache>
                <c:formatCode>General</c:formatCode>
                <c:ptCount val="6"/>
                <c:pt idx="0">
                  <c:v>4</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Eventos'!$A$7:$A$12</c:f>
              <c:strCache>
                <c:ptCount val="6"/>
                <c:pt idx="0">
                  <c:v>LINEA DE TRANSMISION</c:v>
                </c:pt>
                <c:pt idx="1">
                  <c:v>SUBESTACIÓN</c:v>
                </c:pt>
                <c:pt idx="2">
                  <c:v>TRANSFORMADOR 2D</c:v>
                </c:pt>
                <c:pt idx="3">
                  <c:v>BARRA</c:v>
                </c:pt>
                <c:pt idx="4">
                  <c:v>TRANSFORMADOR 3D</c:v>
                </c:pt>
                <c:pt idx="5">
                  <c:v>REACTOR</c:v>
                </c:pt>
              </c:strCache>
            </c:strRef>
          </c:cat>
          <c:val>
            <c:numRef>
              <c:f>'17. Eventos'!$D$7:$D$12</c:f>
              <c:numCache>
                <c:formatCode>General</c:formatCode>
                <c:ptCount val="6"/>
                <c:pt idx="0">
                  <c:v>3</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Eventos'!$A$7:$A$12</c:f>
              <c:strCache>
                <c:ptCount val="6"/>
                <c:pt idx="0">
                  <c:v>LINEA DE TRANSMISION</c:v>
                </c:pt>
                <c:pt idx="1">
                  <c:v>SUBESTACIÓN</c:v>
                </c:pt>
                <c:pt idx="2">
                  <c:v>TRANSFORMADOR 2D</c:v>
                </c:pt>
                <c:pt idx="3">
                  <c:v>BARRA</c:v>
                </c:pt>
                <c:pt idx="4">
                  <c:v>TRANSFORMADOR 3D</c:v>
                </c:pt>
                <c:pt idx="5">
                  <c:v>REACTOR</c:v>
                </c:pt>
              </c:strCache>
            </c:strRef>
          </c:cat>
          <c:val>
            <c:numRef>
              <c:f>'17. Eventos'!$E$7:$E$12</c:f>
              <c:numCache>
                <c:formatCode>General</c:formatCode>
                <c:ptCount val="6"/>
                <c:pt idx="0">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Eventos'!$A$7:$A$12</c:f>
              <c:strCache>
                <c:ptCount val="6"/>
                <c:pt idx="0">
                  <c:v>LINEA DE TRANSMISION</c:v>
                </c:pt>
                <c:pt idx="1">
                  <c:v>SUBESTACIÓN</c:v>
                </c:pt>
                <c:pt idx="2">
                  <c:v>TRANSFORMADOR 2D</c:v>
                </c:pt>
                <c:pt idx="3">
                  <c:v>BARRA</c:v>
                </c:pt>
                <c:pt idx="4">
                  <c:v>TRANSFORMADOR 3D</c:v>
                </c:pt>
                <c:pt idx="5">
                  <c:v>REACTOR</c:v>
                </c:pt>
              </c:strCache>
            </c:strRef>
          </c:cat>
          <c:val>
            <c:numRef>
              <c:f>'17. Eventos'!$F$7:$F$12</c:f>
              <c:numCache>
                <c:formatCode>General</c:formatCode>
                <c:ptCount val="6"/>
                <c:pt idx="0">
                  <c:v>6</c:v>
                </c:pt>
                <c:pt idx="1">
                  <c:v>1</c:v>
                </c:pt>
                <c:pt idx="2">
                  <c:v>1</c:v>
                </c:pt>
                <c:pt idx="3">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Eventos'!$A$7:$A$12</c:f>
              <c:strCache>
                <c:ptCount val="6"/>
                <c:pt idx="0">
                  <c:v>LINEA DE TRANSMISION</c:v>
                </c:pt>
                <c:pt idx="1">
                  <c:v>SUBESTACIÓN</c:v>
                </c:pt>
                <c:pt idx="2">
                  <c:v>TRANSFORMADOR 2D</c:v>
                </c:pt>
                <c:pt idx="3">
                  <c:v>BARRA</c:v>
                </c:pt>
                <c:pt idx="4">
                  <c:v>TRANSFORMADOR 3D</c:v>
                </c:pt>
                <c:pt idx="5">
                  <c:v>REACTOR</c:v>
                </c:pt>
              </c:strCache>
            </c:strRef>
          </c:cat>
          <c:val>
            <c:numRef>
              <c:f>'17. Eventos'!$G$7:$G$12</c:f>
              <c:numCache>
                <c:formatCode>General</c:formatCode>
                <c:ptCount val="6"/>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Eventos'!$A$7:$A$12</c:f>
              <c:strCache>
                <c:ptCount val="6"/>
                <c:pt idx="0">
                  <c:v>LINEA DE TRANSMISION</c:v>
                </c:pt>
                <c:pt idx="1">
                  <c:v>SUBESTACIÓN</c:v>
                </c:pt>
                <c:pt idx="2">
                  <c:v>TRANSFORMADOR 2D</c:v>
                </c:pt>
                <c:pt idx="3">
                  <c:v>BARRA</c:v>
                </c:pt>
                <c:pt idx="4">
                  <c:v>TRANSFORMADOR 3D</c:v>
                </c:pt>
                <c:pt idx="5">
                  <c:v>REACTOR</c:v>
                </c:pt>
              </c:strCache>
            </c:strRef>
          </c:cat>
          <c:val>
            <c:numRef>
              <c:f>'17. Eventos'!$H$7:$H$12</c:f>
              <c:numCache>
                <c:formatCode>General</c:formatCode>
                <c:ptCount val="6"/>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44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0.10529257481320894"/>
          <c:y val="0.15201999765845001"/>
          <c:w val="0.85531354444917607"/>
          <c:h val="0.66960073004778409"/>
        </c:manualLayout>
      </c:layout>
      <c:barChart>
        <c:barDir val="col"/>
        <c:grouping val="clustered"/>
        <c:varyColors val="0"/>
        <c:ser>
          <c:idx val="0"/>
          <c:order val="0"/>
          <c:tx>
            <c:strRef>
              <c:f>'2. Oferta de generación'!$L$20:$L$24</c:f>
              <c:strCache>
                <c:ptCount val="5"/>
                <c:pt idx="0">
                  <c:v>Central Solar</c:v>
                </c:pt>
                <c:pt idx="1">
                  <c:v>Central Hidroeléctrica</c:v>
                </c:pt>
                <c:pt idx="2">
                  <c:v>Turbina de Vapor</c:v>
                </c:pt>
                <c:pt idx="3">
                  <c:v>Central Eólica</c:v>
                </c:pt>
                <c:pt idx="4">
                  <c:v>Central a Biogás</c:v>
                </c:pt>
              </c:strCache>
            </c:strRef>
          </c:tx>
          <c:spPr>
            <a:solidFill>
              <a:schemeClr val="accent1"/>
            </a:solidFill>
            <a:ln>
              <a:noFill/>
            </a:ln>
            <a:effectLst/>
          </c:spPr>
          <c:invertIfNegative val="0"/>
          <c:dLbls>
            <c:delete val="1"/>
          </c:dLbls>
          <c:cat>
            <c:strRef>
              <c:f>'2. Oferta de generación'!$L$20:$L$24</c:f>
              <c:strCache>
                <c:ptCount val="5"/>
                <c:pt idx="0">
                  <c:v>Central Solar</c:v>
                </c:pt>
                <c:pt idx="1">
                  <c:v>Central Hidroeléctrica</c:v>
                </c:pt>
                <c:pt idx="2">
                  <c:v>Turbina de Vapor</c:v>
                </c:pt>
                <c:pt idx="3">
                  <c:v>Central Eólica</c:v>
                </c:pt>
                <c:pt idx="4">
                  <c:v>Central a Biogás</c:v>
                </c:pt>
              </c:strCache>
            </c:strRef>
          </c:cat>
          <c:val>
            <c:numRef>
              <c:f>'2. Oferta de generación'!$M$20:$M$24</c:f>
              <c:numCache>
                <c:formatCode>#,##0.00</c:formatCode>
                <c:ptCount val="5"/>
                <c:pt idx="1">
                  <c:v>159.1</c:v>
                </c:pt>
                <c:pt idx="2">
                  <c:v>19.48</c:v>
                </c:pt>
                <c:pt idx="3" formatCode="General">
                  <c:v>0</c:v>
                </c:pt>
                <c:pt idx="4" formatCode="General">
                  <c:v>0</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2017</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27741.419127373239</c:v>
                </c:pt>
                <c:pt idx="1">
                  <c:v>19898.436490924396</c:v>
                </c:pt>
                <c:pt idx="2">
                  <c:v>1065.2272572094798</c:v>
                </c:pt>
                <c:pt idx="3">
                  <c:v>288.16779198629291</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2018</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29357.914005065006</c:v>
                </c:pt>
                <c:pt idx="1">
                  <c:v>19220.044509157491</c:v>
                </c:pt>
                <c:pt idx="2">
                  <c:v>1493.6338640475001</c:v>
                </c:pt>
                <c:pt idx="3">
                  <c:v>745.19271519000006</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2019</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30168.429254412509</c:v>
                </c:pt>
                <c:pt idx="1">
                  <c:v>20312.826648202503</c:v>
                </c:pt>
                <c:pt idx="2">
                  <c:v>1646.1619703125</c:v>
                </c:pt>
                <c:pt idx="3">
                  <c:v>761.72576047749976</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2019</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30168.429254412509</c:v>
                </c:pt>
                <c:pt idx="1">
                  <c:v>18924.906565627032</c:v>
                </c:pt>
                <c:pt idx="2">
                  <c:v>618.79252751499996</c:v>
                </c:pt>
                <c:pt idx="3">
                  <c:v>323.70749704750006</c:v>
                </c:pt>
                <c:pt idx="4">
                  <c:v>0</c:v>
                </c:pt>
                <c:pt idx="5">
                  <c:v>36.149195487499995</c:v>
                </c:pt>
                <c:pt idx="6">
                  <c:v>47.179359552499989</c:v>
                </c:pt>
                <c:pt idx="7">
                  <c:v>0.282469725</c:v>
                </c:pt>
                <c:pt idx="8">
                  <c:v>109.86808108046878</c:v>
                </c:pt>
                <c:pt idx="9">
                  <c:v>186.31921590500002</c:v>
                </c:pt>
                <c:pt idx="10">
                  <c:v>65.621736262499994</c:v>
                </c:pt>
                <c:pt idx="11">
                  <c:v>761.72576047749976</c:v>
                </c:pt>
                <c:pt idx="12">
                  <c:v>1646.1619703125</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2018</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29357.914005065006</c:v>
                </c:pt>
                <c:pt idx="1">
                  <c:v>17919.965966475</c:v>
                </c:pt>
                <c:pt idx="2">
                  <c:v>606.26057511749991</c:v>
                </c:pt>
                <c:pt idx="3">
                  <c:v>370.74576912999999</c:v>
                </c:pt>
                <c:pt idx="4">
                  <c:v>0</c:v>
                </c:pt>
                <c:pt idx="5">
                  <c:v>43.120710160000002</c:v>
                </c:pt>
                <c:pt idx="6">
                  <c:v>25.234750090000002</c:v>
                </c:pt>
                <c:pt idx="7">
                  <c:v>2.6571829249999994</c:v>
                </c:pt>
                <c:pt idx="8">
                  <c:v>107.6509891525</c:v>
                </c:pt>
                <c:pt idx="9">
                  <c:v>93.812061187500007</c:v>
                </c:pt>
                <c:pt idx="10">
                  <c:v>50.596504919999994</c:v>
                </c:pt>
                <c:pt idx="11">
                  <c:v>745.19271519000006</c:v>
                </c:pt>
                <c:pt idx="12">
                  <c:v>1493.6338640475001</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2017</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27741.419127373239</c:v>
                </c:pt>
                <c:pt idx="1">
                  <c:v>17533.645970229143</c:v>
                </c:pt>
                <c:pt idx="2">
                  <c:v>551.35950804963488</c:v>
                </c:pt>
                <c:pt idx="3">
                  <c:v>126.1899293396045</c:v>
                </c:pt>
                <c:pt idx="4">
                  <c:v>9.7034091828799998</c:v>
                </c:pt>
                <c:pt idx="5">
                  <c:v>673.6983736036583</c:v>
                </c:pt>
                <c:pt idx="6">
                  <c:v>126.76813412570822</c:v>
                </c:pt>
                <c:pt idx="7">
                  <c:v>1.7315323146820001</c:v>
                </c:pt>
                <c:pt idx="8">
                  <c:v>751.71495404016821</c:v>
                </c:pt>
                <c:pt idx="9">
                  <c:v>81.687220158217897</c:v>
                </c:pt>
                <c:pt idx="10">
                  <c:v>41.937459880696615</c:v>
                </c:pt>
                <c:pt idx="11">
                  <c:v>288.16779198629291</c:v>
                </c:pt>
                <c:pt idx="12">
                  <c:v>1065.2272572094798</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2017</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1001.8839071484376</c:v>
                </c:pt>
                <c:pt idx="1">
                  <c:v>1065.2272572094798</c:v>
                </c:pt>
                <c:pt idx="2">
                  <c:v>288.16779198629291</c:v>
                </c:pt>
                <c:pt idx="3">
                  <c:v>81.687220158217897</c:v>
                </c:pt>
                <c:pt idx="4">
                  <c:v>41.937459880696615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2018</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1290.8966449950001</c:v>
                </c:pt>
                <c:pt idx="1">
                  <c:v>1493.6338640475001</c:v>
                </c:pt>
                <c:pt idx="2">
                  <c:v>745.19271519000006</c:v>
                </c:pt>
                <c:pt idx="3">
                  <c:v>93.812061187500007</c:v>
                </c:pt>
                <c:pt idx="4">
                  <c:v>50.596504919999994</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2019</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1845.1128347400004</c:v>
                </c:pt>
                <c:pt idx="1">
                  <c:v>1646.1619703125</c:v>
                </c:pt>
                <c:pt idx="2">
                  <c:v>761.72576047749976</c:v>
                </c:pt>
                <c:pt idx="3">
                  <c:v>186.31921590500002</c:v>
                </c:pt>
                <c:pt idx="4">
                  <c:v>65.621736262499994</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3827691091736328E-2"/>
                  <c:y val="-5.245496337221310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10,190%</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4123.3932456399998</c:v>
                </c:pt>
                <c:pt idx="1">
                  <c:v>234.72636999749994</c:v>
                </c:pt>
                <c:pt idx="2">
                  <c:v>131.07747016499999</c:v>
                </c:pt>
                <c:pt idx="3">
                  <c:v>77.499948982500001</c:v>
                </c:pt>
                <c:pt idx="4">
                  <c:v>19.8706525425</c:v>
                </c:pt>
                <c:pt idx="5">
                  <c:v>4.6526380499999993</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2019</c:v>
                </c:pt>
              </c:strCache>
            </c:strRef>
          </c:tx>
          <c:spPr>
            <a:solidFill>
              <a:srgbClr val="0077A5"/>
            </a:solidFill>
          </c:spPr>
          <c:invertIfNegative val="0"/>
          <c:cat>
            <c:strRef>
              <c:f>'7. Generacion empresa'!$L$5:$L$62</c:f>
              <c:strCache>
                <c:ptCount val="58"/>
                <c:pt idx="0">
                  <c:v>AGROAURORA</c:v>
                </c:pt>
                <c:pt idx="1">
                  <c:v>CERRO VERDE</c:v>
                </c:pt>
                <c:pt idx="2">
                  <c:v>PLANTA  ETEN</c:v>
                </c:pt>
                <c:pt idx="3">
                  <c:v>IYEPSA</c:v>
                </c:pt>
                <c:pt idx="4">
                  <c:v>ELECTRICA SANTA ROSA / ATRIA</c:v>
                </c:pt>
                <c:pt idx="5">
                  <c:v>HYDRO PATAPO</c:v>
                </c:pt>
                <c:pt idx="6">
                  <c:v>SAMAY I</c:v>
                </c:pt>
                <c:pt idx="7">
                  <c:v>TERMOSELVA</c:v>
                </c:pt>
                <c:pt idx="8">
                  <c:v>SHOUGESA</c:v>
                </c:pt>
                <c:pt idx="9">
                  <c:v>MAJA ENERGIA</c:v>
                </c:pt>
                <c:pt idx="10">
                  <c:v>EGECSAC</c:v>
                </c:pt>
                <c:pt idx="11">
                  <c:v>ELECTRICA YANAPAMPA</c:v>
                </c:pt>
                <c:pt idx="12">
                  <c:v>HIDROCAÑETE</c:v>
                </c:pt>
                <c:pt idx="13">
                  <c:v>GTS REPARTICION</c:v>
                </c:pt>
                <c:pt idx="14">
                  <c:v>GTS MAJES</c:v>
                </c:pt>
                <c:pt idx="15">
                  <c:v>TACNA SOLAR</c:v>
                </c:pt>
                <c:pt idx="16">
                  <c:v>PETRAMAS</c:v>
                </c:pt>
                <c:pt idx="17">
                  <c:v>MOQUEGUA FV</c:v>
                </c:pt>
                <c:pt idx="18">
                  <c:v>PANAMERICANA SOLAR</c:v>
                </c:pt>
                <c:pt idx="19">
                  <c:v>SAN JACINTO</c:v>
                </c:pt>
                <c:pt idx="20">
                  <c:v>BIOENERGIA</c:v>
                </c:pt>
                <c:pt idx="21">
                  <c:v>ELECTRO ZAÑA</c:v>
                </c:pt>
                <c:pt idx="22">
                  <c:v>AIPSA</c:v>
                </c:pt>
                <c:pt idx="23">
                  <c:v>ANDEAN POWER</c:v>
                </c:pt>
                <c:pt idx="24">
                  <c:v>EGESUR</c:v>
                </c:pt>
                <c:pt idx="25">
                  <c:v>P.E. MARCONA</c:v>
                </c:pt>
                <c:pt idx="26">
                  <c:v>GENERACIÓN ANDINA</c:v>
                </c:pt>
                <c:pt idx="27">
                  <c:v>HIDROMARAÑON/ CELEPSA RENOVABLES</c:v>
                </c:pt>
                <c:pt idx="28">
                  <c:v>RIO DOBLE</c:v>
                </c:pt>
                <c:pt idx="29">
                  <c:v>HUAURA POWER</c:v>
                </c:pt>
                <c:pt idx="30">
                  <c:v>AGUA AZUL</c:v>
                </c:pt>
                <c:pt idx="31">
                  <c:v>RIO BAÑOS</c:v>
                </c:pt>
                <c:pt idx="32">
                  <c:v>SANTA ANA</c:v>
                </c:pt>
                <c:pt idx="33">
                  <c:v>HIDROELECTRICA HUANCHOR</c:v>
                </c:pt>
                <c:pt idx="34">
                  <c:v>SINERSA</c:v>
                </c:pt>
                <c:pt idx="35">
                  <c:v>SDF ENERGIA</c:v>
                </c:pt>
                <c:pt idx="36">
                  <c:v>EMGE HUANZA</c:v>
                </c:pt>
                <c:pt idx="37">
                  <c:v>P.E. TRES HERMANAS</c:v>
                </c:pt>
                <c:pt idx="38">
                  <c:v>ENERGÍA EÓLICA</c:v>
                </c:pt>
                <c:pt idx="39">
                  <c:v>GEPSA</c:v>
                </c:pt>
                <c:pt idx="40">
                  <c:v>EMGE JUNÍN / SANTA CRUZ</c:v>
                </c:pt>
                <c:pt idx="41">
                  <c:v>ENEL GENERACION PIURA</c:v>
                </c:pt>
                <c:pt idx="42">
                  <c:v>INLAND</c:v>
                </c:pt>
                <c:pt idx="43">
                  <c:v>EGASA</c:v>
                </c:pt>
                <c:pt idx="44">
                  <c:v>SAN GABAN</c:v>
                </c:pt>
                <c:pt idx="45">
                  <c:v>TERMOCHILCA</c:v>
                </c:pt>
                <c:pt idx="46">
                  <c:v>ENEL GREEN POWER PERU</c:v>
                </c:pt>
                <c:pt idx="47">
                  <c:v>CHINANGO</c:v>
                </c:pt>
                <c:pt idx="48">
                  <c:v>EGEMSA</c:v>
                </c:pt>
                <c:pt idx="49">
                  <c:v>CELEPSA</c:v>
                </c:pt>
                <c:pt idx="50">
                  <c:v>FENIX POWER</c:v>
                </c:pt>
                <c:pt idx="51">
                  <c:v>ORAZUL ENERGY PERÚ</c:v>
                </c:pt>
                <c:pt idx="52">
                  <c:v>STATKRAFT</c:v>
                </c:pt>
                <c:pt idx="53">
                  <c:v>EMGE HUALLAGA</c:v>
                </c:pt>
                <c:pt idx="54">
                  <c:v>ENEL GENERACION PERU</c:v>
                </c:pt>
                <c:pt idx="55">
                  <c:v>ENGIE</c:v>
                </c:pt>
                <c:pt idx="56">
                  <c:v>KALLPA</c:v>
                </c:pt>
                <c:pt idx="57">
                  <c:v>ELECTROPERU</c:v>
                </c:pt>
              </c:strCache>
            </c:strRef>
          </c:cat>
          <c:val>
            <c:numRef>
              <c:f>'7. Generacion empresa'!$M$5:$M$62</c:f>
              <c:numCache>
                <c:formatCode>General</c:formatCode>
                <c:ptCount val="58"/>
                <c:pt idx="0">
                  <c:v>0</c:v>
                </c:pt>
                <c:pt idx="1">
                  <c:v>0</c:v>
                </c:pt>
                <c:pt idx="2">
                  <c:v>2.5137325E-3</c:v>
                </c:pt>
                <c:pt idx="3">
                  <c:v>0.12552076000000001</c:v>
                </c:pt>
                <c:pt idx="4">
                  <c:v>0.26574854249999996</c:v>
                </c:pt>
                <c:pt idx="5">
                  <c:v>0.52047600000000005</c:v>
                </c:pt>
                <c:pt idx="6">
                  <c:v>0.77394600000000002</c:v>
                </c:pt>
                <c:pt idx="7">
                  <c:v>1.6689536324999998</c:v>
                </c:pt>
                <c:pt idx="8">
                  <c:v>1.8782589924999997</c:v>
                </c:pt>
                <c:pt idx="9">
                  <c:v>2.07250172</c:v>
                </c:pt>
                <c:pt idx="10">
                  <c:v>2.1941894350000002</c:v>
                </c:pt>
                <c:pt idx="11">
                  <c:v>2.5357750924999998</c:v>
                </c:pt>
                <c:pt idx="12">
                  <c:v>2.5846999999999998</c:v>
                </c:pt>
                <c:pt idx="13">
                  <c:v>3.9413794699999998</c:v>
                </c:pt>
                <c:pt idx="14">
                  <c:v>4.0165161999999999</c:v>
                </c:pt>
                <c:pt idx="15">
                  <c:v>4.1535138974999999</c:v>
                </c:pt>
                <c:pt idx="16">
                  <c:v>4.6526380500000002</c:v>
                </c:pt>
                <c:pt idx="17">
                  <c:v>4.7135483574999997</c:v>
                </c:pt>
                <c:pt idx="18">
                  <c:v>5.1118561224999999</c:v>
                </c:pt>
                <c:pt idx="19">
                  <c:v>5.2535959999999999</c:v>
                </c:pt>
                <c:pt idx="20">
                  <c:v>5.3929140575000005</c:v>
                </c:pt>
                <c:pt idx="21">
                  <c:v>8.7329810025000008</c:v>
                </c:pt>
                <c:pt idx="22">
                  <c:v>9.2241424849999998</c:v>
                </c:pt>
                <c:pt idx="23">
                  <c:v>9.5464097149999994</c:v>
                </c:pt>
                <c:pt idx="24">
                  <c:v>10.534180735000001</c:v>
                </c:pt>
                <c:pt idx="25">
                  <c:v>10.58693339</c:v>
                </c:pt>
                <c:pt idx="26">
                  <c:v>12.606602309999998</c:v>
                </c:pt>
                <c:pt idx="27">
                  <c:v>12.762740635</c:v>
                </c:pt>
                <c:pt idx="28">
                  <c:v>13.1368051575</c:v>
                </c:pt>
                <c:pt idx="29">
                  <c:v>13.620981220000001</c:v>
                </c:pt>
                <c:pt idx="30">
                  <c:v>14.043767729999999</c:v>
                </c:pt>
                <c:pt idx="31">
                  <c:v>14.270872125</c:v>
                </c:pt>
                <c:pt idx="32">
                  <c:v>14.3635200525</c:v>
                </c:pt>
                <c:pt idx="33">
                  <c:v>14.408089797500001</c:v>
                </c:pt>
                <c:pt idx="34">
                  <c:v>16.625170284999999</c:v>
                </c:pt>
                <c:pt idx="35">
                  <c:v>19.284171414999999</c:v>
                </c:pt>
                <c:pt idx="36">
                  <c:v>31.009253637500002</c:v>
                </c:pt>
                <c:pt idx="37">
                  <c:v>31.962913342499998</c:v>
                </c:pt>
                <c:pt idx="38">
                  <c:v>40.618465779999994</c:v>
                </c:pt>
                <c:pt idx="39">
                  <c:v>48.403523605000004</c:v>
                </c:pt>
                <c:pt idx="40">
                  <c:v>48.599374392499996</c:v>
                </c:pt>
                <c:pt idx="41">
                  <c:v>52.930491487499999</c:v>
                </c:pt>
                <c:pt idx="42">
                  <c:v>66.214095962499997</c:v>
                </c:pt>
                <c:pt idx="43">
                  <c:v>75.142668944999997</c:v>
                </c:pt>
                <c:pt idx="44">
                  <c:v>77.696076197499991</c:v>
                </c:pt>
                <c:pt idx="45">
                  <c:v>85.630024039999995</c:v>
                </c:pt>
                <c:pt idx="46">
                  <c:v>92.25296947999999</c:v>
                </c:pt>
                <c:pt idx="47">
                  <c:v>105.18167897999999</c:v>
                </c:pt>
                <c:pt idx="48">
                  <c:v>121.6965332475</c:v>
                </c:pt>
                <c:pt idx="49">
                  <c:v>138.85035004</c:v>
                </c:pt>
                <c:pt idx="50">
                  <c:v>178.1123828675</c:v>
                </c:pt>
                <c:pt idx="51">
                  <c:v>242.79777490750004</c:v>
                </c:pt>
                <c:pt idx="52">
                  <c:v>267.21671420249999</c:v>
                </c:pt>
                <c:pt idx="53">
                  <c:v>301.24948215000006</c:v>
                </c:pt>
                <c:pt idx="54">
                  <c:v>505.95298674999998</c:v>
                </c:pt>
                <c:pt idx="55">
                  <c:v>583.41048334499999</c:v>
                </c:pt>
                <c:pt idx="56">
                  <c:v>618.27599136250001</c:v>
                </c:pt>
                <c:pt idx="57">
                  <c:v>632.41309679999995</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2018</c:v>
                </c:pt>
              </c:strCache>
            </c:strRef>
          </c:tx>
          <c:spPr>
            <a:solidFill>
              <a:schemeClr val="accent2"/>
            </a:solidFill>
          </c:spPr>
          <c:invertIfNegative val="0"/>
          <c:cat>
            <c:strRef>
              <c:f>'7. Generacion empresa'!$L$5:$L$62</c:f>
              <c:strCache>
                <c:ptCount val="58"/>
                <c:pt idx="0">
                  <c:v>AGROAURORA</c:v>
                </c:pt>
                <c:pt idx="1">
                  <c:v>CERRO VERDE</c:v>
                </c:pt>
                <c:pt idx="2">
                  <c:v>PLANTA  ETEN</c:v>
                </c:pt>
                <c:pt idx="3">
                  <c:v>IYEPSA</c:v>
                </c:pt>
                <c:pt idx="4">
                  <c:v>ELECTRICA SANTA ROSA / ATRIA</c:v>
                </c:pt>
                <c:pt idx="5">
                  <c:v>HYDRO PATAPO</c:v>
                </c:pt>
                <c:pt idx="6">
                  <c:v>SAMAY I</c:v>
                </c:pt>
                <c:pt idx="7">
                  <c:v>TERMOSELVA</c:v>
                </c:pt>
                <c:pt idx="8">
                  <c:v>SHOUGESA</c:v>
                </c:pt>
                <c:pt idx="9">
                  <c:v>MAJA ENERGIA</c:v>
                </c:pt>
                <c:pt idx="10">
                  <c:v>EGECSAC</c:v>
                </c:pt>
                <c:pt idx="11">
                  <c:v>ELECTRICA YANAPAMPA</c:v>
                </c:pt>
                <c:pt idx="12">
                  <c:v>HIDROCAÑETE</c:v>
                </c:pt>
                <c:pt idx="13">
                  <c:v>GTS REPARTICION</c:v>
                </c:pt>
                <c:pt idx="14">
                  <c:v>GTS MAJES</c:v>
                </c:pt>
                <c:pt idx="15">
                  <c:v>TACNA SOLAR</c:v>
                </c:pt>
                <c:pt idx="16">
                  <c:v>PETRAMAS</c:v>
                </c:pt>
                <c:pt idx="17">
                  <c:v>MOQUEGUA FV</c:v>
                </c:pt>
                <c:pt idx="18">
                  <c:v>PANAMERICANA SOLAR</c:v>
                </c:pt>
                <c:pt idx="19">
                  <c:v>SAN JACINTO</c:v>
                </c:pt>
                <c:pt idx="20">
                  <c:v>BIOENERGIA</c:v>
                </c:pt>
                <c:pt idx="21">
                  <c:v>ELECTRO ZAÑA</c:v>
                </c:pt>
                <c:pt idx="22">
                  <c:v>AIPSA</c:v>
                </c:pt>
                <c:pt idx="23">
                  <c:v>ANDEAN POWER</c:v>
                </c:pt>
                <c:pt idx="24">
                  <c:v>EGESUR</c:v>
                </c:pt>
                <c:pt idx="25">
                  <c:v>P.E. MARCONA</c:v>
                </c:pt>
                <c:pt idx="26">
                  <c:v>GENERACIÓN ANDINA</c:v>
                </c:pt>
                <c:pt idx="27">
                  <c:v>HIDROMARAÑON/ CELEPSA RENOVABLES</c:v>
                </c:pt>
                <c:pt idx="28">
                  <c:v>RIO DOBLE</c:v>
                </c:pt>
                <c:pt idx="29">
                  <c:v>HUAURA POWER</c:v>
                </c:pt>
                <c:pt idx="30">
                  <c:v>AGUA AZUL</c:v>
                </c:pt>
                <c:pt idx="31">
                  <c:v>RIO BAÑOS</c:v>
                </c:pt>
                <c:pt idx="32">
                  <c:v>SANTA ANA</c:v>
                </c:pt>
                <c:pt idx="33">
                  <c:v>HIDROELECTRICA HUANCHOR</c:v>
                </c:pt>
                <c:pt idx="34">
                  <c:v>SINERSA</c:v>
                </c:pt>
                <c:pt idx="35">
                  <c:v>SDF ENERGIA</c:v>
                </c:pt>
                <c:pt idx="36">
                  <c:v>EMGE HUANZA</c:v>
                </c:pt>
                <c:pt idx="37">
                  <c:v>P.E. TRES HERMANAS</c:v>
                </c:pt>
                <c:pt idx="38">
                  <c:v>ENERGÍA EÓLICA</c:v>
                </c:pt>
                <c:pt idx="39">
                  <c:v>GEPSA</c:v>
                </c:pt>
                <c:pt idx="40">
                  <c:v>EMGE JUNÍN / SANTA CRUZ</c:v>
                </c:pt>
                <c:pt idx="41">
                  <c:v>ENEL GENERACION PIURA</c:v>
                </c:pt>
                <c:pt idx="42">
                  <c:v>INLAND</c:v>
                </c:pt>
                <c:pt idx="43">
                  <c:v>EGASA</c:v>
                </c:pt>
                <c:pt idx="44">
                  <c:v>SAN GABAN</c:v>
                </c:pt>
                <c:pt idx="45">
                  <c:v>TERMOCHILCA</c:v>
                </c:pt>
                <c:pt idx="46">
                  <c:v>ENEL GREEN POWER PERU</c:v>
                </c:pt>
                <c:pt idx="47">
                  <c:v>CHINANGO</c:v>
                </c:pt>
                <c:pt idx="48">
                  <c:v>EGEMSA</c:v>
                </c:pt>
                <c:pt idx="49">
                  <c:v>CELEPSA</c:v>
                </c:pt>
                <c:pt idx="50">
                  <c:v>FENIX POWER</c:v>
                </c:pt>
                <c:pt idx="51">
                  <c:v>ORAZUL ENERGY PERÚ</c:v>
                </c:pt>
                <c:pt idx="52">
                  <c:v>STATKRAFT</c:v>
                </c:pt>
                <c:pt idx="53">
                  <c:v>EMGE HUALLAGA</c:v>
                </c:pt>
                <c:pt idx="54">
                  <c:v>ENEL GENERACION PERU</c:v>
                </c:pt>
                <c:pt idx="55">
                  <c:v>ENGIE</c:v>
                </c:pt>
                <c:pt idx="56">
                  <c:v>KALLPA</c:v>
                </c:pt>
                <c:pt idx="57">
                  <c:v>ELECTROPERU</c:v>
                </c:pt>
              </c:strCache>
            </c:strRef>
          </c:cat>
          <c:val>
            <c:numRef>
              <c:f>'7. Generacion empresa'!$N$5:$N$62</c:f>
              <c:numCache>
                <c:formatCode>General</c:formatCode>
                <c:ptCount val="58"/>
                <c:pt idx="0">
                  <c:v>4.2346610950000008</c:v>
                </c:pt>
                <c:pt idx="1">
                  <c:v>0</c:v>
                </c:pt>
                <c:pt idx="2">
                  <c:v>1.7262139999999999E-2</c:v>
                </c:pt>
                <c:pt idx="3">
                  <c:v>0.16697896499999998</c:v>
                </c:pt>
                <c:pt idx="4">
                  <c:v>0.21018762000000002</c:v>
                </c:pt>
                <c:pt idx="5">
                  <c:v>0.46184775</c:v>
                </c:pt>
                <c:pt idx="6">
                  <c:v>0</c:v>
                </c:pt>
                <c:pt idx="7">
                  <c:v>22.457336932499999</c:v>
                </c:pt>
                <c:pt idx="8">
                  <c:v>13.912232315000001</c:v>
                </c:pt>
                <c:pt idx="9">
                  <c:v>1.1143244999999999</c:v>
                </c:pt>
                <c:pt idx="10">
                  <c:v>3.170116315</c:v>
                </c:pt>
                <c:pt idx="11">
                  <c:v>2.1105086425000001</c:v>
                </c:pt>
                <c:pt idx="12">
                  <c:v>2.2429000000000001</c:v>
                </c:pt>
                <c:pt idx="13">
                  <c:v>3.9236064750000001</c:v>
                </c:pt>
                <c:pt idx="14">
                  <c:v>4.1222224999999995</c:v>
                </c:pt>
                <c:pt idx="15">
                  <c:v>4.8622343775000001</c:v>
                </c:pt>
                <c:pt idx="16">
                  <c:v>5.7141024250000001</c:v>
                </c:pt>
                <c:pt idx="17">
                  <c:v>4.4765246249999997</c:v>
                </c:pt>
                <c:pt idx="18">
                  <c:v>4.9303045824999998</c:v>
                </c:pt>
                <c:pt idx="21">
                  <c:v>6.5083375000000001E-3</c:v>
                </c:pt>
                <c:pt idx="22">
                  <c:v>6.6600184075</c:v>
                </c:pt>
                <c:pt idx="23">
                  <c:v>7.9597405324999997</c:v>
                </c:pt>
                <c:pt idx="24">
                  <c:v>23.048733524999999</c:v>
                </c:pt>
                <c:pt idx="25">
                  <c:v>12.915685219999999</c:v>
                </c:pt>
                <c:pt idx="27">
                  <c:v>13.903565712500001</c:v>
                </c:pt>
                <c:pt idx="28">
                  <c:v>9.8516598250000005</c:v>
                </c:pt>
                <c:pt idx="29">
                  <c:v>12.416066305000001</c:v>
                </c:pt>
                <c:pt idx="30">
                  <c:v>11.337685907499999</c:v>
                </c:pt>
                <c:pt idx="32">
                  <c:v>14.796658617499999</c:v>
                </c:pt>
                <c:pt idx="33">
                  <c:v>12.295861</c:v>
                </c:pt>
                <c:pt idx="34">
                  <c:v>1.8235989300000002</c:v>
                </c:pt>
                <c:pt idx="35">
                  <c:v>20.59479254</c:v>
                </c:pt>
                <c:pt idx="36">
                  <c:v>32.575901772500004</c:v>
                </c:pt>
                <c:pt idx="37">
                  <c:v>41.461794512499999</c:v>
                </c:pt>
                <c:pt idx="38">
                  <c:v>37.522926945000002</c:v>
                </c:pt>
                <c:pt idx="39">
                  <c:v>24.139455917500001</c:v>
                </c:pt>
                <c:pt idx="40">
                  <c:v>37.844889817500004</c:v>
                </c:pt>
                <c:pt idx="41">
                  <c:v>62.424170189999998</c:v>
                </c:pt>
                <c:pt idx="42">
                  <c:v>63.283625337499998</c:v>
                </c:pt>
                <c:pt idx="43">
                  <c:v>91.081007044999993</c:v>
                </c:pt>
                <c:pt idx="44">
                  <c:v>80.178238164999996</c:v>
                </c:pt>
                <c:pt idx="45">
                  <c:v>192.85535057499999</c:v>
                </c:pt>
                <c:pt idx="46">
                  <c:v>91.367606190000004</c:v>
                </c:pt>
                <c:pt idx="47">
                  <c:v>107.5844780625</c:v>
                </c:pt>
                <c:pt idx="48">
                  <c:v>118.45355536</c:v>
                </c:pt>
                <c:pt idx="49">
                  <c:v>55.115172632499998</c:v>
                </c:pt>
                <c:pt idx="50">
                  <c:v>402.90432225500001</c:v>
                </c:pt>
                <c:pt idx="51">
                  <c:v>218.02151943000001</c:v>
                </c:pt>
                <c:pt idx="52">
                  <c:v>200.31608477999995</c:v>
                </c:pt>
                <c:pt idx="53">
                  <c:v>244.79406206250002</c:v>
                </c:pt>
                <c:pt idx="54">
                  <c:v>558.68106450499999</c:v>
                </c:pt>
                <c:pt idx="55">
                  <c:v>621.24845739999989</c:v>
                </c:pt>
                <c:pt idx="56">
                  <c:v>432.10283817750002</c:v>
                </c:pt>
                <c:pt idx="57">
                  <c:v>556.38976895999997</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15 de enero de 2020</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Diciembre </a:t>
          </a:r>
          <a:r>
            <a:rPr lang="es-PE" sz="2800" b="1">
              <a:solidFill>
                <a:srgbClr val="1F2532"/>
              </a:solidFill>
              <a:effectLst/>
              <a:ea typeface="Calibri" panose="020F0502020204030204" pitchFamily="34" charset="0"/>
              <a:cs typeface="Arial" panose="020B0604020202020204" pitchFamily="34" charset="0"/>
            </a:rPr>
            <a:t>2019</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INFSGI-MES-12-2019</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65</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0</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(7,67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(7,86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(7,73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(8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(7,63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(7,69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(7,79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(7,82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(7,64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(7,98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(6,77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(7,66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(7,68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(7,25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(8,24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(7,37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(7,61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(7,65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(7,96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18</xdr:row>
      <xdr:rowOff>124238</xdr:rowOff>
    </xdr:from>
    <xdr:to>
      <xdr:col>7</xdr:col>
      <xdr:colOff>430696</xdr:colOff>
      <xdr:row>52</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177362</xdr:colOff>
      <xdr:row>17</xdr:row>
      <xdr:rowOff>39413</xdr:rowOff>
    </xdr:from>
    <xdr:to>
      <xdr:col>3</xdr:col>
      <xdr:colOff>157655</xdr:colOff>
      <xdr:row>31</xdr:row>
      <xdr:rowOff>78300</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38</xdr:row>
      <xdr:rowOff>5953</xdr:rowOff>
    </xdr:from>
    <xdr:to>
      <xdr:col>8</xdr:col>
      <xdr:colOff>71437</xdr:colOff>
      <xdr:row>52</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17</xdr:row>
      <xdr:rowOff>54428</xdr:rowOff>
    </xdr:from>
    <xdr:to>
      <xdr:col>9</xdr:col>
      <xdr:colOff>527957</xdr:colOff>
      <xdr:row>34</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0.02413</cdr:y>
    </cdr:from>
    <cdr:to>
      <cdr:x>0.20733</cdr:x>
      <cdr:y>0.15135</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0" y="48985"/>
          <a:ext cx="769624" cy="258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Edgar</a:t>
          </a:r>
          <a:r>
            <a:rPr lang="es-PE" sz="1200" baseline="0">
              <a:effectLst/>
              <a:latin typeface="Arial" panose="020B0604020202020204" pitchFamily="34" charset="0"/>
              <a:ea typeface="+mn-ea"/>
              <a:cs typeface="Arial" panose="020B0604020202020204" pitchFamily="34" charset="0"/>
            </a:rPr>
            <a:t> Egúsquiza Aranda</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17</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239124</xdr:colOff>
      <xdr:row>51</xdr:row>
      <xdr:rowOff>30615</xdr:rowOff>
    </xdr:from>
    <xdr:to>
      <xdr:col>7</xdr:col>
      <xdr:colOff>329711</xdr:colOff>
      <xdr:row>66</xdr:row>
      <xdr:rowOff>27976</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43720" y="7518730"/>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44</xdr:row>
      <xdr:rowOff>43543</xdr:rowOff>
    </xdr:from>
    <xdr:to>
      <xdr:col>9</xdr:col>
      <xdr:colOff>581525</xdr:colOff>
      <xdr:row>56</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12381</xdr:colOff>
      <xdr:row>20</xdr:row>
      <xdr:rowOff>122045</xdr:rowOff>
    </xdr:from>
    <xdr:to>
      <xdr:col>8</xdr:col>
      <xdr:colOff>421914</xdr:colOff>
      <xdr:row>31</xdr:row>
      <xdr:rowOff>0</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20</xdr:row>
      <xdr:rowOff>80596</xdr:rowOff>
    </xdr:from>
    <xdr:to>
      <xdr:col>1</xdr:col>
      <xdr:colOff>351692</xdr:colOff>
      <xdr:row>21</xdr:row>
      <xdr:rowOff>92288</xdr:rowOff>
    </xdr:to>
    <xdr:sp macro="" textlink="">
      <xdr:nvSpPr>
        <xdr:cNvPr id="8" name="Rectangle 7">
          <a:extLst>
            <a:ext uri="{FF2B5EF4-FFF2-40B4-BE49-F238E27FC236}">
              <a16:creationId xmlns:a16="http://schemas.microsoft.com/office/drawing/2014/main" id="{8CA9ED44-608B-4038-B248-4A8135E524E8}"/>
            </a:ext>
          </a:extLst>
        </xdr:cNvPr>
        <xdr:cNvSpPr/>
      </xdr:nvSpPr>
      <xdr:spPr>
        <a:xfrm>
          <a:off x="688732" y="4725865"/>
          <a:ext cx="351691" cy="17288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89802</xdr:colOff>
      <xdr:row>37</xdr:row>
      <xdr:rowOff>39185</xdr:rowOff>
    </xdr:from>
    <xdr:to>
      <xdr:col>10</xdr:col>
      <xdr:colOff>360898</xdr:colOff>
      <xdr:row>59</xdr:row>
      <xdr:rowOff>2553</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59</xdr:row>
      <xdr:rowOff>87924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I11:I15"/>
  <sheetViews>
    <sheetView showGridLines="0" tabSelected="1" view="pageBreakPreview" zoomScaleNormal="70" zoomScaleSheetLayoutView="100" zoomScalePageLayoutView="115" workbookViewId="0"/>
  </sheetViews>
  <sheetFormatPr defaultColWidth="9.33203125" defaultRowHeight="11.25"/>
  <cols>
    <col min="9" max="9" width="14.6640625" customWidth="1"/>
    <col min="11" max="11" width="13.83203125" customWidth="1"/>
    <col min="12" max="12" width="20.5" customWidth="1"/>
  </cols>
  <sheetData>
    <row r="11" spans="9:9" ht="15.75">
      <c r="I11" s="497"/>
    </row>
    <row r="12" spans="9:9" ht="15.75">
      <c r="I12" s="497"/>
    </row>
    <row r="13" spans="9:9" ht="15.75">
      <c r="I13" s="497"/>
    </row>
    <row r="14" spans="9:9" ht="15.75">
      <c r="I14" s="497"/>
    </row>
    <row r="15" spans="9:9" ht="15.75">
      <c r="I15" s="497"/>
    </row>
  </sheetData>
  <pageMargins left="0.59055118110236227" right="0.39370078740157483" top="1.0236220472440944" bottom="0.62992125984251968" header="0.31496062992125984" footer="0.31496062992125984"/>
  <pageSetup paperSize="9" scale="88" orientation="portrait" r:id="rId1"/>
  <headerFooter>
    <oddFooter>&amp;LCOES, 2020&amp;RDirección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008FC8"/>
  </sheetPr>
  <dimension ref="A1:L62"/>
  <sheetViews>
    <sheetView showGridLines="0" view="pageBreakPreview" zoomScale="115" zoomScaleNormal="100" zoomScaleSheetLayoutView="115" workbookViewId="0"/>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02" t="s">
        <v>257</v>
      </c>
      <c r="B2" s="902"/>
      <c r="C2" s="902"/>
      <c r="D2" s="902"/>
      <c r="E2" s="902"/>
      <c r="F2" s="902"/>
      <c r="G2" s="902"/>
      <c r="H2" s="902"/>
      <c r="I2" s="902"/>
      <c r="J2" s="902"/>
      <c r="K2" s="902"/>
    </row>
    <row r="3" spans="1:12" ht="11.25" customHeight="1">
      <c r="A3" s="17"/>
      <c r="B3" s="17"/>
      <c r="C3" s="17"/>
      <c r="D3" s="17"/>
      <c r="E3" s="17"/>
      <c r="F3" s="17"/>
      <c r="G3" s="17"/>
      <c r="H3" s="17"/>
      <c r="I3" s="17"/>
      <c r="J3" s="17"/>
      <c r="K3" s="17"/>
      <c r="L3" s="36"/>
    </row>
    <row r="4" spans="1:12" ht="11.25" customHeight="1">
      <c r="A4" s="903" t="s">
        <v>441</v>
      </c>
      <c r="B4" s="903"/>
      <c r="C4" s="903"/>
      <c r="D4" s="903"/>
      <c r="E4" s="903"/>
      <c r="F4" s="903"/>
      <c r="G4" s="903"/>
      <c r="H4" s="903"/>
      <c r="I4" s="903"/>
      <c r="J4" s="903"/>
      <c r="K4" s="903"/>
      <c r="L4" s="36"/>
    </row>
    <row r="5" spans="1:12" ht="11.25" customHeight="1">
      <c r="A5" s="17"/>
      <c r="B5" s="67"/>
      <c r="C5" s="68"/>
      <c r="D5" s="69"/>
      <c r="E5" s="69"/>
      <c r="F5" s="69"/>
      <c r="G5" s="69"/>
      <c r="H5" s="70"/>
      <c r="I5" s="66"/>
      <c r="J5" s="66"/>
      <c r="K5" s="71"/>
      <c r="L5" s="8"/>
    </row>
    <row r="6" spans="1:12" ht="12.75" customHeight="1">
      <c r="A6" s="909" t="s">
        <v>217</v>
      </c>
      <c r="B6" s="904" t="s">
        <v>260</v>
      </c>
      <c r="C6" s="905"/>
      <c r="D6" s="905"/>
      <c r="E6" s="905" t="s">
        <v>34</v>
      </c>
      <c r="F6" s="905"/>
      <c r="G6" s="906" t="s">
        <v>259</v>
      </c>
      <c r="H6" s="906"/>
      <c r="I6" s="906"/>
      <c r="J6" s="906"/>
      <c r="K6" s="906"/>
      <c r="L6" s="15"/>
    </row>
    <row r="7" spans="1:12" ht="12.75" customHeight="1">
      <c r="A7" s="909"/>
      <c r="B7" s="623">
        <f>+'4. Tipo Recurso'!B5</f>
        <v>43742</v>
      </c>
      <c r="C7" s="623">
        <f>+'4. Tipo Recurso'!C5</f>
        <v>43772</v>
      </c>
      <c r="D7" s="623">
        <f>+'4. Tipo Recurso'!D5</f>
        <v>43800</v>
      </c>
      <c r="E7" s="623">
        <f>+'4. Tipo Recurso'!E5</f>
        <v>43435</v>
      </c>
      <c r="F7" s="907" t="s">
        <v>123</v>
      </c>
      <c r="G7" s="624">
        <v>2019</v>
      </c>
      <c r="H7" s="624">
        <v>2018</v>
      </c>
      <c r="I7" s="907" t="s">
        <v>498</v>
      </c>
      <c r="J7" s="624">
        <v>2017</v>
      </c>
      <c r="K7" s="907" t="s">
        <v>42</v>
      </c>
      <c r="L7" s="13"/>
    </row>
    <row r="8" spans="1:12" ht="12.75" customHeight="1">
      <c r="A8" s="909"/>
      <c r="B8" s="625">
        <v>43767.791666666664</v>
      </c>
      <c r="C8" s="625">
        <v>43790.833333333336</v>
      </c>
      <c r="D8" s="625">
        <v>43801.8125</v>
      </c>
      <c r="E8" s="625">
        <v>43451.822916666664</v>
      </c>
      <c r="F8" s="908"/>
      <c r="G8" s="626">
        <v>43801.8125</v>
      </c>
      <c r="H8" s="626">
        <v>43451.822916666664</v>
      </c>
      <c r="I8" s="908"/>
      <c r="J8" s="626">
        <v>42801.8125</v>
      </c>
      <c r="K8" s="908"/>
      <c r="L8" s="14"/>
    </row>
    <row r="9" spans="1:12" ht="12.75" customHeight="1">
      <c r="A9" s="909"/>
      <c r="B9" s="627">
        <v>43767.791666666664</v>
      </c>
      <c r="C9" s="627">
        <v>43790.833333333336</v>
      </c>
      <c r="D9" s="627">
        <v>43801.8125</v>
      </c>
      <c r="E9" s="627">
        <v>43451.822916666664</v>
      </c>
      <c r="F9" s="908"/>
      <c r="G9" s="628">
        <v>43801.8125</v>
      </c>
      <c r="H9" s="628">
        <v>43451.822916666664</v>
      </c>
      <c r="I9" s="908"/>
      <c r="J9" s="628">
        <v>42801.8125</v>
      </c>
      <c r="K9" s="908"/>
      <c r="L9" s="14"/>
    </row>
    <row r="10" spans="1:12" ht="12.75" customHeight="1">
      <c r="A10" s="629" t="s">
        <v>36</v>
      </c>
      <c r="B10" s="630">
        <v>3389.8112600000009</v>
      </c>
      <c r="C10" s="631">
        <v>4046.8120399999989</v>
      </c>
      <c r="D10" s="632">
        <v>4202.9162399999987</v>
      </c>
      <c r="E10" s="630">
        <v>3972.194399999999</v>
      </c>
      <c r="F10" s="633">
        <f>+IF(E10=0,"",D10/E10-1)</f>
        <v>5.8084226693436714E-2</v>
      </c>
      <c r="G10" s="630">
        <v>4202.9162399999987</v>
      </c>
      <c r="H10" s="631">
        <v>3972.194399999999</v>
      </c>
      <c r="I10" s="633">
        <f>+IF(H10=0,"",G10/H10-1)</f>
        <v>5.8084226693436714E-2</v>
      </c>
      <c r="J10" s="630">
        <v>4181.7234999999982</v>
      </c>
      <c r="K10" s="633">
        <f t="shared" ref="K10:K18" si="0">+IF(J10=0,"",H10/J10-1)</f>
        <v>-5.010591924597585E-2</v>
      </c>
      <c r="L10" s="14"/>
    </row>
    <row r="11" spans="1:12" ht="12.75" customHeight="1">
      <c r="A11" s="634" t="s">
        <v>37</v>
      </c>
      <c r="B11" s="635">
        <v>3115.4722600000009</v>
      </c>
      <c r="C11" s="636">
        <v>2749.9438599999999</v>
      </c>
      <c r="D11" s="637">
        <v>2527.9566699999996</v>
      </c>
      <c r="E11" s="635">
        <v>2665.2945000000009</v>
      </c>
      <c r="F11" s="638">
        <f>+IF(E11=0,"",D11/E11-1)</f>
        <v>-5.1528200729788476E-2</v>
      </c>
      <c r="G11" s="635">
        <v>2527.9566699999996</v>
      </c>
      <c r="H11" s="636">
        <v>2665.2945000000009</v>
      </c>
      <c r="I11" s="638">
        <f>+IF(H11=0,"",G11/H11-1)</f>
        <v>-5.1528200729788476E-2</v>
      </c>
      <c r="J11" s="635">
        <v>2286.1302900000001</v>
      </c>
      <c r="K11" s="638">
        <f>+IF(J11=0,"",H11/J11-1)</f>
        <v>0.16585415610761212</v>
      </c>
      <c r="L11" s="14"/>
    </row>
    <row r="12" spans="1:12" ht="12.75" customHeight="1">
      <c r="A12" s="639" t="s">
        <v>38</v>
      </c>
      <c r="B12" s="640">
        <v>335.28430000000003</v>
      </c>
      <c r="C12" s="641">
        <v>90.811839999999989</v>
      </c>
      <c r="D12" s="642">
        <v>286.69846000000001</v>
      </c>
      <c r="E12" s="640">
        <v>247.10244</v>
      </c>
      <c r="F12" s="643">
        <f>+IF(E12=0,"",D12/E12-1)</f>
        <v>0.16024131530226904</v>
      </c>
      <c r="G12" s="640">
        <v>286.69846000000001</v>
      </c>
      <c r="H12" s="641">
        <v>247.10244</v>
      </c>
      <c r="I12" s="643">
        <f>+IF(H12=0,"",G12/H12-1)</f>
        <v>0.16024131530226904</v>
      </c>
      <c r="J12" s="640">
        <v>91.209550000000007</v>
      </c>
      <c r="K12" s="643">
        <f>+IF(J12=0,"",H12/J12-1)</f>
        <v>1.7091728881460329</v>
      </c>
      <c r="L12" s="13"/>
    </row>
    <row r="13" spans="1:12" ht="12.75" customHeight="1">
      <c r="A13" s="644" t="s">
        <v>30</v>
      </c>
      <c r="B13" s="645">
        <v>0</v>
      </c>
      <c r="C13" s="646">
        <v>0</v>
      </c>
      <c r="D13" s="647">
        <v>0</v>
      </c>
      <c r="E13" s="645">
        <v>0</v>
      </c>
      <c r="F13" s="648" t="str">
        <f>+IF(E13=0,"",D13/E13-1)</f>
        <v/>
      </c>
      <c r="G13" s="645">
        <v>0</v>
      </c>
      <c r="H13" s="646">
        <v>0</v>
      </c>
      <c r="I13" s="648" t="str">
        <f>+IF(H13=0,"",G13/H13-1)</f>
        <v/>
      </c>
      <c r="J13" s="645">
        <v>0</v>
      </c>
      <c r="K13" s="648" t="str">
        <f t="shared" si="0"/>
        <v/>
      </c>
      <c r="L13" s="14"/>
    </row>
    <row r="14" spans="1:12" ht="12.75" customHeight="1">
      <c r="A14" s="649" t="s">
        <v>43</v>
      </c>
      <c r="B14" s="619">
        <f>+SUM(B10:B13)</f>
        <v>6840.567820000002</v>
      </c>
      <c r="C14" s="620">
        <f t="shared" ref="C14:J14" si="1">+SUM(C10:C13)</f>
        <v>6887.5677399999986</v>
      </c>
      <c r="D14" s="621">
        <f t="shared" si="1"/>
        <v>7017.5713699999978</v>
      </c>
      <c r="E14" s="619">
        <f t="shared" si="1"/>
        <v>6884.5913399999999</v>
      </c>
      <c r="F14" s="679">
        <f>+IF(E14=0,"",D14/E14-1)</f>
        <v>1.9315602543810151E-2</v>
      </c>
      <c r="G14" s="676">
        <f t="shared" si="1"/>
        <v>7017.5713699999978</v>
      </c>
      <c r="H14" s="620">
        <f t="shared" si="1"/>
        <v>6884.5913399999999</v>
      </c>
      <c r="I14" s="679">
        <f>+IF(H14=0,"",G14/H14-1)</f>
        <v>1.9315602543810151E-2</v>
      </c>
      <c r="J14" s="619">
        <f t="shared" si="1"/>
        <v>6559.0633399999979</v>
      </c>
      <c r="K14" s="679">
        <f>+IF(J14=0,"",H14/J14-1)</f>
        <v>4.9630257115340193E-2</v>
      </c>
      <c r="L14" s="14"/>
    </row>
    <row r="15" spans="1:12" ht="6.75" customHeight="1">
      <c r="A15" s="650"/>
      <c r="B15" s="650"/>
      <c r="C15" s="650"/>
      <c r="D15" s="650"/>
      <c r="E15" s="650"/>
      <c r="F15" s="651"/>
      <c r="G15" s="650"/>
      <c r="H15" s="650"/>
      <c r="I15" s="651"/>
      <c r="J15" s="650"/>
      <c r="K15" s="651"/>
      <c r="L15" s="14"/>
    </row>
    <row r="16" spans="1:12" ht="12.75" customHeight="1">
      <c r="A16" s="652" t="s">
        <v>39</v>
      </c>
      <c r="B16" s="653">
        <v>0</v>
      </c>
      <c r="C16" s="654">
        <v>40.659999999999997</v>
      </c>
      <c r="D16" s="655">
        <v>0</v>
      </c>
      <c r="E16" s="653">
        <v>0</v>
      </c>
      <c r="F16" s="655">
        <v>0</v>
      </c>
      <c r="G16" s="653">
        <v>0</v>
      </c>
      <c r="H16" s="654">
        <v>0</v>
      </c>
      <c r="I16" s="655">
        <v>0</v>
      </c>
      <c r="J16" s="653">
        <v>36.515999999999998</v>
      </c>
      <c r="K16" s="656">
        <f t="shared" si="0"/>
        <v>-1</v>
      </c>
      <c r="L16" s="15"/>
    </row>
    <row r="17" spans="1:12" ht="12.75" customHeight="1">
      <c r="A17" s="657" t="s">
        <v>40</v>
      </c>
      <c r="B17" s="658">
        <v>0</v>
      </c>
      <c r="C17" s="659">
        <v>0</v>
      </c>
      <c r="D17" s="660">
        <v>0</v>
      </c>
      <c r="E17" s="658">
        <v>0</v>
      </c>
      <c r="F17" s="660">
        <v>0</v>
      </c>
      <c r="G17" s="658">
        <v>0</v>
      </c>
      <c r="H17" s="659">
        <v>0</v>
      </c>
      <c r="I17" s="660">
        <v>0</v>
      </c>
      <c r="J17" s="658">
        <v>0</v>
      </c>
      <c r="K17" s="661" t="str">
        <f t="shared" si="0"/>
        <v/>
      </c>
      <c r="L17" s="15"/>
    </row>
    <row r="18" spans="1:12" ht="24" customHeight="1">
      <c r="A18" s="662" t="s">
        <v>41</v>
      </c>
      <c r="B18" s="663">
        <f t="shared" ref="B18:J18" si="2">+B17-B16</f>
        <v>0</v>
      </c>
      <c r="C18" s="664">
        <f t="shared" si="2"/>
        <v>-40.659999999999997</v>
      </c>
      <c r="D18" s="665">
        <f t="shared" si="2"/>
        <v>0</v>
      </c>
      <c r="E18" s="663">
        <f t="shared" si="2"/>
        <v>0</v>
      </c>
      <c r="F18" s="665">
        <f t="shared" si="2"/>
        <v>0</v>
      </c>
      <c r="G18" s="663">
        <f t="shared" si="2"/>
        <v>0</v>
      </c>
      <c r="H18" s="664">
        <f t="shared" si="2"/>
        <v>0</v>
      </c>
      <c r="I18" s="665">
        <f t="shared" si="2"/>
        <v>0</v>
      </c>
      <c r="J18" s="663">
        <f t="shared" si="2"/>
        <v>-36.515999999999998</v>
      </c>
      <c r="K18" s="666">
        <f t="shared" si="0"/>
        <v>-1</v>
      </c>
      <c r="L18" s="15"/>
    </row>
    <row r="19" spans="1:12" ht="6" customHeight="1">
      <c r="A19" s="667"/>
      <c r="B19" s="667"/>
      <c r="C19" s="667"/>
      <c r="D19" s="667"/>
      <c r="E19" s="667"/>
      <c r="F19" s="668"/>
      <c r="G19" s="667"/>
      <c r="H19" s="667"/>
      <c r="I19" s="668"/>
      <c r="J19" s="667"/>
      <c r="K19" s="668"/>
      <c r="L19" s="15"/>
    </row>
    <row r="20" spans="1:12" ht="24" customHeight="1">
      <c r="A20" s="669" t="s">
        <v>258</v>
      </c>
      <c r="B20" s="670">
        <f>+B14-B18</f>
        <v>6840.567820000002</v>
      </c>
      <c r="C20" s="671">
        <f t="shared" ref="C20" si="3">+C14-C18</f>
        <v>6928.2277399999984</v>
      </c>
      <c r="D20" s="675">
        <f>+D14-D18</f>
        <v>7017.5713699999978</v>
      </c>
      <c r="E20" s="670">
        <f>+E14-E18</f>
        <v>6884.5913399999999</v>
      </c>
      <c r="F20" s="622">
        <f>+IF(E20=0,"",D20/E20-1)</f>
        <v>1.9315602543810151E-2</v>
      </c>
      <c r="G20" s="839">
        <f>+G14-G18</f>
        <v>7017.5713699999978</v>
      </c>
      <c r="H20" s="670">
        <f>+H14-H18</f>
        <v>6884.5913399999999</v>
      </c>
      <c r="I20" s="622">
        <f>+IF(H20=0,"",G20/H20-1)</f>
        <v>1.9315602543810151E-2</v>
      </c>
      <c r="J20" s="670">
        <f>+J14-J18</f>
        <v>6595.5793399999975</v>
      </c>
      <c r="K20" s="622">
        <f>+IF(J20=0,"",H20/J20-1)</f>
        <v>4.3819046834482123E-2</v>
      </c>
      <c r="L20" s="15"/>
    </row>
    <row r="21" spans="1:12" ht="11.25" customHeight="1">
      <c r="A21" s="269" t="s">
        <v>466</v>
      </c>
      <c r="B21" s="138"/>
      <c r="C21" s="138"/>
      <c r="D21" s="138"/>
      <c r="E21" s="138"/>
      <c r="F21" s="138"/>
      <c r="G21" s="138"/>
      <c r="H21" s="138"/>
      <c r="I21" s="138"/>
      <c r="J21" s="138"/>
      <c r="K21" s="138"/>
      <c r="L21" s="16"/>
    </row>
    <row r="22" spans="1:12" ht="17.25" customHeight="1">
      <c r="A22" s="900"/>
      <c r="B22" s="900"/>
      <c r="C22" s="900"/>
      <c r="D22" s="900"/>
      <c r="E22" s="900"/>
      <c r="F22" s="900"/>
      <c r="G22" s="900"/>
      <c r="H22" s="900"/>
      <c r="I22" s="900"/>
      <c r="J22" s="900"/>
      <c r="K22" s="900"/>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901" t="str">
        <f>"Gráfico N° 11: Comparación de la máxima potencia coincidente de potencia (MW) por tipo de generación en el SEIN en "&amp;'1. Resumen'!Q4</f>
        <v>Gráfico N° 11: Comparación de la máxima potencia coincidente de potencia (MW) por tipo de generación en el SEIN en diciembre</v>
      </c>
      <c r="B58" s="901"/>
      <c r="C58" s="901"/>
      <c r="D58" s="901"/>
      <c r="E58" s="901"/>
      <c r="F58" s="901"/>
      <c r="G58" s="901"/>
      <c r="H58" s="901"/>
      <c r="I58" s="901"/>
      <c r="J58" s="901"/>
      <c r="K58" s="901"/>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8FC8"/>
  </sheetPr>
  <dimension ref="A1:O73"/>
  <sheetViews>
    <sheetView showGridLines="0" view="pageBreakPreview" zoomScale="115" zoomScaleNormal="100" zoomScaleSheetLayoutView="115" zoomScalePageLayoutView="115" workbookViewId="0"/>
  </sheetViews>
  <sheetFormatPr defaultColWidth="9.33203125" defaultRowHeight="11.25"/>
  <cols>
    <col min="1" max="1" width="24.33203125" customWidth="1"/>
    <col min="2" max="2" width="11.33203125" customWidth="1"/>
    <col min="3" max="3" width="10.83203125" customWidth="1"/>
    <col min="4" max="4" width="8.6640625" customWidth="1"/>
    <col min="10" max="10" width="11.83203125" customWidth="1"/>
    <col min="11" max="11" width="9.33203125" customWidth="1"/>
    <col min="12" max="12" width="27.83203125" style="445" customWidth="1"/>
    <col min="13" max="14" width="9.33203125" style="684"/>
    <col min="15" max="15" width="9.33203125" style="766"/>
  </cols>
  <sheetData>
    <row r="1" spans="1:15" ht="25.5" customHeight="1">
      <c r="A1" s="912" t="s">
        <v>262</v>
      </c>
      <c r="B1" s="912"/>
      <c r="C1" s="912"/>
      <c r="D1" s="912"/>
      <c r="E1" s="912"/>
      <c r="F1" s="912"/>
      <c r="G1" s="912"/>
      <c r="H1" s="912"/>
      <c r="I1" s="912"/>
      <c r="J1" s="912"/>
    </row>
    <row r="2" spans="1:15" ht="7.5" customHeight="1">
      <c r="A2" s="74"/>
      <c r="B2" s="73"/>
      <c r="C2" s="73"/>
      <c r="D2" s="73"/>
      <c r="E2" s="73"/>
      <c r="F2" s="73"/>
      <c r="G2" s="73"/>
      <c r="H2" s="73"/>
      <c r="I2" s="73"/>
      <c r="J2" s="73"/>
      <c r="K2" s="36"/>
      <c r="L2" s="817"/>
    </row>
    <row r="3" spans="1:15" ht="11.25" customHeight="1">
      <c r="A3" s="913" t="s">
        <v>124</v>
      </c>
      <c r="B3" s="915" t="str">
        <f>+'1. Resumen'!Q4</f>
        <v>diciembre</v>
      </c>
      <c r="C3" s="916"/>
      <c r="D3" s="917"/>
      <c r="E3" s="138"/>
      <c r="F3" s="138"/>
      <c r="G3" s="918" t="s">
        <v>502</v>
      </c>
      <c r="H3" s="918"/>
      <c r="I3" s="918"/>
      <c r="J3" s="138"/>
      <c r="K3" s="148"/>
      <c r="L3" s="817"/>
    </row>
    <row r="4" spans="1:15" ht="11.25" customHeight="1">
      <c r="A4" s="913"/>
      <c r="B4" s="521">
        <v>2019</v>
      </c>
      <c r="C4" s="522">
        <v>2018</v>
      </c>
      <c r="D4" s="917" t="s">
        <v>35</v>
      </c>
      <c r="E4" s="138"/>
      <c r="F4" s="138"/>
      <c r="G4" s="138"/>
      <c r="H4" s="138"/>
      <c r="I4" s="138"/>
      <c r="J4" s="138"/>
      <c r="K4" s="24"/>
      <c r="L4" s="818"/>
    </row>
    <row r="5" spans="1:15" ht="11.25" customHeight="1">
      <c r="A5" s="913"/>
      <c r="B5" s="523">
        <f>+'8. Max Potencia'!D8</f>
        <v>43801.8125</v>
      </c>
      <c r="C5" s="523">
        <f>+'8. Max Potencia'!E8</f>
        <v>43451.822916666664</v>
      </c>
      <c r="D5" s="917"/>
      <c r="E5" s="138"/>
      <c r="F5" s="138"/>
      <c r="G5" s="138"/>
      <c r="H5" s="138"/>
      <c r="I5" s="138"/>
      <c r="J5" s="138"/>
      <c r="K5" s="24"/>
      <c r="L5" s="819"/>
    </row>
    <row r="6" spans="1:15" ht="11.25" customHeight="1" thickBot="1">
      <c r="A6" s="914"/>
      <c r="B6" s="524">
        <f>+'8. Max Potencia'!D9</f>
        <v>43801.8125</v>
      </c>
      <c r="C6" s="524">
        <f>+'8. Max Potencia'!E9</f>
        <v>43451.822916666664</v>
      </c>
      <c r="D6" s="919"/>
      <c r="E6" s="138"/>
      <c r="F6" s="138"/>
      <c r="G6" s="138"/>
      <c r="H6" s="138"/>
      <c r="I6" s="138"/>
      <c r="J6" s="138"/>
      <c r="K6" s="25"/>
      <c r="L6" s="818" t="s">
        <v>261</v>
      </c>
      <c r="M6" s="445">
        <v>2019</v>
      </c>
      <c r="N6" s="445">
        <v>2018</v>
      </c>
    </row>
    <row r="7" spans="1:15" ht="9.75" customHeight="1">
      <c r="A7" s="392" t="s">
        <v>477</v>
      </c>
      <c r="B7" s="393">
        <v>1327.7857300000001</v>
      </c>
      <c r="C7" s="393">
        <v>751.21424999999999</v>
      </c>
      <c r="D7" s="394">
        <f>IF(C7=0,"",B7/C7-1)</f>
        <v>0.76751935949031869</v>
      </c>
      <c r="E7" s="138"/>
      <c r="F7" s="138"/>
      <c r="G7" s="138"/>
      <c r="H7" s="138"/>
      <c r="I7" s="138"/>
      <c r="J7" s="138"/>
      <c r="K7" s="23"/>
      <c r="L7" s="820" t="s">
        <v>122</v>
      </c>
      <c r="M7" s="833">
        <v>0</v>
      </c>
      <c r="N7" s="833">
        <v>13.55499</v>
      </c>
      <c r="O7" s="767"/>
    </row>
    <row r="8" spans="1:15" ht="9.75" customHeight="1">
      <c r="A8" s="395" t="s">
        <v>88</v>
      </c>
      <c r="B8" s="396">
        <v>961.80266000000006</v>
      </c>
      <c r="C8" s="396">
        <v>1017.5046399999998</v>
      </c>
      <c r="D8" s="397">
        <f t="shared" ref="D8:D63" si="0">IF(C8=0,"",B8/C8-1)</f>
        <v>-5.4743711045877608E-2</v>
      </c>
      <c r="E8" s="138"/>
      <c r="F8" s="138"/>
      <c r="G8" s="138"/>
      <c r="H8" s="138"/>
      <c r="I8" s="138"/>
      <c r="J8" s="138"/>
      <c r="K8" s="26"/>
      <c r="L8" s="820" t="s">
        <v>107</v>
      </c>
      <c r="M8" s="833">
        <v>0</v>
      </c>
      <c r="N8" s="833">
        <v>12.84328</v>
      </c>
      <c r="O8" s="767"/>
    </row>
    <row r="9" spans="1:15" ht="9.75" customHeight="1">
      <c r="A9" s="398" t="s">
        <v>89</v>
      </c>
      <c r="B9" s="399">
        <v>875.17266000000006</v>
      </c>
      <c r="C9" s="399">
        <v>785.28833000000009</v>
      </c>
      <c r="D9" s="400">
        <f t="shared" si="0"/>
        <v>0.11446029001857183</v>
      </c>
      <c r="E9" s="426"/>
      <c r="F9" s="138"/>
      <c r="G9" s="138"/>
      <c r="H9" s="138"/>
      <c r="I9" s="138"/>
      <c r="J9" s="138"/>
      <c r="K9" s="25"/>
      <c r="L9" s="820" t="s">
        <v>247</v>
      </c>
      <c r="M9" s="833">
        <v>0</v>
      </c>
      <c r="N9" s="833">
        <v>0</v>
      </c>
      <c r="O9" s="767"/>
    </row>
    <row r="10" spans="1:15" ht="9.75" customHeight="1">
      <c r="A10" s="395" t="s">
        <v>90</v>
      </c>
      <c r="B10" s="396">
        <v>862.00319999999999</v>
      </c>
      <c r="C10" s="396">
        <v>837.01967999999999</v>
      </c>
      <c r="D10" s="397">
        <f t="shared" si="0"/>
        <v>2.9848187082052835E-2</v>
      </c>
      <c r="E10" s="138"/>
      <c r="F10" s="138"/>
      <c r="G10" s="138"/>
      <c r="H10" s="138"/>
      <c r="I10" s="138"/>
      <c r="J10" s="138"/>
      <c r="K10" s="25"/>
      <c r="L10" s="820" t="s">
        <v>112</v>
      </c>
      <c r="M10" s="819">
        <v>0</v>
      </c>
      <c r="N10" s="819">
        <v>0</v>
      </c>
      <c r="O10" s="767"/>
    </row>
    <row r="11" spans="1:15" ht="9.75" customHeight="1">
      <c r="A11" s="398" t="s">
        <v>248</v>
      </c>
      <c r="B11" s="399">
        <v>452.97059999999999</v>
      </c>
      <c r="C11" s="399">
        <v>360.29655000000002</v>
      </c>
      <c r="D11" s="400">
        <f t="shared" si="0"/>
        <v>0.25721603495787004</v>
      </c>
      <c r="E11" s="138"/>
      <c r="F11" s="138"/>
      <c r="G11" s="138"/>
      <c r="H11" s="138"/>
      <c r="I11" s="138"/>
      <c r="J11" s="138"/>
      <c r="K11" s="25"/>
      <c r="L11" s="820" t="s">
        <v>113</v>
      </c>
      <c r="M11" s="819">
        <v>0</v>
      </c>
      <c r="N11" s="819">
        <v>0</v>
      </c>
      <c r="O11" s="767"/>
    </row>
    <row r="12" spans="1:15" ht="9.75" customHeight="1">
      <c r="A12" s="395" t="s">
        <v>252</v>
      </c>
      <c r="B12" s="396">
        <v>355.59897999999998</v>
      </c>
      <c r="C12" s="396">
        <v>339.10036000000002</v>
      </c>
      <c r="D12" s="397">
        <f t="shared" si="0"/>
        <v>4.865409166772916E-2</v>
      </c>
      <c r="E12" s="138"/>
      <c r="F12" s="138"/>
      <c r="G12" s="138"/>
      <c r="H12" s="138"/>
      <c r="I12" s="138"/>
      <c r="J12" s="138"/>
      <c r="K12" s="23"/>
      <c r="L12" s="820" t="s">
        <v>119</v>
      </c>
      <c r="M12" s="833">
        <v>0</v>
      </c>
      <c r="N12" s="833">
        <v>0</v>
      </c>
      <c r="O12" s="767"/>
    </row>
    <row r="13" spans="1:15" ht="9.75" customHeight="1">
      <c r="A13" s="398" t="s">
        <v>91</v>
      </c>
      <c r="B13" s="399">
        <v>337.84769000000006</v>
      </c>
      <c r="C13" s="399">
        <v>339.57974999999999</v>
      </c>
      <c r="D13" s="400">
        <f t="shared" si="0"/>
        <v>-5.1005986075434162E-3</v>
      </c>
      <c r="E13" s="138"/>
      <c r="F13" s="138"/>
      <c r="G13" s="138"/>
      <c r="H13" s="138"/>
      <c r="I13" s="138"/>
      <c r="J13" s="138"/>
      <c r="K13" s="26"/>
      <c r="L13" s="820" t="s">
        <v>118</v>
      </c>
      <c r="M13" s="819">
        <v>0</v>
      </c>
      <c r="N13" s="819">
        <v>1.5269999999999999</v>
      </c>
      <c r="O13" s="767"/>
    </row>
    <row r="14" spans="1:15" ht="9.75" customHeight="1">
      <c r="A14" s="395" t="s">
        <v>250</v>
      </c>
      <c r="B14" s="396">
        <v>270.53350999999998</v>
      </c>
      <c r="C14" s="396">
        <v>541.04791</v>
      </c>
      <c r="D14" s="397">
        <f t="shared" si="0"/>
        <v>-0.49998233982643059</v>
      </c>
      <c r="E14" s="138"/>
      <c r="F14" s="138"/>
      <c r="G14" s="138"/>
      <c r="H14" s="138"/>
      <c r="I14" s="138"/>
      <c r="J14" s="138"/>
      <c r="K14" s="26"/>
      <c r="L14" s="820" t="s">
        <v>111</v>
      </c>
      <c r="M14" s="819">
        <v>0</v>
      </c>
      <c r="N14" s="819">
        <v>0</v>
      </c>
      <c r="O14" s="767"/>
    </row>
    <row r="15" spans="1:15" ht="9.75" customHeight="1">
      <c r="A15" s="398" t="s">
        <v>95</v>
      </c>
      <c r="B15" s="399">
        <v>190.60316</v>
      </c>
      <c r="C15" s="399">
        <v>134.03176999999999</v>
      </c>
      <c r="D15" s="400">
        <f t="shared" si="0"/>
        <v>0.42207448278867021</v>
      </c>
      <c r="E15" s="138"/>
      <c r="F15" s="138"/>
      <c r="G15" s="138"/>
      <c r="H15" s="138"/>
      <c r="I15" s="138"/>
      <c r="J15" s="138"/>
      <c r="K15" s="26"/>
      <c r="L15" s="820" t="s">
        <v>108</v>
      </c>
      <c r="M15" s="819">
        <v>0</v>
      </c>
      <c r="N15" s="819">
        <v>0</v>
      </c>
      <c r="O15" s="767"/>
    </row>
    <row r="16" spans="1:15" ht="9.75" customHeight="1">
      <c r="A16" s="395" t="s">
        <v>92</v>
      </c>
      <c r="B16" s="396">
        <v>168.97479000000004</v>
      </c>
      <c r="C16" s="396">
        <v>167.72149000000002</v>
      </c>
      <c r="D16" s="397">
        <f t="shared" si="0"/>
        <v>7.472506951852198E-3</v>
      </c>
      <c r="E16" s="138"/>
      <c r="F16" s="138"/>
      <c r="G16" s="138"/>
      <c r="H16" s="138"/>
      <c r="I16" s="138"/>
      <c r="J16" s="138"/>
      <c r="K16" s="26"/>
      <c r="L16" s="820" t="s">
        <v>254</v>
      </c>
      <c r="M16" s="819">
        <v>0</v>
      </c>
      <c r="N16" s="819">
        <v>0</v>
      </c>
      <c r="O16" s="767"/>
    </row>
    <row r="17" spans="1:15" ht="9.75" customHeight="1">
      <c r="A17" s="398" t="s">
        <v>93</v>
      </c>
      <c r="B17" s="399">
        <v>164.24513999999999</v>
      </c>
      <c r="C17" s="399">
        <v>166.62601000000001</v>
      </c>
      <c r="D17" s="400">
        <f t="shared" si="0"/>
        <v>-1.4288705586840922E-2</v>
      </c>
      <c r="E17" s="138"/>
      <c r="F17" s="138"/>
      <c r="G17" s="138"/>
      <c r="H17" s="138"/>
      <c r="I17" s="138"/>
      <c r="J17" s="138"/>
      <c r="K17" s="26"/>
      <c r="L17" s="820" t="s">
        <v>255</v>
      </c>
      <c r="M17" s="833">
        <v>0</v>
      </c>
      <c r="N17" s="833">
        <v>0</v>
      </c>
      <c r="O17" s="767"/>
    </row>
    <row r="18" spans="1:15" ht="9.75" customHeight="1">
      <c r="A18" s="395" t="s">
        <v>99</v>
      </c>
      <c r="B18" s="396">
        <v>128.48525000000001</v>
      </c>
      <c r="C18" s="396">
        <v>84.311989999999994</v>
      </c>
      <c r="D18" s="397">
        <f t="shared" si="0"/>
        <v>0.52392619365288406</v>
      </c>
      <c r="E18" s="138"/>
      <c r="F18" s="138"/>
      <c r="G18" s="138"/>
      <c r="H18" s="138"/>
      <c r="I18" s="138"/>
      <c r="J18" s="138"/>
      <c r="K18" s="26"/>
      <c r="L18" s="820" t="s">
        <v>120</v>
      </c>
      <c r="M18" s="819">
        <v>0</v>
      </c>
      <c r="N18" s="819">
        <v>20.883690000000001</v>
      </c>
      <c r="O18" s="767"/>
    </row>
    <row r="19" spans="1:15" ht="9.75" customHeight="1">
      <c r="A19" s="398" t="s">
        <v>96</v>
      </c>
      <c r="B19" s="399">
        <v>108.87512000000001</v>
      </c>
      <c r="C19" s="399">
        <v>110.10356</v>
      </c>
      <c r="D19" s="400">
        <f t="shared" si="0"/>
        <v>-1.115713243059524E-2</v>
      </c>
      <c r="E19" s="138"/>
      <c r="F19" s="138"/>
      <c r="G19" s="138"/>
      <c r="H19" s="138"/>
      <c r="I19" s="138"/>
      <c r="J19" s="138"/>
      <c r="K19" s="26"/>
      <c r="L19" s="820" t="s">
        <v>110</v>
      </c>
      <c r="M19" s="819">
        <v>0</v>
      </c>
      <c r="N19" s="819">
        <v>0</v>
      </c>
      <c r="O19" s="767"/>
    </row>
    <row r="20" spans="1:15" ht="9.75" customHeight="1">
      <c r="A20" s="395" t="s">
        <v>518</v>
      </c>
      <c r="B20" s="396">
        <v>89.43329</v>
      </c>
      <c r="C20" s="396">
        <v>90.325099999999992</v>
      </c>
      <c r="D20" s="397">
        <f t="shared" si="0"/>
        <v>-9.8733353187541173E-3</v>
      </c>
      <c r="E20" s="138"/>
      <c r="F20" s="138"/>
      <c r="G20" s="138"/>
      <c r="H20" s="138"/>
      <c r="I20" s="138"/>
      <c r="J20" s="138"/>
      <c r="K20" s="29"/>
      <c r="L20" s="820" t="s">
        <v>101</v>
      </c>
      <c r="M20" s="819">
        <v>0</v>
      </c>
      <c r="N20" s="819">
        <v>291.77163999999999</v>
      </c>
      <c r="O20" s="767"/>
    </row>
    <row r="21" spans="1:15" ht="9.75" customHeight="1">
      <c r="A21" s="398" t="s">
        <v>97</v>
      </c>
      <c r="B21" s="399">
        <v>88.887209999999996</v>
      </c>
      <c r="C21" s="399">
        <v>88.366280000000003</v>
      </c>
      <c r="D21" s="400">
        <f t="shared" si="0"/>
        <v>5.8951219854450621E-3</v>
      </c>
      <c r="E21" s="138"/>
      <c r="F21" s="138"/>
      <c r="G21" s="138"/>
      <c r="H21" s="138"/>
      <c r="I21" s="138"/>
      <c r="J21" s="138"/>
      <c r="K21" s="26"/>
      <c r="L21" s="820" t="s">
        <v>106</v>
      </c>
      <c r="M21" s="833">
        <v>0</v>
      </c>
      <c r="N21" s="833">
        <v>0</v>
      </c>
      <c r="O21" s="767"/>
    </row>
    <row r="22" spans="1:15" ht="9.75" customHeight="1">
      <c r="A22" s="395" t="s">
        <v>249</v>
      </c>
      <c r="B22" s="396">
        <v>80.862840000000006</v>
      </c>
      <c r="C22" s="396">
        <v>81.192689999999999</v>
      </c>
      <c r="D22" s="397">
        <f t="shared" si="0"/>
        <v>-4.0625578484958513E-3</v>
      </c>
      <c r="E22" s="138"/>
      <c r="F22" s="138"/>
      <c r="G22" s="138"/>
      <c r="H22" s="138"/>
      <c r="I22" s="138"/>
      <c r="J22" s="138"/>
      <c r="K22" s="26"/>
      <c r="L22" s="820" t="s">
        <v>588</v>
      </c>
      <c r="M22" s="833">
        <v>0.14888000000000001</v>
      </c>
      <c r="N22" s="833">
        <v>0.94188000000000005</v>
      </c>
      <c r="O22" s="767"/>
    </row>
    <row r="23" spans="1:15" ht="9.75" customHeight="1">
      <c r="A23" s="398" t="s">
        <v>100</v>
      </c>
      <c r="B23" s="399">
        <v>71.902060000000006</v>
      </c>
      <c r="C23" s="399">
        <v>80.15558</v>
      </c>
      <c r="D23" s="400">
        <f t="shared" si="0"/>
        <v>-0.10296875152048046</v>
      </c>
      <c r="E23" s="138"/>
      <c r="F23" s="138"/>
      <c r="G23" s="138"/>
      <c r="H23" s="138"/>
      <c r="I23" s="138"/>
      <c r="J23" s="138"/>
      <c r="K23" s="26"/>
      <c r="L23" s="820" t="s">
        <v>480</v>
      </c>
      <c r="M23" s="819">
        <v>0.69699999999999995</v>
      </c>
      <c r="N23" s="819">
        <v>0.90700000000000003</v>
      </c>
      <c r="O23" s="767"/>
    </row>
    <row r="24" spans="1:15" ht="9.75" customHeight="1">
      <c r="A24" s="395" t="s">
        <v>109</v>
      </c>
      <c r="B24" s="396">
        <v>67.464019999999991</v>
      </c>
      <c r="C24" s="396">
        <v>34.778909999999996</v>
      </c>
      <c r="D24" s="397">
        <f t="shared" si="0"/>
        <v>0.93979684814733977</v>
      </c>
      <c r="E24" s="138"/>
      <c r="F24" s="138"/>
      <c r="G24" s="138"/>
      <c r="H24" s="138"/>
      <c r="I24" s="138"/>
      <c r="J24" s="138"/>
      <c r="K24" s="29"/>
      <c r="L24" s="820" t="s">
        <v>115</v>
      </c>
      <c r="M24" s="819">
        <v>2.4837899999999999</v>
      </c>
      <c r="N24" s="819">
        <v>4.9903599999999999</v>
      </c>
      <c r="O24" s="767"/>
    </row>
    <row r="25" spans="1:15" ht="9.75" customHeight="1">
      <c r="A25" s="398" t="s">
        <v>98</v>
      </c>
      <c r="B25" s="399">
        <v>65.52637</v>
      </c>
      <c r="C25" s="399">
        <v>56.806190000000001</v>
      </c>
      <c r="D25" s="400">
        <f t="shared" si="0"/>
        <v>0.15350756669299592</v>
      </c>
      <c r="E25" s="138"/>
      <c r="F25" s="138"/>
      <c r="G25" s="138"/>
      <c r="H25" s="138"/>
      <c r="I25" s="138"/>
      <c r="J25" s="138"/>
      <c r="K25" s="26"/>
      <c r="L25" s="820" t="s">
        <v>116</v>
      </c>
      <c r="M25" s="833">
        <v>3.4600600000000004</v>
      </c>
      <c r="N25" s="833">
        <v>3.60182</v>
      </c>
      <c r="O25" s="767"/>
    </row>
    <row r="26" spans="1:15" ht="9.75" customHeight="1">
      <c r="A26" s="395" t="s">
        <v>596</v>
      </c>
      <c r="B26" s="396">
        <v>52.42991</v>
      </c>
      <c r="C26" s="396">
        <v>53.975630000000002</v>
      </c>
      <c r="D26" s="397">
        <f t="shared" si="0"/>
        <v>-2.8637368382731343E-2</v>
      </c>
      <c r="E26" s="138"/>
      <c r="F26" s="138"/>
      <c r="G26" s="138"/>
      <c r="H26" s="138"/>
      <c r="I26" s="138"/>
      <c r="J26" s="138"/>
      <c r="K26" s="26"/>
      <c r="L26" s="820" t="s">
        <v>117</v>
      </c>
      <c r="M26" s="819">
        <v>3.6</v>
      </c>
      <c r="N26" s="819">
        <v>2.4</v>
      </c>
      <c r="O26" s="767"/>
    </row>
    <row r="27" spans="1:15" ht="9.75" customHeight="1">
      <c r="A27" s="398" t="s">
        <v>103</v>
      </c>
      <c r="B27" s="399">
        <v>27.175370000000001</v>
      </c>
      <c r="C27" s="399">
        <v>27.943930000000002</v>
      </c>
      <c r="D27" s="400">
        <f t="shared" si="0"/>
        <v>-2.7503647482655436E-2</v>
      </c>
      <c r="E27" s="138"/>
      <c r="F27" s="138"/>
      <c r="G27" s="138"/>
      <c r="H27" s="138"/>
      <c r="I27" s="138"/>
      <c r="J27" s="138"/>
      <c r="K27" s="26"/>
      <c r="L27" s="820" t="s">
        <v>478</v>
      </c>
      <c r="M27" s="819">
        <v>6.0778999999999996</v>
      </c>
      <c r="N27" s="819">
        <v>6.8082000000000011</v>
      </c>
      <c r="O27" s="767"/>
    </row>
    <row r="28" spans="1:15" ht="9.75" customHeight="1">
      <c r="A28" s="395" t="s">
        <v>114</v>
      </c>
      <c r="B28" s="396">
        <v>23.368099999999998</v>
      </c>
      <c r="C28" s="396">
        <v>2.3944800000000002</v>
      </c>
      <c r="D28" s="397">
        <f t="shared" si="0"/>
        <v>8.7591543884267136</v>
      </c>
      <c r="E28" s="138"/>
      <c r="F28" s="138"/>
      <c r="G28" s="138"/>
      <c r="H28" s="138"/>
      <c r="I28" s="138"/>
      <c r="J28" s="138"/>
      <c r="K28" s="26"/>
      <c r="L28" s="820" t="s">
        <v>519</v>
      </c>
      <c r="M28" s="819">
        <v>6.4589999999999996</v>
      </c>
      <c r="N28" s="819"/>
      <c r="O28" s="767"/>
    </row>
    <row r="29" spans="1:15" ht="9.75" customHeight="1">
      <c r="A29" s="401" t="s">
        <v>253</v>
      </c>
      <c r="B29" s="402">
        <v>20.784780000000001</v>
      </c>
      <c r="C29" s="402">
        <v>25.828679999999999</v>
      </c>
      <c r="D29" s="403">
        <f t="shared" si="0"/>
        <v>-0.19528291805853015</v>
      </c>
      <c r="E29" s="138"/>
      <c r="F29" s="138"/>
      <c r="G29" s="138"/>
      <c r="H29" s="138"/>
      <c r="I29" s="138"/>
      <c r="J29" s="138"/>
      <c r="K29" s="26"/>
      <c r="L29" s="820" t="s">
        <v>637</v>
      </c>
      <c r="M29" s="819">
        <v>8.335840000000001</v>
      </c>
      <c r="N29" s="819"/>
      <c r="O29" s="767"/>
    </row>
    <row r="30" spans="1:15" ht="9.75" customHeight="1">
      <c r="A30" s="404" t="s">
        <v>488</v>
      </c>
      <c r="B30" s="405">
        <v>20.720690000000001</v>
      </c>
      <c r="C30" s="405">
        <v>20.367170000000002</v>
      </c>
      <c r="D30" s="406">
        <f t="shared" si="0"/>
        <v>1.7357345178539818E-2</v>
      </c>
      <c r="E30" s="138"/>
      <c r="F30" s="138"/>
      <c r="G30" s="138"/>
      <c r="H30" s="138"/>
      <c r="I30" s="138"/>
      <c r="J30" s="138"/>
      <c r="K30" s="26"/>
      <c r="L30" s="820" t="s">
        <v>635</v>
      </c>
      <c r="M30" s="819">
        <v>8.9375</v>
      </c>
      <c r="N30" s="819"/>
      <c r="O30" s="767"/>
    </row>
    <row r="31" spans="1:15" ht="9.75" customHeight="1">
      <c r="A31" s="407" t="s">
        <v>462</v>
      </c>
      <c r="B31" s="408">
        <v>20.062539999999998</v>
      </c>
      <c r="C31" s="408">
        <v>19.850020000000001</v>
      </c>
      <c r="D31" s="409">
        <f t="shared" si="0"/>
        <v>1.0706286442028645E-2</v>
      </c>
      <c r="E31" s="138"/>
      <c r="F31" s="138"/>
      <c r="G31" s="138"/>
      <c r="H31" s="138"/>
      <c r="I31" s="138"/>
      <c r="J31" s="138"/>
      <c r="K31" s="26"/>
      <c r="L31" s="820" t="s">
        <v>94</v>
      </c>
      <c r="M31" s="819">
        <v>9.8530200000000008</v>
      </c>
      <c r="N31" s="819">
        <v>182.12267</v>
      </c>
      <c r="O31" s="767"/>
    </row>
    <row r="32" spans="1:15" ht="9.75" customHeight="1">
      <c r="A32" s="404" t="s">
        <v>104</v>
      </c>
      <c r="B32" s="405">
        <v>19.3874</v>
      </c>
      <c r="C32" s="405">
        <v>17.88</v>
      </c>
      <c r="D32" s="406">
        <f t="shared" si="0"/>
        <v>8.4306487695749555E-2</v>
      </c>
      <c r="E32" s="138"/>
      <c r="F32" s="138"/>
      <c r="G32" s="138"/>
      <c r="H32" s="138"/>
      <c r="I32" s="138"/>
      <c r="J32" s="138"/>
      <c r="K32" s="26"/>
      <c r="L32" s="820" t="s">
        <v>493</v>
      </c>
      <c r="M32" s="819">
        <v>10.88509</v>
      </c>
      <c r="N32" s="819">
        <v>0</v>
      </c>
      <c r="O32" s="767"/>
    </row>
    <row r="33" spans="1:15" ht="19.5" customHeight="1">
      <c r="A33" s="581" t="s">
        <v>500</v>
      </c>
      <c r="B33" s="408">
        <v>19.142140000000001</v>
      </c>
      <c r="C33" s="408">
        <v>18.877369999999999</v>
      </c>
      <c r="D33" s="409">
        <f t="shared" si="0"/>
        <v>1.4025788549994145E-2</v>
      </c>
      <c r="E33" s="138"/>
      <c r="F33" s="138"/>
      <c r="G33" s="138"/>
      <c r="H33" s="138"/>
      <c r="I33" s="138"/>
      <c r="J33" s="138"/>
      <c r="K33" s="26"/>
      <c r="L33" s="820" t="s">
        <v>102</v>
      </c>
      <c r="M33" s="819">
        <v>12.276</v>
      </c>
      <c r="N33" s="819">
        <v>46.206550000000007</v>
      </c>
      <c r="O33" s="767"/>
    </row>
    <row r="34" spans="1:15" ht="11.25" customHeight="1">
      <c r="A34" s="404" t="s">
        <v>121</v>
      </c>
      <c r="B34" s="405">
        <v>19.05782</v>
      </c>
      <c r="C34" s="405">
        <v>15.892329999999999</v>
      </c>
      <c r="D34" s="406">
        <f t="shared" si="0"/>
        <v>0.19918350550233987</v>
      </c>
      <c r="E34" s="138"/>
      <c r="F34" s="138"/>
      <c r="G34" s="138"/>
      <c r="H34" s="138"/>
      <c r="I34" s="138"/>
      <c r="J34" s="138"/>
      <c r="K34" s="26"/>
      <c r="L34" s="820" t="s">
        <v>554</v>
      </c>
      <c r="M34" s="819">
        <v>16.593600000000002</v>
      </c>
      <c r="N34" s="819"/>
      <c r="O34" s="767"/>
    </row>
    <row r="35" spans="1:15" ht="11.25" customHeight="1">
      <c r="A35" s="581" t="s">
        <v>251</v>
      </c>
      <c r="B35" s="408">
        <v>18.517849999999999</v>
      </c>
      <c r="C35" s="408">
        <v>18.104219999999998</v>
      </c>
      <c r="D35" s="409">
        <f t="shared" si="0"/>
        <v>2.284715939156734E-2</v>
      </c>
      <c r="E35" s="138"/>
      <c r="F35" s="138"/>
      <c r="G35" s="138"/>
      <c r="H35" s="138"/>
      <c r="I35" s="138"/>
      <c r="J35" s="138"/>
      <c r="K35" s="26"/>
      <c r="L35" s="820" t="s">
        <v>105</v>
      </c>
      <c r="M35" s="819">
        <v>18.142810000000001</v>
      </c>
      <c r="N35" s="819">
        <v>9.4473900000000004</v>
      </c>
      <c r="O35" s="767"/>
    </row>
    <row r="36" spans="1:15" ht="11.25" customHeight="1">
      <c r="A36" s="404" t="s">
        <v>105</v>
      </c>
      <c r="B36" s="405">
        <v>18.142810000000001</v>
      </c>
      <c r="C36" s="405">
        <v>9.4473900000000004</v>
      </c>
      <c r="D36" s="406">
        <f t="shared" si="0"/>
        <v>0.92040447149953586</v>
      </c>
      <c r="E36" s="138"/>
      <c r="F36" s="138"/>
      <c r="G36" s="138"/>
      <c r="H36" s="138"/>
      <c r="I36" s="138"/>
      <c r="J36" s="138"/>
      <c r="K36" s="34"/>
      <c r="L36" s="820" t="s">
        <v>251</v>
      </c>
      <c r="M36" s="819">
        <v>18.517849999999999</v>
      </c>
      <c r="N36" s="819">
        <v>18.104219999999998</v>
      </c>
      <c r="O36" s="767"/>
    </row>
    <row r="37" spans="1:15" ht="11.25" customHeight="1">
      <c r="A37" s="581" t="s">
        <v>554</v>
      </c>
      <c r="B37" s="408">
        <v>16.593600000000002</v>
      </c>
      <c r="C37" s="408"/>
      <c r="D37" s="409" t="str">
        <f t="shared" si="0"/>
        <v/>
      </c>
      <c r="E37" s="138"/>
      <c r="F37" s="138"/>
      <c r="G37" s="138"/>
      <c r="H37" s="138"/>
      <c r="I37" s="138"/>
      <c r="J37" s="138"/>
      <c r="K37" s="34"/>
      <c r="L37" s="820" t="s">
        <v>121</v>
      </c>
      <c r="M37" s="833">
        <v>19.05782</v>
      </c>
      <c r="N37" s="833">
        <v>15.892329999999999</v>
      </c>
      <c r="O37" s="767"/>
    </row>
    <row r="38" spans="1:15" ht="11.25" customHeight="1">
      <c r="A38" s="809" t="s">
        <v>102</v>
      </c>
      <c r="B38" s="405">
        <v>12.276</v>
      </c>
      <c r="C38" s="405">
        <v>46.206550000000007</v>
      </c>
      <c r="D38" s="406">
        <f t="shared" si="0"/>
        <v>-0.7343233805596826</v>
      </c>
      <c r="E38" s="138"/>
      <c r="F38" s="138"/>
      <c r="G38" s="138"/>
      <c r="H38" s="138"/>
      <c r="I38" s="138"/>
      <c r="J38" s="138"/>
      <c r="K38" s="29"/>
      <c r="L38" s="820" t="s">
        <v>500</v>
      </c>
      <c r="M38" s="819">
        <v>19.142140000000001</v>
      </c>
      <c r="N38" s="819">
        <v>18.877369999999999</v>
      </c>
      <c r="O38" s="767"/>
    </row>
    <row r="39" spans="1:15" ht="11.25" customHeight="1">
      <c r="A39" s="581" t="s">
        <v>493</v>
      </c>
      <c r="B39" s="408">
        <v>10.88509</v>
      </c>
      <c r="C39" s="408">
        <v>0</v>
      </c>
      <c r="D39" s="409" t="str">
        <f t="shared" si="0"/>
        <v/>
      </c>
      <c r="E39" s="138"/>
      <c r="F39" s="138"/>
      <c r="G39" s="138"/>
      <c r="H39" s="138"/>
      <c r="I39" s="138"/>
      <c r="J39" s="138"/>
      <c r="K39" s="29"/>
      <c r="L39" s="820" t="s">
        <v>104</v>
      </c>
      <c r="M39" s="819">
        <v>19.3874</v>
      </c>
      <c r="N39" s="819">
        <v>17.88</v>
      </c>
      <c r="O39" s="767"/>
    </row>
    <row r="40" spans="1:15" ht="11.25" customHeight="1">
      <c r="A40" s="810" t="s">
        <v>94</v>
      </c>
      <c r="B40" s="405">
        <v>9.8530200000000008</v>
      </c>
      <c r="C40" s="405">
        <v>182.12267</v>
      </c>
      <c r="D40" s="406">
        <f t="shared" si="0"/>
        <v>-0.94589899214633744</v>
      </c>
      <c r="E40" s="138"/>
      <c r="F40" s="138"/>
      <c r="G40" s="138"/>
      <c r="H40" s="138"/>
      <c r="I40" s="138"/>
      <c r="J40" s="138"/>
      <c r="K40" s="29"/>
      <c r="L40" s="820" t="s">
        <v>462</v>
      </c>
      <c r="M40" s="819">
        <v>20.062539999999998</v>
      </c>
      <c r="N40" s="819">
        <v>19.850020000000001</v>
      </c>
      <c r="O40" s="767"/>
    </row>
    <row r="41" spans="1:15" ht="9.75" customHeight="1">
      <c r="A41" s="407" t="s">
        <v>635</v>
      </c>
      <c r="B41" s="408">
        <v>8.9375</v>
      </c>
      <c r="C41" s="408"/>
      <c r="D41" s="409" t="str">
        <f t="shared" si="0"/>
        <v/>
      </c>
      <c r="E41" s="138"/>
      <c r="F41" s="138"/>
      <c r="G41" s="138"/>
      <c r="H41" s="138"/>
      <c r="I41" s="138"/>
      <c r="J41" s="138"/>
      <c r="K41" s="34"/>
      <c r="L41" s="820" t="s">
        <v>488</v>
      </c>
      <c r="M41" s="819">
        <v>20.720690000000001</v>
      </c>
      <c r="N41" s="819">
        <v>20.367170000000002</v>
      </c>
      <c r="O41" s="767"/>
    </row>
    <row r="42" spans="1:15" ht="9.75" customHeight="1">
      <c r="A42" s="404" t="s">
        <v>637</v>
      </c>
      <c r="B42" s="405">
        <v>8.335840000000001</v>
      </c>
      <c r="C42" s="405"/>
      <c r="D42" s="406" t="str">
        <f t="shared" si="0"/>
        <v/>
      </c>
      <c r="E42" s="138"/>
      <c r="F42" s="138"/>
      <c r="G42" s="138"/>
      <c r="H42" s="138"/>
      <c r="I42" s="138"/>
      <c r="J42" s="138"/>
      <c r="K42" s="34"/>
      <c r="L42" s="820" t="s">
        <v>253</v>
      </c>
      <c r="M42" s="819">
        <v>20.784780000000001</v>
      </c>
      <c r="N42" s="819">
        <v>25.828679999999999</v>
      </c>
      <c r="O42" s="767"/>
    </row>
    <row r="43" spans="1:15" ht="9.75" customHeight="1">
      <c r="A43" s="407" t="s">
        <v>519</v>
      </c>
      <c r="B43" s="408">
        <v>6.4589999999999996</v>
      </c>
      <c r="C43" s="408"/>
      <c r="D43" s="409" t="str">
        <f t="shared" si="0"/>
        <v/>
      </c>
      <c r="E43" s="138"/>
      <c r="F43" s="138"/>
      <c r="G43" s="138"/>
      <c r="H43" s="138"/>
      <c r="I43" s="138"/>
      <c r="J43" s="138"/>
      <c r="K43" s="34"/>
      <c r="L43" s="820" t="s">
        <v>114</v>
      </c>
      <c r="M43" s="819">
        <v>23.368099999999998</v>
      </c>
      <c r="N43" s="819">
        <v>2.3944800000000002</v>
      </c>
      <c r="O43" s="767"/>
    </row>
    <row r="44" spans="1:15" ht="9.75" customHeight="1">
      <c r="A44" s="404" t="s">
        <v>478</v>
      </c>
      <c r="B44" s="405">
        <v>6.0778999999999996</v>
      </c>
      <c r="C44" s="405">
        <v>6.8082000000000011</v>
      </c>
      <c r="D44" s="406">
        <f t="shared" si="0"/>
        <v>-0.10726770658911333</v>
      </c>
      <c r="E44" s="138"/>
      <c r="F44" s="138"/>
      <c r="G44" s="138"/>
      <c r="H44" s="138"/>
      <c r="I44" s="138"/>
      <c r="J44" s="138"/>
      <c r="L44" s="820" t="s">
        <v>103</v>
      </c>
      <c r="M44" s="819">
        <v>27.175370000000001</v>
      </c>
      <c r="N44" s="819">
        <v>27.943930000000002</v>
      </c>
      <c r="O44" s="767"/>
    </row>
    <row r="45" spans="1:15" ht="9.75" customHeight="1">
      <c r="A45" s="407" t="s">
        <v>117</v>
      </c>
      <c r="B45" s="408">
        <v>3.6</v>
      </c>
      <c r="C45" s="408">
        <v>2.4</v>
      </c>
      <c r="D45" s="409">
        <f t="shared" si="0"/>
        <v>0.5</v>
      </c>
      <c r="E45" s="138"/>
      <c r="F45" s="138"/>
      <c r="G45" s="138"/>
      <c r="H45" s="138"/>
      <c r="I45" s="138"/>
      <c r="J45" s="138"/>
      <c r="L45" s="820" t="s">
        <v>596</v>
      </c>
      <c r="M45" s="819">
        <v>52.42991</v>
      </c>
      <c r="N45" s="819">
        <v>53.975630000000002</v>
      </c>
      <c r="O45" s="767"/>
    </row>
    <row r="46" spans="1:15" ht="9.75" customHeight="1">
      <c r="A46" s="404" t="s">
        <v>116</v>
      </c>
      <c r="B46" s="405">
        <v>3.4600600000000004</v>
      </c>
      <c r="C46" s="405">
        <v>3.60182</v>
      </c>
      <c r="D46" s="406">
        <f t="shared" si="0"/>
        <v>-3.9357880182796401E-2</v>
      </c>
      <c r="E46" s="138"/>
      <c r="F46" s="138"/>
      <c r="G46" s="138"/>
      <c r="H46" s="138"/>
      <c r="I46" s="138"/>
      <c r="J46" s="138"/>
      <c r="L46" s="820" t="s">
        <v>98</v>
      </c>
      <c r="M46" s="819">
        <v>65.52637</v>
      </c>
      <c r="N46" s="819">
        <v>56.806190000000001</v>
      </c>
      <c r="O46" s="767"/>
    </row>
    <row r="47" spans="1:15" ht="9.75" customHeight="1">
      <c r="A47" s="407" t="s">
        <v>115</v>
      </c>
      <c r="B47" s="408">
        <v>2.4837899999999999</v>
      </c>
      <c r="C47" s="408">
        <v>4.9903599999999999</v>
      </c>
      <c r="D47" s="409">
        <f t="shared" si="0"/>
        <v>-0.50228240046810257</v>
      </c>
      <c r="E47" s="138"/>
      <c r="F47" s="138"/>
      <c r="G47" s="138"/>
      <c r="H47" s="138"/>
      <c r="I47" s="138"/>
      <c r="J47" s="138"/>
      <c r="L47" s="820" t="s">
        <v>109</v>
      </c>
      <c r="M47" s="819">
        <v>67.464019999999991</v>
      </c>
      <c r="N47" s="819">
        <v>34.778909999999996</v>
      </c>
      <c r="O47" s="767"/>
    </row>
    <row r="48" spans="1:15" ht="9.75" customHeight="1">
      <c r="A48" s="404" t="s">
        <v>480</v>
      </c>
      <c r="B48" s="405">
        <v>0.69699999999999995</v>
      </c>
      <c r="C48" s="405">
        <v>0.90700000000000003</v>
      </c>
      <c r="D48" s="406">
        <f t="shared" si="0"/>
        <v>-0.23153252480705633</v>
      </c>
      <c r="E48" s="138"/>
      <c r="F48" s="138"/>
      <c r="G48" s="138"/>
      <c r="H48" s="138"/>
      <c r="I48" s="138"/>
      <c r="J48" s="138"/>
      <c r="L48" s="820" t="s">
        <v>100</v>
      </c>
      <c r="M48" s="819">
        <v>71.902060000000006</v>
      </c>
      <c r="N48" s="819">
        <v>80.15558</v>
      </c>
      <c r="O48" s="767"/>
    </row>
    <row r="49" spans="1:15" ht="11.25" customHeight="1">
      <c r="A49" s="581" t="s">
        <v>588</v>
      </c>
      <c r="B49" s="408">
        <v>0.14888000000000001</v>
      </c>
      <c r="C49" s="408">
        <v>0.94188000000000005</v>
      </c>
      <c r="D49" s="409">
        <f t="shared" si="0"/>
        <v>-0.84193315496666243</v>
      </c>
      <c r="E49" s="138"/>
      <c r="F49" s="138"/>
      <c r="G49" s="138"/>
      <c r="H49" s="138"/>
      <c r="I49" s="138"/>
      <c r="J49" s="138"/>
      <c r="L49" s="820" t="s">
        <v>249</v>
      </c>
      <c r="M49" s="819">
        <v>80.862840000000006</v>
      </c>
      <c r="N49" s="819">
        <v>81.192689999999999</v>
      </c>
      <c r="O49" s="767"/>
    </row>
    <row r="50" spans="1:15" ht="19.5" customHeight="1">
      <c r="A50" s="809" t="s">
        <v>122</v>
      </c>
      <c r="B50" s="405">
        <v>0</v>
      </c>
      <c r="C50" s="405">
        <v>13.55499</v>
      </c>
      <c r="D50" s="406">
        <f t="shared" si="0"/>
        <v>-1</v>
      </c>
      <c r="E50" s="138"/>
      <c r="F50" s="138"/>
      <c r="G50" s="138"/>
      <c r="H50" s="138"/>
      <c r="I50" s="138"/>
      <c r="J50" s="138"/>
      <c r="L50" s="820" t="s">
        <v>97</v>
      </c>
      <c r="M50" s="819">
        <v>88.887209999999996</v>
      </c>
      <c r="N50" s="819">
        <v>88.366280000000003</v>
      </c>
      <c r="O50" s="767"/>
    </row>
    <row r="51" spans="1:15" ht="9.75" customHeight="1">
      <c r="A51" s="581" t="s">
        <v>107</v>
      </c>
      <c r="B51" s="408">
        <v>0</v>
      </c>
      <c r="C51" s="408">
        <v>12.84328</v>
      </c>
      <c r="D51" s="409">
        <f t="shared" si="0"/>
        <v>-1</v>
      </c>
      <c r="E51" s="138"/>
      <c r="F51" s="138"/>
      <c r="G51" s="138"/>
      <c r="H51" s="138"/>
      <c r="I51" s="138"/>
      <c r="J51" s="138"/>
      <c r="L51" s="820" t="s">
        <v>518</v>
      </c>
      <c r="M51" s="819">
        <v>89.43329</v>
      </c>
      <c r="N51" s="819">
        <v>90.325099999999992</v>
      </c>
      <c r="O51" s="767"/>
    </row>
    <row r="52" spans="1:15" ht="9.75" customHeight="1">
      <c r="A52" s="404" t="s">
        <v>247</v>
      </c>
      <c r="B52" s="405">
        <v>0</v>
      </c>
      <c r="C52" s="405">
        <v>0</v>
      </c>
      <c r="D52" s="406" t="str">
        <f t="shared" si="0"/>
        <v/>
      </c>
      <c r="E52" s="138"/>
      <c r="F52" s="138"/>
      <c r="G52" s="138"/>
      <c r="H52" s="138"/>
      <c r="I52" s="138"/>
      <c r="J52" s="138"/>
      <c r="L52" s="820" t="s">
        <v>96</v>
      </c>
      <c r="M52" s="819">
        <v>108.87512000000001</v>
      </c>
      <c r="N52" s="819">
        <v>110.10356</v>
      </c>
      <c r="O52" s="767"/>
    </row>
    <row r="53" spans="1:15" ht="9.75" customHeight="1">
      <c r="A53" s="407" t="s">
        <v>112</v>
      </c>
      <c r="B53" s="408">
        <v>0</v>
      </c>
      <c r="C53" s="408">
        <v>0</v>
      </c>
      <c r="D53" s="409" t="str">
        <f t="shared" si="0"/>
        <v/>
      </c>
      <c r="E53" s="138"/>
      <c r="F53" s="138"/>
      <c r="G53" s="138"/>
      <c r="H53" s="138"/>
      <c r="I53" s="138"/>
      <c r="J53" s="138"/>
      <c r="L53" s="820" t="s">
        <v>99</v>
      </c>
      <c r="M53" s="819">
        <v>128.48525000000001</v>
      </c>
      <c r="N53" s="819">
        <v>84.311989999999994</v>
      </c>
      <c r="O53" s="767"/>
    </row>
    <row r="54" spans="1:15" ht="9.75" customHeight="1">
      <c r="A54" s="404" t="s">
        <v>113</v>
      </c>
      <c r="B54" s="405">
        <v>0</v>
      </c>
      <c r="C54" s="405">
        <v>0</v>
      </c>
      <c r="D54" s="406" t="str">
        <f t="shared" si="0"/>
        <v/>
      </c>
      <c r="E54" s="138"/>
      <c r="F54" s="138"/>
      <c r="G54" s="138"/>
      <c r="H54" s="138"/>
      <c r="I54" s="138"/>
      <c r="J54" s="138"/>
      <c r="L54" s="820" t="s">
        <v>93</v>
      </c>
      <c r="M54" s="819">
        <v>164.24513999999999</v>
      </c>
      <c r="N54" s="819">
        <v>166.62601000000001</v>
      </c>
      <c r="O54" s="767"/>
    </row>
    <row r="55" spans="1:15" ht="9.75" customHeight="1">
      <c r="A55" s="407" t="s">
        <v>119</v>
      </c>
      <c r="B55" s="408">
        <v>0</v>
      </c>
      <c r="C55" s="408">
        <v>0</v>
      </c>
      <c r="D55" s="409" t="str">
        <f t="shared" si="0"/>
        <v/>
      </c>
      <c r="E55" s="138"/>
      <c r="F55" s="138"/>
      <c r="G55" s="138"/>
      <c r="H55" s="138"/>
      <c r="I55" s="138"/>
      <c r="J55" s="138"/>
      <c r="L55" s="820" t="s">
        <v>92</v>
      </c>
      <c r="M55" s="819">
        <v>168.97479000000004</v>
      </c>
      <c r="N55" s="819">
        <v>167.72149000000002</v>
      </c>
      <c r="O55" s="767"/>
    </row>
    <row r="56" spans="1:15" ht="9.75" customHeight="1">
      <c r="A56" s="404" t="s">
        <v>118</v>
      </c>
      <c r="B56" s="405">
        <v>0</v>
      </c>
      <c r="C56" s="405">
        <v>1.5269999999999999</v>
      </c>
      <c r="D56" s="406">
        <f t="shared" si="0"/>
        <v>-1</v>
      </c>
      <c r="E56" s="138"/>
      <c r="F56" s="138"/>
      <c r="G56" s="138"/>
      <c r="H56" s="138"/>
      <c r="I56" s="138"/>
      <c r="J56" s="138"/>
      <c r="L56" s="820" t="s">
        <v>95</v>
      </c>
      <c r="M56" s="819">
        <v>190.60316</v>
      </c>
      <c r="N56" s="819">
        <v>134.03176999999999</v>
      </c>
      <c r="O56" s="767"/>
    </row>
    <row r="57" spans="1:15" ht="9.75" customHeight="1">
      <c r="A57" s="407" t="s">
        <v>111</v>
      </c>
      <c r="B57" s="408">
        <v>0</v>
      </c>
      <c r="C57" s="408">
        <v>0</v>
      </c>
      <c r="D57" s="409" t="str">
        <f t="shared" si="0"/>
        <v/>
      </c>
      <c r="E57" s="138"/>
      <c r="F57" s="138"/>
      <c r="G57" s="138"/>
      <c r="H57" s="138"/>
      <c r="I57" s="138"/>
      <c r="J57" s="138"/>
      <c r="L57" s="820" t="s">
        <v>250</v>
      </c>
      <c r="M57" s="819">
        <v>270.53350999999998</v>
      </c>
      <c r="N57" s="819">
        <v>541.04791</v>
      </c>
      <c r="O57" s="767"/>
    </row>
    <row r="58" spans="1:15" ht="9.75" customHeight="1">
      <c r="A58" s="404" t="s">
        <v>108</v>
      </c>
      <c r="B58" s="405">
        <v>0</v>
      </c>
      <c r="C58" s="405">
        <v>0</v>
      </c>
      <c r="D58" s="406" t="str">
        <f t="shared" si="0"/>
        <v/>
      </c>
      <c r="E58" s="138"/>
      <c r="F58" s="138"/>
      <c r="G58" s="138"/>
      <c r="H58" s="138"/>
      <c r="I58" s="138"/>
      <c r="J58" s="138"/>
      <c r="L58" s="820" t="s">
        <v>91</v>
      </c>
      <c r="M58" s="819">
        <v>337.84769000000006</v>
      </c>
      <c r="N58" s="819">
        <v>339.57974999999999</v>
      </c>
      <c r="O58" s="767"/>
    </row>
    <row r="59" spans="1:15" ht="9.75" customHeight="1">
      <c r="A59" s="388" t="s">
        <v>254</v>
      </c>
      <c r="B59" s="389">
        <v>0</v>
      </c>
      <c r="C59" s="389">
        <v>0</v>
      </c>
      <c r="D59" s="409" t="str">
        <f t="shared" si="0"/>
        <v/>
      </c>
      <c r="E59" s="138"/>
      <c r="F59" s="138"/>
      <c r="G59" s="138"/>
      <c r="H59" s="138"/>
      <c r="I59" s="138"/>
      <c r="J59" s="138"/>
      <c r="L59" s="820" t="s">
        <v>252</v>
      </c>
      <c r="M59" s="819">
        <v>355.59897999999998</v>
      </c>
      <c r="N59" s="819">
        <v>339.10036000000002</v>
      </c>
      <c r="O59" s="767"/>
    </row>
    <row r="60" spans="1:15" ht="9.75" customHeight="1">
      <c r="A60" s="410" t="s">
        <v>255</v>
      </c>
      <c r="B60" s="411">
        <v>0</v>
      </c>
      <c r="C60" s="411">
        <v>0</v>
      </c>
      <c r="D60" s="412" t="str">
        <f t="shared" si="0"/>
        <v/>
      </c>
      <c r="E60" s="138"/>
      <c r="F60" s="138"/>
      <c r="G60" s="138"/>
      <c r="H60" s="138"/>
      <c r="I60" s="138"/>
      <c r="J60" s="138"/>
      <c r="L60" s="820" t="s">
        <v>248</v>
      </c>
      <c r="M60" s="819">
        <v>452.97059999999999</v>
      </c>
      <c r="N60" s="819">
        <v>360.29655000000002</v>
      </c>
      <c r="O60" s="767"/>
    </row>
    <row r="61" spans="1:15" ht="9.75" customHeight="1">
      <c r="A61" s="388" t="s">
        <v>120</v>
      </c>
      <c r="B61" s="389">
        <v>0</v>
      </c>
      <c r="C61" s="389">
        <v>20.883690000000001</v>
      </c>
      <c r="D61" s="400">
        <f t="shared" si="0"/>
        <v>-1</v>
      </c>
      <c r="E61" s="138"/>
      <c r="F61" s="138"/>
      <c r="G61" s="138"/>
      <c r="H61" s="138"/>
      <c r="I61" s="138"/>
      <c r="J61" s="138"/>
      <c r="L61" s="820" t="s">
        <v>90</v>
      </c>
      <c r="M61" s="819">
        <v>862.00319999999999</v>
      </c>
      <c r="N61" s="819">
        <v>837.01967999999999</v>
      </c>
      <c r="O61" s="767"/>
    </row>
    <row r="62" spans="1:15" ht="9.75" customHeight="1">
      <c r="A62" s="410" t="s">
        <v>110</v>
      </c>
      <c r="B62" s="411">
        <v>0</v>
      </c>
      <c r="C62" s="411">
        <v>0</v>
      </c>
      <c r="D62" s="412" t="str">
        <f t="shared" si="0"/>
        <v/>
      </c>
      <c r="E62" s="138"/>
      <c r="F62" s="138"/>
      <c r="G62" s="138"/>
      <c r="H62" s="138"/>
      <c r="I62" s="138"/>
      <c r="J62" s="138"/>
      <c r="L62" s="820" t="s">
        <v>89</v>
      </c>
      <c r="M62" s="819">
        <v>875.17266000000006</v>
      </c>
      <c r="N62" s="819">
        <v>785.28833000000009</v>
      </c>
      <c r="O62" s="767"/>
    </row>
    <row r="63" spans="1:15" s="797" customFormat="1" ht="9.75" customHeight="1">
      <c r="A63" s="388" t="s">
        <v>101</v>
      </c>
      <c r="B63" s="389">
        <v>0</v>
      </c>
      <c r="C63" s="389">
        <v>291.77163999999999</v>
      </c>
      <c r="D63" s="400">
        <f t="shared" si="0"/>
        <v>-1</v>
      </c>
      <c r="E63" s="138"/>
      <c r="F63" s="138"/>
      <c r="G63" s="138"/>
      <c r="H63" s="138"/>
      <c r="I63" s="138"/>
      <c r="J63" s="138"/>
      <c r="L63" s="820" t="s">
        <v>88</v>
      </c>
      <c r="M63" s="819">
        <v>961.80266000000006</v>
      </c>
      <c r="N63" s="819">
        <v>1017.5046399999998</v>
      </c>
      <c r="O63" s="767"/>
    </row>
    <row r="64" spans="1:15" s="797" customFormat="1" ht="9.75" customHeight="1">
      <c r="A64" s="830" t="s">
        <v>106</v>
      </c>
      <c r="B64" s="832">
        <v>0</v>
      </c>
      <c r="C64" s="832">
        <v>0</v>
      </c>
      <c r="D64" s="831"/>
      <c r="E64" s="138"/>
      <c r="F64" s="138"/>
      <c r="G64" s="138"/>
      <c r="H64" s="138"/>
      <c r="I64" s="138"/>
      <c r="J64" s="138"/>
      <c r="L64" s="820" t="s">
        <v>477</v>
      </c>
      <c r="M64" s="819">
        <v>1327.7857300000001</v>
      </c>
      <c r="N64" s="819">
        <v>751.21424999999999</v>
      </c>
      <c r="O64" s="767"/>
    </row>
    <row r="65" spans="1:15" ht="9.75" customHeight="1">
      <c r="A65" s="390" t="s">
        <v>43</v>
      </c>
      <c r="B65" s="672">
        <f>SUM(B7:B64)</f>
        <v>7017.5713699999988</v>
      </c>
      <c r="C65" s="672">
        <f>SUM(C7:C64)</f>
        <v>6884.5913399999981</v>
      </c>
      <c r="D65" s="391">
        <f>IF(C65=0,"",B65/C65-1)</f>
        <v>1.9315602543810595E-2</v>
      </c>
      <c r="E65" s="138"/>
      <c r="F65" s="138"/>
      <c r="G65" s="138"/>
      <c r="H65" s="138"/>
      <c r="I65" s="138"/>
      <c r="J65" s="138"/>
      <c r="L65" s="820"/>
      <c r="M65" s="821"/>
      <c r="N65" s="821"/>
      <c r="O65" s="767"/>
    </row>
    <row r="66" spans="1:15" ht="51.75" customHeight="1">
      <c r="A66" s="894" t="str">
        <f>"Cuadro N° 8: Participación de las empresas generadoras del COES en la máxima potencia coincidente (MW) en "&amp;'1. Resumen'!Q4</f>
        <v>Cuadro N° 8: Participación de las empresas generadoras del COES en la máxima potencia coincidente (MW) en diciembre</v>
      </c>
      <c r="B66" s="894"/>
      <c r="C66" s="894"/>
      <c r="D66" s="894"/>
      <c r="E66" s="132"/>
      <c r="F66" s="894" t="str">
        <f>"Gráfico N° 12: Comparación de la máxima potencia coincidente  (MW) de las empresas generadoras del COES en "&amp;'1. Resumen'!Q4</f>
        <v>Gráfico N° 12: Comparación de la máxima potencia coincidente  (MW) de las empresas generadoras del COES en diciembre</v>
      </c>
      <c r="G66" s="894"/>
      <c r="H66" s="894"/>
      <c r="I66" s="894"/>
      <c r="J66" s="894"/>
      <c r="L66" s="820"/>
      <c r="M66" s="822"/>
      <c r="N66" s="822"/>
    </row>
    <row r="67" spans="1:15" ht="25.5" customHeight="1">
      <c r="A67" s="897" t="s">
        <v>584</v>
      </c>
      <c r="B67" s="897"/>
      <c r="C67" s="897"/>
      <c r="D67" s="897"/>
      <c r="E67" s="897"/>
      <c r="F67" s="897"/>
      <c r="G67" s="897"/>
      <c r="H67" s="897"/>
      <c r="I67" s="897"/>
      <c r="J67" s="897"/>
    </row>
    <row r="68" spans="1:15" ht="17.25" customHeight="1">
      <c r="A68" s="896" t="s">
        <v>582</v>
      </c>
      <c r="B68" s="896"/>
      <c r="C68" s="896"/>
      <c r="D68" s="896"/>
      <c r="E68" s="896"/>
      <c r="F68" s="896"/>
      <c r="G68" s="896"/>
      <c r="H68" s="896"/>
      <c r="I68" s="896"/>
      <c r="J68" s="896"/>
    </row>
    <row r="69" spans="1:15">
      <c r="A69" s="896"/>
      <c r="B69" s="896"/>
      <c r="C69" s="896"/>
      <c r="D69" s="896"/>
      <c r="E69" s="896"/>
      <c r="F69" s="896"/>
      <c r="G69" s="896"/>
      <c r="H69" s="896"/>
      <c r="I69" s="896"/>
      <c r="J69" s="896"/>
    </row>
    <row r="70" spans="1:15">
      <c r="A70" s="889"/>
      <c r="B70" s="889"/>
      <c r="C70" s="889"/>
      <c r="D70" s="889"/>
      <c r="E70" s="889"/>
      <c r="F70" s="889"/>
      <c r="G70" s="889"/>
      <c r="H70" s="889"/>
      <c r="I70" s="889"/>
      <c r="J70" s="889"/>
    </row>
    <row r="71" spans="1:15">
      <c r="A71" s="888"/>
      <c r="B71" s="888"/>
      <c r="C71" s="888"/>
      <c r="D71" s="888"/>
      <c r="E71" s="888"/>
      <c r="F71" s="888"/>
      <c r="G71" s="888"/>
      <c r="H71" s="888"/>
      <c r="I71" s="888"/>
      <c r="J71" s="888"/>
    </row>
    <row r="72" spans="1:15">
      <c r="A72" s="911"/>
      <c r="B72" s="911"/>
      <c r="C72" s="911"/>
      <c r="D72" s="911"/>
      <c r="E72" s="911"/>
      <c r="F72" s="911"/>
      <c r="G72" s="911"/>
      <c r="H72" s="911"/>
      <c r="I72" s="911"/>
      <c r="J72" s="911"/>
    </row>
    <row r="73" spans="1:15">
      <c r="A73" s="910"/>
      <c r="B73" s="910"/>
      <c r="C73" s="910"/>
      <c r="D73" s="910"/>
      <c r="E73" s="910"/>
      <c r="F73" s="910"/>
      <c r="G73" s="910"/>
      <c r="H73" s="910"/>
      <c r="I73" s="910"/>
      <c r="J73" s="910"/>
    </row>
  </sheetData>
  <mergeCells count="14">
    <mergeCell ref="A67:J67"/>
    <mergeCell ref="A68:J68"/>
    <mergeCell ref="A66:D66"/>
    <mergeCell ref="F66:J66"/>
    <mergeCell ref="A1:J1"/>
    <mergeCell ref="A3:A6"/>
    <mergeCell ref="B3:D3"/>
    <mergeCell ref="G3:I3"/>
    <mergeCell ref="D4:D6"/>
    <mergeCell ref="A73:J73"/>
    <mergeCell ref="A69:J69"/>
    <mergeCell ref="A70:J70"/>
    <mergeCell ref="A71:J71"/>
    <mergeCell ref="A72:J72"/>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008FC8"/>
  </sheetPr>
  <dimension ref="A1:AL65"/>
  <sheetViews>
    <sheetView showGridLines="0" view="pageBreakPreview" topLeftCell="A3" zoomScale="70" zoomScaleNormal="100" zoomScaleSheetLayoutView="70" zoomScalePageLayoutView="130" workbookViewId="0"/>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26" customWidth="1"/>
    <col min="12" max="31" width="9.33203125" style="326"/>
    <col min="32" max="16384" width="9.33203125" style="46"/>
  </cols>
  <sheetData>
    <row r="1" spans="1:38" ht="11.25" customHeight="1"/>
    <row r="2" spans="1:38" ht="17.25" customHeight="1">
      <c r="A2" s="902" t="s">
        <v>263</v>
      </c>
      <c r="B2" s="902"/>
      <c r="C2" s="902"/>
      <c r="D2" s="902"/>
      <c r="E2" s="902"/>
      <c r="F2" s="902"/>
      <c r="G2" s="902"/>
      <c r="H2" s="902"/>
    </row>
    <row r="3" spans="1:38" ht="11.25" customHeight="1">
      <c r="A3" s="77"/>
      <c r="B3" s="77"/>
      <c r="C3" s="77"/>
      <c r="D3" s="77"/>
      <c r="E3" s="77"/>
      <c r="F3" s="82"/>
      <c r="G3" s="82"/>
      <c r="H3" s="82"/>
      <c r="I3" s="36"/>
      <c r="J3" s="335"/>
    </row>
    <row r="4" spans="1:38" ht="15.75" customHeight="1">
      <c r="A4" s="920" t="s">
        <v>542</v>
      </c>
      <c r="B4" s="920"/>
      <c r="C4" s="920"/>
      <c r="D4" s="920"/>
      <c r="E4" s="920"/>
      <c r="F4" s="920"/>
      <c r="G4" s="920"/>
      <c r="H4" s="920"/>
      <c r="I4" s="36"/>
      <c r="J4" s="335"/>
    </row>
    <row r="5" spans="1:38" ht="11.25" customHeight="1">
      <c r="A5" s="77"/>
      <c r="B5" s="164"/>
      <c r="C5" s="79"/>
      <c r="D5" s="79"/>
      <c r="E5" s="80"/>
      <c r="F5" s="76"/>
      <c r="G5" s="76"/>
      <c r="H5" s="81"/>
      <c r="I5" s="165"/>
      <c r="J5" s="336"/>
    </row>
    <row r="6" spans="1:38" ht="42.75" customHeight="1">
      <c r="A6" s="77"/>
      <c r="C6" s="525" t="s">
        <v>125</v>
      </c>
      <c r="D6" s="526" t="s">
        <v>692</v>
      </c>
      <c r="E6" s="526" t="s">
        <v>693</v>
      </c>
      <c r="F6" s="527" t="s">
        <v>126</v>
      </c>
      <c r="G6" s="169"/>
      <c r="H6" s="170"/>
    </row>
    <row r="7" spans="1:38" ht="11.25" customHeight="1">
      <c r="A7" s="77"/>
      <c r="C7" s="583" t="s">
        <v>127</v>
      </c>
      <c r="D7" s="584">
        <v>24.997999191284102</v>
      </c>
      <c r="E7" s="840">
        <v>13.724</v>
      </c>
      <c r="F7" s="585">
        <f>IF(E7=0,"",(D7-E7)/E7)</f>
        <v>0.82148055896852967</v>
      </c>
      <c r="G7" s="137"/>
      <c r="H7" s="273"/>
    </row>
    <row r="8" spans="1:38" ht="11.25" customHeight="1">
      <c r="A8" s="77"/>
      <c r="C8" s="586" t="s">
        <v>128</v>
      </c>
      <c r="D8" s="587">
        <v>63.966999053955</v>
      </c>
      <c r="E8" s="588">
        <v>74.947999999999993</v>
      </c>
      <c r="F8" s="589">
        <f t="shared" ref="F8:F20" si="0">IF(E8=0,"",(D8-E8)/E8)</f>
        <v>-0.14651492963181131</v>
      </c>
      <c r="G8" s="137"/>
      <c r="H8" s="273"/>
    </row>
    <row r="9" spans="1:38" ht="11.25" customHeight="1">
      <c r="A9" s="77"/>
      <c r="C9" s="590" t="s">
        <v>129</v>
      </c>
      <c r="D9" s="591">
        <v>56.001998901367102</v>
      </c>
      <c r="E9" s="592">
        <v>63.640999999999998</v>
      </c>
      <c r="F9" s="593">
        <f t="shared" si="0"/>
        <v>-0.12003270059604494</v>
      </c>
      <c r="G9" s="137"/>
      <c r="H9" s="273"/>
      <c r="M9" s="337" t="s">
        <v>269</v>
      </c>
      <c r="N9" s="338"/>
      <c r="O9" s="338"/>
      <c r="P9" s="338"/>
      <c r="Q9" s="338"/>
      <c r="R9" s="338"/>
      <c r="S9" s="338"/>
      <c r="T9" s="338"/>
      <c r="U9" s="338"/>
      <c r="V9" s="338"/>
      <c r="W9" s="338"/>
      <c r="X9" s="338"/>
      <c r="Y9" s="338"/>
      <c r="Z9" s="338"/>
      <c r="AA9" s="338"/>
      <c r="AB9" s="338"/>
      <c r="AC9" s="338"/>
      <c r="AD9" s="338"/>
      <c r="AE9" s="338"/>
      <c r="AF9" s="217"/>
      <c r="AG9" s="217"/>
      <c r="AH9" s="217"/>
      <c r="AI9" s="217"/>
      <c r="AJ9" s="217"/>
      <c r="AK9" s="217"/>
      <c r="AL9" s="217"/>
    </row>
    <row r="10" spans="1:38" ht="11.25" customHeight="1">
      <c r="A10" s="77"/>
      <c r="C10" s="586" t="s">
        <v>130</v>
      </c>
      <c r="D10" s="587">
        <v>25.834999084472599</v>
      </c>
      <c r="E10" s="588">
        <v>36.265999999999998</v>
      </c>
      <c r="F10" s="589">
        <f t="shared" si="0"/>
        <v>-0.28762479775898636</v>
      </c>
      <c r="G10" s="137"/>
      <c r="H10" s="273"/>
      <c r="M10" s="337" t="s">
        <v>270</v>
      </c>
      <c r="N10" s="338"/>
      <c r="O10" s="338"/>
      <c r="P10" s="338"/>
      <c r="Q10" s="338"/>
      <c r="R10" s="338"/>
      <c r="S10" s="338"/>
      <c r="T10" s="338"/>
      <c r="AD10" s="338"/>
      <c r="AE10" s="338"/>
      <c r="AF10" s="217"/>
      <c r="AG10" s="217"/>
      <c r="AH10" s="217"/>
      <c r="AI10" s="217"/>
      <c r="AJ10" s="217"/>
      <c r="AK10" s="217"/>
      <c r="AL10" s="217"/>
    </row>
    <row r="11" spans="1:38" ht="11.25" customHeight="1">
      <c r="A11" s="77"/>
      <c r="C11" s="590" t="s">
        <v>131</v>
      </c>
      <c r="D11" s="591">
        <v>6.1719999313354403</v>
      </c>
      <c r="E11" s="592">
        <v>1.6040000000000001</v>
      </c>
      <c r="F11" s="593">
        <f>IF(E11=0,"",(D11-E11)/E11)</f>
        <v>2.847880256443541</v>
      </c>
      <c r="G11" s="137"/>
      <c r="H11" s="273"/>
      <c r="M11" s="338"/>
      <c r="N11" s="339">
        <v>2016</v>
      </c>
      <c r="O11" s="339">
        <v>2017</v>
      </c>
      <c r="P11" s="339">
        <v>2018</v>
      </c>
      <c r="Q11" s="339">
        <v>2019</v>
      </c>
      <c r="R11" s="338"/>
      <c r="S11" s="338"/>
      <c r="T11" s="338"/>
      <c r="AD11" s="338"/>
      <c r="AE11" s="338"/>
      <c r="AF11" s="217"/>
      <c r="AG11" s="217"/>
      <c r="AH11" s="217"/>
      <c r="AI11" s="217"/>
      <c r="AJ11" s="217"/>
      <c r="AK11" s="217"/>
      <c r="AL11" s="217"/>
    </row>
    <row r="12" spans="1:38" ht="11.25" customHeight="1">
      <c r="A12" s="77"/>
      <c r="C12" s="586" t="s">
        <v>132</v>
      </c>
      <c r="D12" s="587">
        <v>5.13800001144409</v>
      </c>
      <c r="E12" s="588">
        <v>0.106</v>
      </c>
      <c r="F12" s="589">
        <f t="shared" si="0"/>
        <v>47.471698221170662</v>
      </c>
      <c r="G12" s="137"/>
      <c r="H12" s="273"/>
      <c r="M12" s="340">
        <v>1</v>
      </c>
      <c r="N12" s="341">
        <v>138.54</v>
      </c>
      <c r="O12" s="341">
        <v>93.1</v>
      </c>
      <c r="P12" s="341">
        <v>104.46</v>
      </c>
      <c r="Q12" s="606">
        <v>117.2900009</v>
      </c>
      <c r="R12" s="338"/>
      <c r="S12" s="338"/>
      <c r="T12" s="338"/>
      <c r="AD12" s="338"/>
      <c r="AE12" s="338"/>
      <c r="AF12" s="217"/>
      <c r="AG12" s="217"/>
      <c r="AH12" s="217"/>
      <c r="AI12" s="217"/>
      <c r="AJ12" s="217"/>
      <c r="AK12" s="217"/>
      <c r="AL12" s="217"/>
    </row>
    <row r="13" spans="1:38" ht="11.25" customHeight="1">
      <c r="A13" s="77"/>
      <c r="C13" s="590" t="s">
        <v>133</v>
      </c>
      <c r="D13" s="591">
        <v>54.650001525878899</v>
      </c>
      <c r="E13" s="592">
        <v>66.19</v>
      </c>
      <c r="F13" s="593">
        <f t="shared" si="0"/>
        <v>-0.17434655497992294</v>
      </c>
      <c r="G13" s="137"/>
      <c r="H13" s="273"/>
      <c r="M13" s="340">
        <v>2</v>
      </c>
      <c r="N13" s="341">
        <v>140.53</v>
      </c>
      <c r="O13" s="341">
        <v>93.1</v>
      </c>
      <c r="P13" s="341">
        <v>103.4720001</v>
      </c>
      <c r="Q13" s="606">
        <v>116.0110016</v>
      </c>
      <c r="R13" s="338"/>
      <c r="S13" s="338"/>
      <c r="T13" s="338"/>
      <c r="AD13" s="338"/>
      <c r="AE13" s="338"/>
      <c r="AF13" s="217"/>
      <c r="AG13" s="217"/>
      <c r="AH13" s="217"/>
      <c r="AI13" s="217"/>
      <c r="AJ13" s="217"/>
      <c r="AK13" s="217"/>
      <c r="AL13" s="217"/>
    </row>
    <row r="14" spans="1:38" ht="11.25" customHeight="1">
      <c r="A14" s="77"/>
      <c r="C14" s="586" t="s">
        <v>134</v>
      </c>
      <c r="D14" s="587">
        <v>214.93400573730401</v>
      </c>
      <c r="E14" s="588">
        <v>205.916</v>
      </c>
      <c r="F14" s="589">
        <f t="shared" si="0"/>
        <v>4.3794584866178481E-2</v>
      </c>
      <c r="G14" s="137"/>
      <c r="H14" s="273"/>
      <c r="M14" s="340">
        <v>3</v>
      </c>
      <c r="N14" s="341">
        <v>140.53</v>
      </c>
      <c r="O14" s="341">
        <v>98.74</v>
      </c>
      <c r="P14" s="341">
        <v>106.08699799999999</v>
      </c>
      <c r="Q14" s="606">
        <v>117.6</v>
      </c>
      <c r="R14" s="338"/>
      <c r="S14" s="338"/>
      <c r="T14" s="338"/>
      <c r="AD14" s="338"/>
      <c r="AE14" s="338"/>
      <c r="AF14" s="217"/>
      <c r="AG14" s="217"/>
      <c r="AH14" s="217"/>
      <c r="AI14" s="217"/>
      <c r="AJ14" s="217"/>
      <c r="AK14" s="217"/>
      <c r="AL14" s="217"/>
    </row>
    <row r="15" spans="1:38" ht="11.25" customHeight="1">
      <c r="A15" s="77"/>
      <c r="C15" s="590" t="s">
        <v>135</v>
      </c>
      <c r="D15" s="591">
        <v>15.2600002288818</v>
      </c>
      <c r="E15" s="592">
        <v>12.05</v>
      </c>
      <c r="F15" s="593">
        <f t="shared" si="0"/>
        <v>0.26639006048811614</v>
      </c>
      <c r="G15" s="137"/>
      <c r="H15" s="273"/>
      <c r="M15" s="340">
        <v>4</v>
      </c>
      <c r="N15" s="341">
        <v>137.43800000000002</v>
      </c>
      <c r="O15" s="341">
        <v>98.74</v>
      </c>
      <c r="P15" s="341">
        <v>112.7200012</v>
      </c>
      <c r="Q15" s="606">
        <v>128.32000729999999</v>
      </c>
      <c r="R15" s="338"/>
      <c r="S15" s="338"/>
      <c r="T15" s="338"/>
      <c r="AD15" s="338"/>
      <c r="AE15" s="338"/>
      <c r="AF15" s="217"/>
      <c r="AG15" s="217"/>
      <c r="AH15" s="217"/>
      <c r="AI15" s="217"/>
      <c r="AJ15" s="217"/>
      <c r="AK15" s="217"/>
      <c r="AL15" s="217"/>
    </row>
    <row r="16" spans="1:38" ht="11.25" customHeight="1">
      <c r="A16" s="77"/>
      <c r="C16" s="586" t="s">
        <v>136</v>
      </c>
      <c r="D16" s="587">
        <v>131.14500427246</v>
      </c>
      <c r="E16" s="588">
        <v>67.131</v>
      </c>
      <c r="F16" s="589">
        <f t="shared" si="0"/>
        <v>0.95356845976463922</v>
      </c>
      <c r="G16" s="137"/>
      <c r="H16" s="273"/>
      <c r="M16" s="340">
        <v>5</v>
      </c>
      <c r="N16" s="341">
        <v>137.43800000000002</v>
      </c>
      <c r="O16" s="341">
        <v>125.15</v>
      </c>
      <c r="P16" s="341">
        <v>122.3190002</v>
      </c>
      <c r="Q16" s="606">
        <v>139.2400055</v>
      </c>
      <c r="R16" s="338"/>
      <c r="S16" s="338"/>
      <c r="T16" s="338"/>
      <c r="AD16" s="338"/>
      <c r="AE16" s="338"/>
      <c r="AF16" s="217"/>
      <c r="AG16" s="217"/>
      <c r="AH16" s="217"/>
      <c r="AI16" s="217"/>
      <c r="AJ16" s="217"/>
      <c r="AK16" s="217"/>
      <c r="AL16" s="217"/>
    </row>
    <row r="17" spans="1:38" ht="11.25" customHeight="1">
      <c r="A17" s="77"/>
      <c r="C17" s="590" t="s">
        <v>137</v>
      </c>
      <c r="D17" s="591">
        <v>64.709999084472599</v>
      </c>
      <c r="E17" s="592">
        <v>73.930000000000007</v>
      </c>
      <c r="F17" s="593">
        <f t="shared" si="0"/>
        <v>-0.12471257832446106</v>
      </c>
      <c r="G17" s="137"/>
      <c r="H17" s="273"/>
      <c r="M17" s="340">
        <v>6</v>
      </c>
      <c r="N17" s="341">
        <v>137.43800000000002</v>
      </c>
      <c r="O17" s="341">
        <v>125.15</v>
      </c>
      <c r="P17" s="341">
        <v>126.1559982</v>
      </c>
      <c r="Q17" s="606">
        <v>150.94</v>
      </c>
      <c r="R17" s="338"/>
      <c r="S17" s="338"/>
      <c r="T17" s="338"/>
      <c r="AD17" s="338"/>
      <c r="AE17" s="338"/>
      <c r="AF17" s="217"/>
      <c r="AG17" s="217"/>
      <c r="AH17" s="217"/>
      <c r="AI17" s="217"/>
      <c r="AJ17" s="217"/>
      <c r="AK17" s="217"/>
      <c r="AL17" s="217"/>
    </row>
    <row r="18" spans="1:38" ht="11.25" customHeight="1">
      <c r="A18" s="77"/>
      <c r="C18" s="586" t="s">
        <v>138</v>
      </c>
      <c r="D18" s="587">
        <v>3.81200003623962</v>
      </c>
      <c r="E18" s="588">
        <v>3.8</v>
      </c>
      <c r="F18" s="589">
        <f t="shared" si="0"/>
        <v>3.1579042735842646E-3</v>
      </c>
      <c r="G18" s="137"/>
      <c r="H18" s="273"/>
      <c r="M18" s="340">
        <v>7</v>
      </c>
      <c r="N18" s="341">
        <v>151.05499267578099</v>
      </c>
      <c r="O18" s="341">
        <v>142.99</v>
      </c>
      <c r="P18" s="341">
        <v>142.9900055</v>
      </c>
      <c r="Q18" s="606">
        <v>162.4909973</v>
      </c>
      <c r="R18" s="338"/>
      <c r="S18" s="338"/>
      <c r="T18" s="338"/>
      <c r="AD18" s="338"/>
      <c r="AE18" s="338"/>
      <c r="AF18" s="217"/>
      <c r="AG18" s="217"/>
      <c r="AH18" s="217"/>
      <c r="AI18" s="217"/>
      <c r="AJ18" s="217"/>
      <c r="AK18" s="217"/>
      <c r="AL18" s="217"/>
    </row>
    <row r="19" spans="1:38" ht="12.75" customHeight="1">
      <c r="A19" s="77"/>
      <c r="C19" s="590" t="s">
        <v>139</v>
      </c>
      <c r="D19" s="591">
        <v>24.053640365600501</v>
      </c>
      <c r="E19" s="592">
        <v>40.250999999999998</v>
      </c>
      <c r="F19" s="593">
        <f t="shared" si="0"/>
        <v>-0.40240887516830631</v>
      </c>
      <c r="G19" s="137"/>
      <c r="H19" s="273"/>
      <c r="M19" s="340">
        <v>8</v>
      </c>
      <c r="N19" s="341">
        <v>151.05499267578099</v>
      </c>
      <c r="O19" s="341">
        <v>142.99</v>
      </c>
      <c r="P19" s="341">
        <v>134.13600159999999</v>
      </c>
      <c r="Q19" s="606">
        <v>169.03700259999999</v>
      </c>
      <c r="R19" s="338"/>
      <c r="S19" s="338"/>
      <c r="T19" s="338"/>
      <c r="AD19" s="338"/>
      <c r="AE19" s="338"/>
      <c r="AF19" s="217"/>
      <c r="AG19" s="217"/>
      <c r="AH19" s="217"/>
      <c r="AI19" s="217"/>
      <c r="AJ19" s="217"/>
      <c r="AK19" s="217"/>
      <c r="AL19" s="217"/>
    </row>
    <row r="20" spans="1:38" ht="13.5" customHeight="1">
      <c r="A20" s="77"/>
      <c r="C20" s="586" t="s">
        <v>140</v>
      </c>
      <c r="D20" s="587">
        <v>7.2448601722717196</v>
      </c>
      <c r="E20" s="588">
        <v>3.6019999999999999</v>
      </c>
      <c r="F20" s="589">
        <f t="shared" si="0"/>
        <v>1.0113437457722709</v>
      </c>
      <c r="G20" s="137"/>
      <c r="H20" s="273"/>
      <c r="M20" s="340">
        <v>9</v>
      </c>
      <c r="N20" s="341">
        <v>165.00500489999999</v>
      </c>
      <c r="O20" s="341">
        <v>159.53</v>
      </c>
      <c r="P20" s="341">
        <v>153.34500120000001</v>
      </c>
      <c r="Q20" s="606">
        <v>182.64300539999999</v>
      </c>
      <c r="R20" s="338"/>
      <c r="S20" s="338"/>
      <c r="T20" s="338"/>
      <c r="AD20" s="338"/>
      <c r="AE20" s="338"/>
      <c r="AF20" s="217"/>
      <c r="AG20" s="217"/>
      <c r="AH20" s="217"/>
      <c r="AI20" s="217"/>
      <c r="AJ20" s="217"/>
      <c r="AK20" s="217"/>
      <c r="AL20" s="217"/>
    </row>
    <row r="21" spans="1:38" ht="11.25" customHeight="1">
      <c r="A21" s="77"/>
      <c r="C21" s="590" t="s">
        <v>141</v>
      </c>
      <c r="D21" s="591">
        <v>2.3910000324249201</v>
      </c>
      <c r="E21" s="592">
        <v>3.581</v>
      </c>
      <c r="F21" s="593">
        <f t="shared" ref="F21:F27" si="1">IF(E21=0,"",(D21-E21)/E21)</f>
        <v>-0.33230940172440099</v>
      </c>
      <c r="M21" s="340">
        <v>10</v>
      </c>
      <c r="N21" s="341">
        <v>165.00500489999999</v>
      </c>
      <c r="O21" s="341">
        <v>159.53</v>
      </c>
      <c r="P21" s="341">
        <v>153.0590057</v>
      </c>
      <c r="Q21" s="606">
        <v>190.99600219999999</v>
      </c>
      <c r="R21" s="338"/>
      <c r="S21" s="338"/>
      <c r="T21" s="338"/>
      <c r="AD21" s="338"/>
      <c r="AE21" s="338"/>
      <c r="AF21" s="217"/>
      <c r="AG21" s="217"/>
      <c r="AH21" s="217"/>
      <c r="AI21" s="217"/>
      <c r="AJ21" s="217"/>
      <c r="AK21" s="217"/>
      <c r="AL21" s="217"/>
    </row>
    <row r="22" spans="1:38" ht="11.25" customHeight="1">
      <c r="A22" s="77"/>
      <c r="C22" s="586" t="s">
        <v>142</v>
      </c>
      <c r="D22" s="587">
        <v>7.2160000801086399</v>
      </c>
      <c r="E22" s="588">
        <v>5.298</v>
      </c>
      <c r="F22" s="589">
        <f t="shared" si="1"/>
        <v>0.3620234201790562</v>
      </c>
      <c r="G22" s="137"/>
      <c r="H22" s="273"/>
      <c r="M22" s="340">
        <v>11</v>
      </c>
      <c r="N22" s="341">
        <v>186.45199584960901</v>
      </c>
      <c r="O22" s="341">
        <v>184.94</v>
      </c>
      <c r="P22" s="341">
        <v>162.93200680000001</v>
      </c>
      <c r="Q22" s="382">
        <v>200.89500427246</v>
      </c>
      <c r="AF22" s="274"/>
      <c r="AG22" s="274"/>
      <c r="AH22" s="274"/>
      <c r="AI22" s="274"/>
      <c r="AJ22" s="274"/>
      <c r="AK22" s="274"/>
      <c r="AL22" s="274"/>
    </row>
    <row r="23" spans="1:38" ht="11.25" customHeight="1">
      <c r="A23" s="77"/>
      <c r="C23" s="590" t="s">
        <v>486</v>
      </c>
      <c r="D23" s="591">
        <v>0.49700000882148698</v>
      </c>
      <c r="E23" s="592">
        <v>0.53400000000000003</v>
      </c>
      <c r="F23" s="593">
        <f t="shared" si="1"/>
        <v>-6.9288372993470126E-2</v>
      </c>
      <c r="G23" s="137"/>
      <c r="H23" s="273"/>
      <c r="M23" s="340">
        <v>12</v>
      </c>
      <c r="N23" s="341">
        <v>186.45199584960901</v>
      </c>
      <c r="O23" s="341">
        <v>184.94</v>
      </c>
      <c r="P23" s="341">
        <v>172.76199339999999</v>
      </c>
      <c r="Q23" s="382">
        <v>209.09500120000001</v>
      </c>
      <c r="AF23" s="274"/>
      <c r="AG23" s="274"/>
      <c r="AH23" s="274"/>
      <c r="AI23" s="274"/>
      <c r="AJ23" s="274"/>
      <c r="AK23" s="274"/>
      <c r="AL23" s="274"/>
    </row>
    <row r="24" spans="1:38" ht="11.25" customHeight="1">
      <c r="A24" s="77"/>
      <c r="C24" s="586" t="s">
        <v>143</v>
      </c>
      <c r="D24" s="588">
        <v>146.45399475097599</v>
      </c>
      <c r="E24" s="588">
        <v>117.40300000000001</v>
      </c>
      <c r="F24" s="589">
        <f t="shared" si="1"/>
        <v>0.24744678373615656</v>
      </c>
      <c r="G24" s="137"/>
      <c r="H24" s="273"/>
      <c r="M24" s="340">
        <v>13</v>
      </c>
      <c r="N24" s="341">
        <v>195.64999389648401</v>
      </c>
      <c r="O24" s="341">
        <v>203.73</v>
      </c>
      <c r="P24" s="341">
        <v>182.13900760000001</v>
      </c>
      <c r="Q24" s="382">
        <v>215.7310028</v>
      </c>
      <c r="AF24" s="274"/>
      <c r="AG24" s="274"/>
      <c r="AH24" s="274"/>
      <c r="AI24" s="274"/>
      <c r="AJ24" s="274"/>
      <c r="AK24" s="274"/>
      <c r="AL24" s="274"/>
    </row>
    <row r="25" spans="1:38" ht="11.25" customHeight="1">
      <c r="A25" s="77"/>
      <c r="C25" s="590" t="s">
        <v>144</v>
      </c>
      <c r="D25" s="592">
        <v>18.093999862670898</v>
      </c>
      <c r="E25" s="592">
        <v>10.355</v>
      </c>
      <c r="F25" s="593">
        <f t="shared" si="1"/>
        <v>0.74736840779052605</v>
      </c>
      <c r="G25" s="137"/>
      <c r="H25" s="273"/>
      <c r="M25" s="340">
        <v>14</v>
      </c>
      <c r="N25" s="341">
        <v>195.64999389648401</v>
      </c>
      <c r="O25" s="341">
        <v>203.73</v>
      </c>
      <c r="P25" s="341">
        <v>191.4750061</v>
      </c>
      <c r="Q25" s="382">
        <v>219.1710052</v>
      </c>
      <c r="AF25" s="274"/>
      <c r="AG25" s="274"/>
      <c r="AH25" s="274"/>
      <c r="AI25" s="274"/>
      <c r="AJ25" s="274"/>
      <c r="AK25" s="274"/>
      <c r="AL25" s="274"/>
    </row>
    <row r="26" spans="1:38" ht="11.25" customHeight="1">
      <c r="A26" s="77"/>
      <c r="C26" s="586" t="s">
        <v>145</v>
      </c>
      <c r="D26" s="588">
        <v>28.713999999999999</v>
      </c>
      <c r="E26" s="588">
        <v>7.7779999999999996</v>
      </c>
      <c r="F26" s="589">
        <f t="shared" si="1"/>
        <v>2.6916945230136284</v>
      </c>
      <c r="G26" s="137"/>
      <c r="H26" s="137"/>
      <c r="M26" s="340">
        <v>15</v>
      </c>
      <c r="N26" s="341">
        <v>201.93600463867099</v>
      </c>
      <c r="O26" s="341">
        <v>203.73</v>
      </c>
      <c r="P26" s="341">
        <v>198.43899540000001</v>
      </c>
      <c r="Q26" s="382">
        <v>220.17399599999999</v>
      </c>
      <c r="AF26" s="274"/>
      <c r="AG26" s="274"/>
      <c r="AH26" s="274"/>
      <c r="AI26" s="274"/>
      <c r="AJ26" s="274"/>
      <c r="AK26" s="274"/>
      <c r="AL26" s="274"/>
    </row>
    <row r="27" spans="1:38" ht="11.25" customHeight="1">
      <c r="A27" s="77"/>
      <c r="C27" s="590" t="s">
        <v>146</v>
      </c>
      <c r="D27" s="591">
        <v>233.53700256347599</v>
      </c>
      <c r="E27" s="592">
        <v>151.84100000000001</v>
      </c>
      <c r="F27" s="593">
        <f t="shared" si="1"/>
        <v>0.53803651558851684</v>
      </c>
      <c r="G27" s="137"/>
      <c r="H27" s="137"/>
      <c r="M27" s="340">
        <v>16</v>
      </c>
      <c r="N27" s="341">
        <v>201.93600463867099</v>
      </c>
      <c r="O27" s="341">
        <v>222.8</v>
      </c>
      <c r="P27" s="341">
        <v>201.52999879999999</v>
      </c>
      <c r="Q27" s="382">
        <v>220.3150024</v>
      </c>
      <c r="AF27" s="274"/>
      <c r="AG27" s="274"/>
      <c r="AH27" s="274"/>
      <c r="AI27" s="274"/>
      <c r="AJ27" s="274"/>
      <c r="AK27" s="274"/>
      <c r="AL27" s="274"/>
    </row>
    <row r="28" spans="1:38" ht="26.25" customHeight="1">
      <c r="A28" s="77"/>
      <c r="C28" s="921" t="str">
        <f>"Cuadro N°9: Volumen útil de los principales embalses y lagunas del SEIN al término del periodo mensual ("&amp;'1. Resumen'!Q7&amp;" de "&amp;'1. Resumen'!Q4&amp;") "</f>
        <v xml:space="preserve">Cuadro N°9: Volumen útil de los principales embalses y lagunas del SEIN al término del periodo mensual (31 de diciembre) </v>
      </c>
      <c r="D28" s="921"/>
      <c r="E28" s="921"/>
      <c r="F28" s="921"/>
      <c r="G28" s="137"/>
      <c r="H28" s="137"/>
      <c r="M28" s="340">
        <v>17</v>
      </c>
      <c r="N28" s="341">
        <v>201.93600463867099</v>
      </c>
      <c r="O28" s="341">
        <v>222.8</v>
      </c>
      <c r="P28" s="341">
        <v>206.03700259999999</v>
      </c>
      <c r="Q28" s="382">
        <v>220.56</v>
      </c>
      <c r="AF28" s="274"/>
      <c r="AG28" s="274"/>
      <c r="AH28" s="274"/>
      <c r="AI28" s="274"/>
      <c r="AJ28" s="274"/>
      <c r="AK28" s="274"/>
      <c r="AL28" s="274"/>
    </row>
    <row r="29" spans="1:38" ht="12" customHeight="1">
      <c r="A29" s="75"/>
      <c r="G29" s="137"/>
      <c r="H29" s="137"/>
      <c r="I29" s="167"/>
      <c r="J29" s="342"/>
      <c r="M29" s="340">
        <v>18</v>
      </c>
      <c r="N29" s="341">
        <v>207.58900451660099</v>
      </c>
      <c r="O29" s="341">
        <v>225.58</v>
      </c>
      <c r="P29" s="341">
        <v>213.67399599999999</v>
      </c>
      <c r="Q29" s="789">
        <v>224.15199279999999</v>
      </c>
      <c r="AF29" s="274"/>
      <c r="AG29" s="274"/>
      <c r="AH29" s="274"/>
      <c r="AI29" s="274"/>
      <c r="AJ29" s="274"/>
      <c r="AK29" s="274"/>
      <c r="AL29" s="274"/>
    </row>
    <row r="30" spans="1:38" ht="11.25" customHeight="1">
      <c r="A30" s="75"/>
      <c r="B30" s="173"/>
      <c r="C30" s="173"/>
      <c r="D30" s="173"/>
      <c r="E30" s="173"/>
      <c r="F30" s="171"/>
      <c r="G30" s="137"/>
      <c r="H30" s="137"/>
      <c r="M30" s="340">
        <v>19</v>
      </c>
      <c r="N30" s="341">
        <v>207.58900451660099</v>
      </c>
      <c r="O30" s="341">
        <v>225.58</v>
      </c>
      <c r="P30" s="341">
        <v>216.75700380000001</v>
      </c>
      <c r="Q30" s="789">
        <v>224.378006</v>
      </c>
      <c r="AF30" s="274"/>
      <c r="AG30" s="274"/>
      <c r="AH30" s="274"/>
      <c r="AI30" s="274"/>
      <c r="AJ30" s="274"/>
      <c r="AK30" s="274"/>
      <c r="AL30" s="274"/>
    </row>
    <row r="31" spans="1:38" ht="11.25" customHeight="1">
      <c r="A31" s="75"/>
      <c r="B31" s="173"/>
      <c r="C31" s="173"/>
      <c r="D31" s="173"/>
      <c r="E31" s="173"/>
      <c r="F31" s="171"/>
      <c r="G31" s="171"/>
      <c r="H31" s="171"/>
      <c r="I31" s="167"/>
      <c r="J31" s="342"/>
      <c r="M31" s="340">
        <v>20</v>
      </c>
      <c r="N31" s="341">
        <v>205.7</v>
      </c>
      <c r="O31" s="341">
        <v>226.61</v>
      </c>
      <c r="P31" s="341">
        <v>217.29400630000001</v>
      </c>
      <c r="Q31" s="789">
        <v>224.60401920000001</v>
      </c>
      <c r="AF31" s="274"/>
      <c r="AG31" s="274"/>
      <c r="AH31" s="274"/>
      <c r="AI31" s="274"/>
      <c r="AJ31" s="274"/>
      <c r="AK31" s="274"/>
      <c r="AL31" s="274"/>
    </row>
    <row r="32" spans="1:38" ht="13.5" customHeight="1">
      <c r="A32" s="920" t="s">
        <v>541</v>
      </c>
      <c r="B32" s="920"/>
      <c r="C32" s="920"/>
      <c r="D32" s="920"/>
      <c r="E32" s="920"/>
      <c r="F32" s="920"/>
      <c r="G32" s="920"/>
      <c r="H32" s="920"/>
      <c r="I32" s="56"/>
      <c r="J32" s="342"/>
      <c r="M32" s="340">
        <v>21</v>
      </c>
      <c r="N32" s="341">
        <v>205.7</v>
      </c>
      <c r="O32" s="341">
        <v>226.61</v>
      </c>
      <c r="P32" s="341">
        <v>218.3190002</v>
      </c>
      <c r="Q32" s="789">
        <v>223.4909973</v>
      </c>
      <c r="AF32" s="274"/>
      <c r="AG32" s="274"/>
      <c r="AH32" s="274"/>
      <c r="AI32" s="274"/>
      <c r="AJ32" s="274"/>
      <c r="AK32" s="274"/>
      <c r="AL32" s="274"/>
    </row>
    <row r="33" spans="1:38" ht="11.25" customHeight="1">
      <c r="A33" s="75"/>
      <c r="B33" s="82"/>
      <c r="C33" s="82"/>
      <c r="D33" s="82"/>
      <c r="E33" s="82"/>
      <c r="F33" s="82"/>
      <c r="G33" s="82"/>
      <c r="H33" s="82"/>
      <c r="I33" s="56"/>
      <c r="J33" s="342"/>
      <c r="M33" s="340">
        <v>22</v>
      </c>
      <c r="N33" s="341">
        <v>204.65</v>
      </c>
      <c r="O33" s="341">
        <v>227.42</v>
      </c>
      <c r="P33" s="341">
        <v>218.79899599999999</v>
      </c>
      <c r="Q33" s="789">
        <v>222.62600710000001</v>
      </c>
      <c r="AF33" s="274"/>
      <c r="AG33" s="274"/>
      <c r="AH33" s="274"/>
      <c r="AI33" s="274"/>
      <c r="AJ33" s="274"/>
      <c r="AK33" s="274"/>
      <c r="AL33" s="274"/>
    </row>
    <row r="34" spans="1:38" ht="11.25" customHeight="1">
      <c r="A34" s="75"/>
      <c r="B34" s="82"/>
      <c r="C34" s="82"/>
      <c r="D34" s="82"/>
      <c r="E34" s="82"/>
      <c r="F34" s="82"/>
      <c r="G34" s="82"/>
      <c r="H34" s="82"/>
      <c r="I34" s="56"/>
      <c r="J34" s="342"/>
      <c r="M34" s="340">
        <v>23</v>
      </c>
      <c r="N34" s="341">
        <v>204.65</v>
      </c>
      <c r="O34" s="341">
        <v>227.42</v>
      </c>
      <c r="P34" s="341">
        <v>217.8880005</v>
      </c>
      <c r="Q34" s="789">
        <v>221.62399289999999</v>
      </c>
      <c r="AF34" s="274"/>
      <c r="AG34" s="274"/>
      <c r="AH34" s="274"/>
      <c r="AI34" s="274"/>
      <c r="AJ34" s="274"/>
      <c r="AK34" s="274"/>
      <c r="AL34" s="274"/>
    </row>
    <row r="35" spans="1:38" ht="11.25" customHeight="1">
      <c r="A35" s="75"/>
      <c r="B35" s="82"/>
      <c r="C35" s="82"/>
      <c r="D35" s="82"/>
      <c r="E35" s="82"/>
      <c r="F35" s="82"/>
      <c r="G35" s="82"/>
      <c r="H35" s="82"/>
      <c r="I35" s="168"/>
      <c r="J35" s="342"/>
      <c r="M35" s="340">
        <v>24</v>
      </c>
      <c r="N35" s="341">
        <v>200.38</v>
      </c>
      <c r="O35" s="341">
        <v>227.45</v>
      </c>
      <c r="P35" s="341">
        <v>216.04899599999999</v>
      </c>
      <c r="Q35" s="789">
        <v>218.3840027</v>
      </c>
      <c r="AF35" s="274"/>
      <c r="AG35" s="274"/>
      <c r="AH35" s="274"/>
      <c r="AI35" s="274"/>
      <c r="AJ35" s="274"/>
      <c r="AK35" s="274"/>
      <c r="AL35" s="274"/>
    </row>
    <row r="36" spans="1:38" ht="11.25" customHeight="1">
      <c r="A36" s="75"/>
      <c r="B36" s="82"/>
      <c r="C36" s="82"/>
      <c r="D36" s="82"/>
      <c r="E36" s="82"/>
      <c r="F36" s="82"/>
      <c r="G36" s="82"/>
      <c r="H36" s="82"/>
      <c r="I36" s="56"/>
      <c r="J36" s="342"/>
      <c r="M36" s="340">
        <v>25</v>
      </c>
      <c r="N36" s="341">
        <v>200.38</v>
      </c>
      <c r="O36" s="341">
        <v>227.45</v>
      </c>
      <c r="P36" s="341">
        <v>212.24600219999999</v>
      </c>
      <c r="Q36" s="789">
        <v>215.08099369999999</v>
      </c>
      <c r="AF36" s="274"/>
      <c r="AG36" s="274"/>
      <c r="AH36" s="274"/>
      <c r="AI36" s="274"/>
      <c r="AJ36" s="274"/>
      <c r="AK36" s="274"/>
      <c r="AL36" s="274"/>
    </row>
    <row r="37" spans="1:38" ht="11.25" customHeight="1">
      <c r="A37" s="75"/>
      <c r="B37" s="82"/>
      <c r="C37" s="82"/>
      <c r="D37" s="82"/>
      <c r="E37" s="82"/>
      <c r="F37" s="82"/>
      <c r="G37" s="82"/>
      <c r="H37" s="82"/>
      <c r="I37" s="56"/>
      <c r="J37" s="343"/>
      <c r="M37" s="340">
        <v>26</v>
      </c>
      <c r="N37" s="341">
        <v>193.55099487304599</v>
      </c>
      <c r="O37" s="341">
        <v>225.56</v>
      </c>
      <c r="P37" s="341">
        <v>210.22099299999999</v>
      </c>
      <c r="Q37" s="789">
        <v>210.41900630000001</v>
      </c>
      <c r="AF37" s="274"/>
      <c r="AG37" s="274"/>
      <c r="AH37" s="274"/>
      <c r="AI37" s="274"/>
      <c r="AJ37" s="274"/>
      <c r="AK37" s="274"/>
      <c r="AL37" s="274"/>
    </row>
    <row r="38" spans="1:38" ht="11.25" customHeight="1">
      <c r="A38" s="75"/>
      <c r="B38" s="82"/>
      <c r="C38" s="82"/>
      <c r="D38" s="82"/>
      <c r="E38" s="82"/>
      <c r="F38" s="82"/>
      <c r="G38" s="82"/>
      <c r="H38" s="82"/>
      <c r="I38" s="56"/>
      <c r="J38" s="343"/>
      <c r="M38" s="340">
        <v>27</v>
      </c>
      <c r="N38" s="341">
        <v>193.55099487304599</v>
      </c>
      <c r="O38" s="341">
        <v>225.56</v>
      </c>
      <c r="P38" s="341">
        <v>209.85200499999999</v>
      </c>
      <c r="Q38" s="789">
        <v>204.23</v>
      </c>
      <c r="AF38" s="274"/>
      <c r="AG38" s="274"/>
      <c r="AH38" s="274"/>
      <c r="AI38" s="274"/>
      <c r="AJ38" s="274"/>
      <c r="AK38" s="274"/>
      <c r="AL38" s="274"/>
    </row>
    <row r="39" spans="1:38" ht="11.25" customHeight="1">
      <c r="A39" s="75"/>
      <c r="B39" s="82"/>
      <c r="C39" s="82"/>
      <c r="D39" s="82"/>
      <c r="E39" s="82"/>
      <c r="F39" s="82"/>
      <c r="G39" s="82"/>
      <c r="H39" s="82"/>
      <c r="I39" s="56"/>
      <c r="J39" s="344"/>
      <c r="M39" s="340">
        <v>28</v>
      </c>
      <c r="N39" s="341">
        <v>186.01199339999999</v>
      </c>
      <c r="O39" s="345">
        <v>225.56</v>
      </c>
      <c r="P39" s="345">
        <v>203.92900090000001</v>
      </c>
      <c r="Q39" s="789">
        <v>201.1309967</v>
      </c>
      <c r="AF39" s="274"/>
      <c r="AG39" s="274"/>
      <c r="AH39" s="274"/>
      <c r="AI39" s="274"/>
      <c r="AJ39" s="274"/>
      <c r="AK39" s="274"/>
      <c r="AL39" s="274"/>
    </row>
    <row r="40" spans="1:38" ht="11.25" customHeight="1">
      <c r="A40" s="75"/>
      <c r="B40" s="82"/>
      <c r="C40" s="82"/>
      <c r="D40" s="82"/>
      <c r="E40" s="82"/>
      <c r="F40" s="82"/>
      <c r="G40" s="82"/>
      <c r="H40" s="82"/>
      <c r="I40" s="56"/>
      <c r="J40" s="344"/>
      <c r="M40" s="340">
        <v>29</v>
      </c>
      <c r="N40" s="341">
        <v>186.01199339999999</v>
      </c>
      <c r="O40" s="341">
        <v>222.04</v>
      </c>
      <c r="P40" s="341">
        <v>200.56300350000001</v>
      </c>
      <c r="Q40" s="789">
        <v>196.16000366210901</v>
      </c>
      <c r="AF40" s="274"/>
      <c r="AG40" s="274"/>
      <c r="AH40" s="274"/>
      <c r="AI40" s="274"/>
      <c r="AJ40" s="274"/>
      <c r="AK40" s="274"/>
      <c r="AL40" s="274"/>
    </row>
    <row r="41" spans="1:38" ht="11.25" customHeight="1">
      <c r="A41" s="75"/>
      <c r="B41" s="82"/>
      <c r="C41" s="82"/>
      <c r="D41" s="82"/>
      <c r="E41" s="82"/>
      <c r="F41" s="82"/>
      <c r="G41" s="82"/>
      <c r="H41" s="82"/>
      <c r="I41" s="56"/>
      <c r="J41" s="344"/>
      <c r="M41" s="340">
        <v>30</v>
      </c>
      <c r="N41" s="341">
        <v>186.01199339999999</v>
      </c>
      <c r="O41" s="341">
        <v>222.04</v>
      </c>
      <c r="P41" s="341">
        <v>194.94900509999999</v>
      </c>
      <c r="Q41" s="789">
        <v>193.86</v>
      </c>
      <c r="AF41" s="274"/>
      <c r="AG41" s="274"/>
      <c r="AH41" s="274"/>
      <c r="AI41" s="274"/>
      <c r="AJ41" s="274"/>
      <c r="AK41" s="274"/>
      <c r="AL41" s="274"/>
    </row>
    <row r="42" spans="1:38" ht="11.25" customHeight="1">
      <c r="A42" s="75"/>
      <c r="B42" s="82"/>
      <c r="C42" s="82"/>
      <c r="D42" s="82"/>
      <c r="E42" s="82"/>
      <c r="F42" s="82"/>
      <c r="G42" s="82"/>
      <c r="H42" s="82"/>
      <c r="I42" s="168"/>
      <c r="J42" s="343"/>
      <c r="M42" s="340">
        <v>31</v>
      </c>
      <c r="N42" s="341">
        <v>178.58200070000001</v>
      </c>
      <c r="O42" s="341">
        <v>213.13</v>
      </c>
      <c r="P42" s="341">
        <v>188.386</v>
      </c>
      <c r="Q42" s="789">
        <v>186.24800110000001</v>
      </c>
      <c r="AF42" s="274"/>
      <c r="AG42" s="274"/>
      <c r="AH42" s="274"/>
      <c r="AI42" s="274"/>
      <c r="AJ42" s="274"/>
      <c r="AK42" s="274"/>
      <c r="AL42" s="274"/>
    </row>
    <row r="43" spans="1:38" ht="11.25" customHeight="1">
      <c r="A43" s="75"/>
      <c r="B43" s="82"/>
      <c r="C43" s="82"/>
      <c r="D43" s="82"/>
      <c r="E43" s="82"/>
      <c r="F43" s="82"/>
      <c r="G43" s="82"/>
      <c r="H43" s="82"/>
      <c r="I43" s="56"/>
      <c r="J43" s="343"/>
      <c r="M43" s="340">
        <v>32</v>
      </c>
      <c r="N43" s="341">
        <v>178.58200070000001</v>
      </c>
      <c r="O43" s="341">
        <v>213.13</v>
      </c>
      <c r="P43" s="341">
        <v>184.72900390000001</v>
      </c>
      <c r="Q43" s="326">
        <v>182.40899659999999</v>
      </c>
      <c r="AF43" s="274"/>
      <c r="AG43" s="274"/>
      <c r="AH43" s="274"/>
      <c r="AI43" s="274"/>
      <c r="AJ43" s="274"/>
      <c r="AK43" s="274"/>
      <c r="AL43" s="274"/>
    </row>
    <row r="44" spans="1:38" ht="11.25" customHeight="1">
      <c r="A44" s="75"/>
      <c r="B44" s="82"/>
      <c r="C44" s="82"/>
      <c r="D44" s="82"/>
      <c r="E44" s="82"/>
      <c r="F44" s="82"/>
      <c r="G44" s="82"/>
      <c r="H44" s="82"/>
      <c r="I44" s="56"/>
      <c r="J44" s="343"/>
      <c r="M44" s="340">
        <v>33</v>
      </c>
      <c r="N44" s="341">
        <v>169.01100159999999</v>
      </c>
      <c r="O44" s="341">
        <v>205.97</v>
      </c>
      <c r="P44" s="341">
        <v>178.8809967</v>
      </c>
      <c r="Q44" s="326">
        <v>178.6940002</v>
      </c>
      <c r="AF44" s="274"/>
      <c r="AG44" s="274"/>
      <c r="AH44" s="274"/>
      <c r="AI44" s="274"/>
      <c r="AJ44" s="274"/>
      <c r="AK44" s="274"/>
      <c r="AL44" s="274"/>
    </row>
    <row r="45" spans="1:38" ht="11.25" customHeight="1">
      <c r="A45" s="75"/>
      <c r="B45" s="82"/>
      <c r="C45" s="82"/>
      <c r="D45" s="82"/>
      <c r="E45" s="82"/>
      <c r="F45" s="82"/>
      <c r="G45" s="82"/>
      <c r="H45" s="82"/>
      <c r="I45" s="59"/>
      <c r="J45" s="346"/>
      <c r="M45" s="340">
        <v>34</v>
      </c>
      <c r="N45" s="341">
        <v>169.01100159999999</v>
      </c>
      <c r="O45" s="341">
        <v>199.49</v>
      </c>
      <c r="P45" s="341">
        <v>176.98599239999999</v>
      </c>
      <c r="Q45" s="326">
        <v>173.61300660000001</v>
      </c>
      <c r="AF45" s="274"/>
      <c r="AG45" s="274"/>
      <c r="AH45" s="274"/>
      <c r="AI45" s="274"/>
      <c r="AJ45" s="274"/>
      <c r="AK45" s="274"/>
      <c r="AL45" s="274"/>
    </row>
    <row r="46" spans="1:38" ht="11.25" customHeight="1">
      <c r="A46" s="75"/>
      <c r="B46" s="82"/>
      <c r="C46" s="82"/>
      <c r="D46" s="82"/>
      <c r="E46" s="82"/>
      <c r="F46" s="82"/>
      <c r="G46" s="82"/>
      <c r="H46" s="82"/>
      <c r="I46" s="59"/>
      <c r="J46" s="346"/>
      <c r="M46" s="340">
        <v>35</v>
      </c>
      <c r="N46" s="347">
        <v>158.09199523925699</v>
      </c>
      <c r="O46" s="341">
        <v>193.4</v>
      </c>
      <c r="P46" s="341">
        <v>173.36999510000001</v>
      </c>
      <c r="Q46" s="326">
        <v>170.0189972</v>
      </c>
      <c r="AF46" s="274"/>
      <c r="AG46" s="274"/>
      <c r="AH46" s="274"/>
      <c r="AI46" s="274"/>
      <c r="AJ46" s="274"/>
      <c r="AK46" s="274"/>
      <c r="AL46" s="274"/>
    </row>
    <row r="47" spans="1:38" ht="11.25" customHeight="1">
      <c r="A47" s="75"/>
      <c r="B47" s="82"/>
      <c r="C47" s="82"/>
      <c r="D47" s="82"/>
      <c r="E47" s="82"/>
      <c r="F47" s="82"/>
      <c r="G47" s="82"/>
      <c r="H47" s="82"/>
      <c r="I47" s="59"/>
      <c r="J47" s="346"/>
      <c r="M47" s="340">
        <v>36</v>
      </c>
      <c r="N47" s="347">
        <v>158.09199523925699</v>
      </c>
      <c r="O47" s="341">
        <v>187.93</v>
      </c>
      <c r="P47" s="341">
        <v>167.63</v>
      </c>
      <c r="Q47" s="326">
        <v>166.0690002</v>
      </c>
      <c r="AF47" s="274"/>
      <c r="AG47" s="274"/>
      <c r="AH47" s="274"/>
      <c r="AI47" s="274"/>
      <c r="AJ47" s="274"/>
      <c r="AK47" s="274"/>
      <c r="AL47" s="274"/>
    </row>
    <row r="48" spans="1:38" ht="11.25" customHeight="1">
      <c r="A48" s="75"/>
      <c r="B48" s="82"/>
      <c r="C48" s="82"/>
      <c r="D48" s="82"/>
      <c r="E48" s="82"/>
      <c r="F48" s="82"/>
      <c r="G48" s="82"/>
      <c r="H48" s="82"/>
      <c r="I48" s="59"/>
      <c r="J48" s="346"/>
      <c r="M48" s="340">
        <v>37</v>
      </c>
      <c r="N48" s="341">
        <v>147.0650024</v>
      </c>
      <c r="O48" s="341">
        <v>182.85</v>
      </c>
      <c r="P48" s="341">
        <v>162.30700680000001</v>
      </c>
      <c r="Q48" s="326">
        <v>159.17399599999999</v>
      </c>
      <c r="AF48" s="274"/>
      <c r="AG48" s="274"/>
      <c r="AH48" s="274"/>
      <c r="AI48" s="274"/>
      <c r="AJ48" s="274"/>
      <c r="AK48" s="274"/>
      <c r="AL48" s="274"/>
    </row>
    <row r="49" spans="1:38" ht="11.25" customHeight="1">
      <c r="A49" s="75"/>
      <c r="B49" s="82"/>
      <c r="C49" s="82"/>
      <c r="D49" s="82"/>
      <c r="E49" s="82"/>
      <c r="F49" s="82"/>
      <c r="G49" s="82"/>
      <c r="H49" s="82"/>
      <c r="I49" s="59"/>
      <c r="J49" s="346"/>
      <c r="M49" s="340">
        <v>38</v>
      </c>
      <c r="N49" s="341">
        <v>147.0650024</v>
      </c>
      <c r="O49" s="341">
        <v>179.77</v>
      </c>
      <c r="P49" s="341">
        <v>159.02699279999999</v>
      </c>
      <c r="Q49" s="326">
        <v>157.84</v>
      </c>
      <c r="AF49" s="274"/>
      <c r="AG49" s="274"/>
      <c r="AH49" s="274"/>
      <c r="AI49" s="274"/>
      <c r="AJ49" s="274"/>
      <c r="AK49" s="274"/>
      <c r="AL49" s="274"/>
    </row>
    <row r="50" spans="1:38" ht="12.75">
      <c r="A50" s="75"/>
      <c r="B50" s="82"/>
      <c r="C50" s="82"/>
      <c r="D50" s="82"/>
      <c r="E50" s="82"/>
      <c r="F50" s="82"/>
      <c r="G50" s="82"/>
      <c r="H50" s="82"/>
      <c r="I50" s="59"/>
      <c r="J50" s="346"/>
      <c r="M50" s="340">
        <v>39</v>
      </c>
      <c r="N50" s="341">
        <v>139.11000060000001</v>
      </c>
      <c r="O50" s="341">
        <v>173.62</v>
      </c>
      <c r="P50" s="341">
        <v>153.61700440000001</v>
      </c>
      <c r="Q50" s="326">
        <v>156.28199768066401</v>
      </c>
      <c r="AF50" s="274"/>
      <c r="AG50" s="274"/>
      <c r="AH50" s="274"/>
      <c r="AI50" s="274"/>
      <c r="AJ50" s="274"/>
      <c r="AK50" s="274"/>
      <c r="AL50" s="274"/>
    </row>
    <row r="51" spans="1:38" ht="10.5" customHeight="1">
      <c r="A51" s="75"/>
      <c r="B51" s="82"/>
      <c r="C51" s="82"/>
      <c r="D51" s="82"/>
      <c r="E51" s="82"/>
      <c r="F51" s="82"/>
      <c r="G51" s="82"/>
      <c r="H51" s="82"/>
      <c r="I51" s="59"/>
      <c r="J51" s="346"/>
      <c r="M51" s="340">
        <v>40</v>
      </c>
      <c r="N51" s="341">
        <v>139.11000060000001</v>
      </c>
      <c r="O51" s="341">
        <v>163</v>
      </c>
      <c r="P51" s="341">
        <v>151.72999569999999</v>
      </c>
      <c r="Q51" s="326">
        <v>148.3529968</v>
      </c>
      <c r="AF51" s="274"/>
      <c r="AG51" s="274"/>
      <c r="AH51" s="274"/>
      <c r="AI51" s="274"/>
      <c r="AJ51" s="274"/>
      <c r="AK51" s="274"/>
      <c r="AL51" s="274"/>
    </row>
    <row r="52" spans="1:38" ht="12.75">
      <c r="A52" s="75"/>
      <c r="B52" s="82"/>
      <c r="C52" s="82"/>
      <c r="D52" s="82"/>
      <c r="E52" s="82"/>
      <c r="F52" s="82"/>
      <c r="G52" s="82"/>
      <c r="H52" s="82"/>
      <c r="I52" s="59"/>
      <c r="J52" s="346"/>
      <c r="M52" s="340">
        <v>41</v>
      </c>
      <c r="N52" s="341">
        <v>139.11000060000001</v>
      </c>
      <c r="O52" s="341">
        <v>156.5</v>
      </c>
      <c r="P52" s="341">
        <v>147.996002197265</v>
      </c>
      <c r="Q52" s="326">
        <v>151.04400630000001</v>
      </c>
      <c r="AF52" s="274"/>
      <c r="AG52" s="274"/>
      <c r="AH52" s="274"/>
      <c r="AI52" s="274"/>
      <c r="AJ52" s="274"/>
      <c r="AK52" s="274"/>
      <c r="AL52" s="274"/>
    </row>
    <row r="53" spans="1:38" ht="12.75">
      <c r="A53" s="75"/>
      <c r="B53" s="82"/>
      <c r="C53" s="82"/>
      <c r="D53" s="82"/>
      <c r="E53" s="82"/>
      <c r="F53" s="82"/>
      <c r="G53" s="82"/>
      <c r="H53" s="82"/>
      <c r="I53" s="59"/>
      <c r="J53" s="346"/>
      <c r="M53" s="340">
        <v>42</v>
      </c>
      <c r="N53" s="341">
        <v>128.34500120000001</v>
      </c>
      <c r="O53" s="341">
        <v>152.78</v>
      </c>
      <c r="P53" s="341">
        <v>144.53999328613199</v>
      </c>
      <c r="Q53" s="326">
        <v>146.53</v>
      </c>
      <c r="AF53" s="274"/>
      <c r="AG53" s="274"/>
      <c r="AH53" s="274"/>
      <c r="AI53" s="274"/>
      <c r="AJ53" s="274"/>
      <c r="AK53" s="274"/>
      <c r="AL53" s="274"/>
    </row>
    <row r="54" spans="1:38" ht="12.75">
      <c r="A54" s="75"/>
      <c r="B54" s="82"/>
      <c r="C54" s="82"/>
      <c r="D54" s="82"/>
      <c r="E54" s="82"/>
      <c r="F54" s="82"/>
      <c r="G54" s="82"/>
      <c r="H54" s="82"/>
      <c r="I54" s="59"/>
      <c r="J54" s="346"/>
      <c r="M54" s="340">
        <v>43</v>
      </c>
      <c r="N54" s="341">
        <v>128.34500120000001</v>
      </c>
      <c r="O54" s="341">
        <v>148.63</v>
      </c>
      <c r="P54" s="341">
        <v>143.72300720214801</v>
      </c>
      <c r="Q54" s="326">
        <v>137.7400055</v>
      </c>
      <c r="AF54" s="274"/>
      <c r="AG54" s="274"/>
      <c r="AH54" s="274"/>
      <c r="AI54" s="274"/>
      <c r="AJ54" s="274"/>
      <c r="AK54" s="274"/>
      <c r="AL54" s="274"/>
    </row>
    <row r="55" spans="1:38" ht="12.75">
      <c r="A55" s="75"/>
      <c r="B55" s="82"/>
      <c r="C55" s="82"/>
      <c r="D55" s="82"/>
      <c r="E55" s="82"/>
      <c r="F55" s="82"/>
      <c r="G55" s="82"/>
      <c r="H55" s="82"/>
      <c r="I55" s="59"/>
      <c r="J55" s="346"/>
      <c r="M55" s="340">
        <v>44</v>
      </c>
      <c r="N55" s="341">
        <v>121.20099639999999</v>
      </c>
      <c r="O55" s="341">
        <v>142.91</v>
      </c>
      <c r="P55" s="341">
        <v>142.33900449999999</v>
      </c>
      <c r="Q55" s="326">
        <v>133.1380005</v>
      </c>
      <c r="AF55" s="274"/>
      <c r="AG55" s="274"/>
      <c r="AH55" s="274"/>
      <c r="AI55" s="274"/>
      <c r="AJ55" s="274"/>
      <c r="AK55" s="274"/>
      <c r="AL55" s="274"/>
    </row>
    <row r="56" spans="1:38" ht="12.75">
      <c r="A56" s="75"/>
      <c r="B56" s="82"/>
      <c r="C56" s="82"/>
      <c r="D56" s="82"/>
      <c r="E56" s="82"/>
      <c r="F56" s="82"/>
      <c r="G56" s="82"/>
      <c r="H56" s="82"/>
      <c r="I56" s="59"/>
      <c r="J56" s="346"/>
      <c r="M56" s="340">
        <v>45</v>
      </c>
      <c r="N56" s="341">
        <v>121.20099639999999</v>
      </c>
      <c r="O56" s="341">
        <v>137.04</v>
      </c>
      <c r="P56" s="341">
        <v>143.13200380000001</v>
      </c>
      <c r="Q56" s="326">
        <v>125.7330017</v>
      </c>
      <c r="AF56" s="274"/>
      <c r="AG56" s="274"/>
      <c r="AH56" s="274"/>
      <c r="AI56" s="274"/>
      <c r="AJ56" s="274"/>
      <c r="AK56" s="274"/>
      <c r="AL56" s="274"/>
    </row>
    <row r="57" spans="1:38" ht="12.75">
      <c r="A57" s="75"/>
      <c r="B57" s="82"/>
      <c r="C57" s="82"/>
      <c r="D57" s="82"/>
      <c r="E57" s="82"/>
      <c r="F57" s="82"/>
      <c r="G57" s="82"/>
      <c r="H57" s="82"/>
      <c r="M57" s="340">
        <v>46</v>
      </c>
      <c r="N57" s="341">
        <v>112.1429977</v>
      </c>
      <c r="O57" s="341">
        <v>131.22999999999999</v>
      </c>
      <c r="P57" s="341">
        <v>141.37</v>
      </c>
      <c r="Q57" s="326">
        <v>125.2030029</v>
      </c>
      <c r="AF57" s="274"/>
      <c r="AG57" s="274"/>
      <c r="AH57" s="274"/>
      <c r="AI57" s="274"/>
      <c r="AJ57" s="274"/>
      <c r="AK57" s="274"/>
      <c r="AL57" s="274"/>
    </row>
    <row r="58" spans="1:38" ht="12.75">
      <c r="A58" s="75"/>
      <c r="B58" s="82"/>
      <c r="C58" s="82"/>
      <c r="D58" s="82"/>
      <c r="E58" s="82"/>
      <c r="F58" s="82"/>
      <c r="G58" s="82"/>
      <c r="H58" s="82"/>
      <c r="M58" s="340">
        <v>47</v>
      </c>
      <c r="N58" s="341">
        <v>112.1429977</v>
      </c>
      <c r="O58" s="341">
        <v>125.5</v>
      </c>
      <c r="P58" s="341">
        <v>140.33900449999999</v>
      </c>
      <c r="Q58" s="326">
        <v>120.5130005</v>
      </c>
      <c r="AF58" s="274"/>
      <c r="AG58" s="274"/>
      <c r="AH58" s="274"/>
      <c r="AI58" s="274"/>
      <c r="AJ58" s="274"/>
      <c r="AK58" s="274"/>
      <c r="AL58" s="274"/>
    </row>
    <row r="59" spans="1:38" ht="12.75">
      <c r="A59" s="271" t="s">
        <v>505</v>
      </c>
      <c r="B59" s="82"/>
      <c r="C59" s="82"/>
      <c r="D59" s="82"/>
      <c r="E59" s="82"/>
      <c r="F59" s="82"/>
      <c r="G59" s="82"/>
      <c r="H59" s="82"/>
      <c r="M59" s="340">
        <v>48</v>
      </c>
      <c r="N59" s="341">
        <v>101.13500209999999</v>
      </c>
      <c r="O59" s="341">
        <v>120.41</v>
      </c>
      <c r="P59" s="341">
        <v>137.8150024</v>
      </c>
      <c r="Q59" s="326">
        <v>119.3089981</v>
      </c>
      <c r="AF59" s="274"/>
      <c r="AG59" s="274"/>
      <c r="AH59" s="274"/>
      <c r="AI59" s="274"/>
      <c r="AJ59" s="274"/>
      <c r="AK59" s="274"/>
      <c r="AL59" s="274"/>
    </row>
    <row r="60" spans="1:38" ht="12.75">
      <c r="A60" s="54"/>
      <c r="B60" s="82"/>
      <c r="C60" s="82"/>
      <c r="D60" s="82"/>
      <c r="E60" s="82"/>
      <c r="F60" s="82"/>
      <c r="G60" s="82"/>
      <c r="H60" s="82"/>
      <c r="M60" s="340">
        <v>49</v>
      </c>
      <c r="N60" s="341">
        <v>101.13500209999999</v>
      </c>
      <c r="O60" s="341">
        <v>115.91300200000001</v>
      </c>
      <c r="P60" s="341">
        <v>129.0279999</v>
      </c>
      <c r="Q60" s="326">
        <v>119.33200069999999</v>
      </c>
      <c r="AF60" s="274"/>
      <c r="AG60" s="274"/>
      <c r="AH60" s="274"/>
      <c r="AI60" s="274"/>
      <c r="AJ60" s="274"/>
      <c r="AK60" s="274"/>
      <c r="AL60" s="274"/>
    </row>
    <row r="61" spans="1:38">
      <c r="M61" s="340">
        <v>50</v>
      </c>
      <c r="N61" s="341">
        <v>96.752998349999999</v>
      </c>
      <c r="O61" s="341">
        <v>110.0599976</v>
      </c>
      <c r="P61" s="341">
        <v>129.30000000000001</v>
      </c>
      <c r="Q61" s="326">
        <v>135.91499329999999</v>
      </c>
      <c r="AD61" s="338"/>
      <c r="AE61" s="338"/>
      <c r="AF61" s="217"/>
      <c r="AG61" s="217"/>
      <c r="AH61" s="217"/>
      <c r="AI61" s="217"/>
      <c r="AJ61" s="217"/>
      <c r="AK61" s="217"/>
      <c r="AL61" s="217"/>
    </row>
    <row r="62" spans="1:38">
      <c r="M62" s="340">
        <v>51</v>
      </c>
      <c r="N62" s="341">
        <v>96.752998349999999</v>
      </c>
      <c r="O62" s="341">
        <v>107.5970001</v>
      </c>
      <c r="P62" s="341">
        <v>129</v>
      </c>
      <c r="Q62" s="326">
        <v>131.21000670000001</v>
      </c>
      <c r="AD62" s="338"/>
      <c r="AE62" s="338"/>
      <c r="AF62" s="217"/>
      <c r="AG62" s="217"/>
      <c r="AH62" s="217"/>
      <c r="AI62" s="217"/>
      <c r="AJ62" s="217"/>
      <c r="AK62" s="217"/>
      <c r="AL62" s="217"/>
    </row>
    <row r="63" spans="1:38">
      <c r="M63" s="340">
        <v>52</v>
      </c>
      <c r="N63" s="341">
        <v>96.752998349999999</v>
      </c>
      <c r="O63" s="341">
        <v>104.4029999</v>
      </c>
      <c r="P63" s="341">
        <v>130.4810028</v>
      </c>
      <c r="Q63" s="326">
        <v>139.86399840000001</v>
      </c>
      <c r="AD63" s="338"/>
      <c r="AE63" s="338"/>
      <c r="AF63" s="217"/>
      <c r="AG63" s="217"/>
      <c r="AH63" s="217"/>
      <c r="AI63" s="217"/>
      <c r="AJ63" s="217"/>
      <c r="AK63" s="217"/>
      <c r="AL63" s="217"/>
    </row>
    <row r="64" spans="1:38">
      <c r="M64" s="340">
        <v>53</v>
      </c>
      <c r="N64" s="341"/>
      <c r="O64" s="341"/>
      <c r="P64" s="348"/>
      <c r="Q64" s="326">
        <v>146.8090057</v>
      </c>
      <c r="AD64" s="338"/>
      <c r="AE64" s="338"/>
      <c r="AF64" s="217"/>
      <c r="AG64" s="217"/>
      <c r="AH64" s="217"/>
      <c r="AI64" s="217"/>
      <c r="AJ64" s="217"/>
      <c r="AK64" s="217"/>
      <c r="AL64" s="217"/>
    </row>
    <row r="65" spans="13:38">
      <c r="M65" s="338"/>
      <c r="N65" s="338"/>
      <c r="O65" s="338"/>
      <c r="P65" s="338"/>
      <c r="Q65" s="338"/>
      <c r="R65" s="338"/>
      <c r="S65" s="338"/>
      <c r="T65" s="338"/>
      <c r="AD65" s="338"/>
      <c r="AE65" s="338"/>
      <c r="AF65" s="217"/>
      <c r="AG65" s="217"/>
      <c r="AH65" s="217"/>
      <c r="AI65" s="217"/>
      <c r="AJ65" s="217"/>
      <c r="AK65" s="217"/>
      <c r="AL65" s="217"/>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008FC8"/>
  </sheetPr>
  <dimension ref="A1:AE63"/>
  <sheetViews>
    <sheetView showGridLines="0" view="pageBreakPreview" zoomScale="85" zoomScaleNormal="100" zoomScaleSheetLayoutView="85" zoomScalePageLayoutView="115" workbookViewId="0"/>
  </sheetViews>
  <sheetFormatPr defaultColWidth="9.33203125" defaultRowHeight="11.25"/>
  <cols>
    <col min="10" max="11" width="9.33203125" customWidth="1"/>
    <col min="14" max="28" width="9.33203125" style="446"/>
    <col min="29" max="31" width="9.33203125" style="436"/>
  </cols>
  <sheetData>
    <row r="1" spans="1:23" ht="11.25" customHeight="1"/>
    <row r="2" spans="1:23" ht="11.25" customHeight="1">
      <c r="A2" s="316"/>
      <c r="B2" s="323"/>
      <c r="C2" s="323"/>
      <c r="D2" s="323"/>
      <c r="E2" s="323"/>
      <c r="F2" s="323"/>
      <c r="G2" s="324"/>
      <c r="H2" s="324"/>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49" t="s">
        <v>271</v>
      </c>
      <c r="T4" s="450" t="s">
        <v>272</v>
      </c>
    </row>
    <row r="5" spans="1:23" ht="11.25" customHeight="1">
      <c r="A5" s="922"/>
      <c r="B5" s="922"/>
      <c r="C5" s="922"/>
      <c r="D5" s="922"/>
      <c r="E5" s="922"/>
      <c r="F5" s="922"/>
      <c r="G5" s="922"/>
      <c r="H5" s="922"/>
      <c r="I5" s="922"/>
      <c r="J5" s="12"/>
      <c r="K5" s="12"/>
      <c r="L5" s="8"/>
      <c r="O5" s="451">
        <v>2016</v>
      </c>
      <c r="P5" s="451">
        <v>2017</v>
      </c>
      <c r="Q5" s="451">
        <v>2018</v>
      </c>
      <c r="R5" s="451">
        <v>2019</v>
      </c>
      <c r="T5" s="451">
        <v>2016</v>
      </c>
      <c r="U5" s="451">
        <v>2017</v>
      </c>
      <c r="V5" s="451">
        <v>2018</v>
      </c>
      <c r="W5" s="451">
        <v>2019</v>
      </c>
    </row>
    <row r="6" spans="1:23" ht="11.25" customHeight="1">
      <c r="A6" s="17"/>
      <c r="B6" s="159"/>
      <c r="C6" s="68"/>
      <c r="D6" s="69"/>
      <c r="E6" s="69"/>
      <c r="F6" s="70"/>
      <c r="G6" s="66"/>
      <c r="H6" s="66"/>
      <c r="I6" s="71"/>
      <c r="J6" s="12"/>
      <c r="K6" s="12"/>
      <c r="L6" s="5"/>
      <c r="N6" s="452">
        <v>1</v>
      </c>
      <c r="O6" s="453">
        <v>119.86</v>
      </c>
      <c r="P6" s="453">
        <v>27.559000019999999</v>
      </c>
      <c r="Q6" s="454">
        <v>34.76</v>
      </c>
      <c r="R6" s="446">
        <v>71.125</v>
      </c>
      <c r="S6" s="452">
        <v>1</v>
      </c>
      <c r="T6" s="453">
        <v>150.22999999999999</v>
      </c>
      <c r="U6" s="453">
        <v>122.19600180599998</v>
      </c>
      <c r="V6" s="454">
        <v>210.20000000000002</v>
      </c>
      <c r="W6" s="446">
        <v>190.20000426299998</v>
      </c>
    </row>
    <row r="7" spans="1:23" ht="11.25" customHeight="1">
      <c r="A7" s="17"/>
      <c r="B7" s="923"/>
      <c r="C7" s="923"/>
      <c r="D7" s="160"/>
      <c r="E7" s="160"/>
      <c r="F7" s="70"/>
      <c r="G7" s="66"/>
      <c r="H7" s="66"/>
      <c r="I7" s="71"/>
      <c r="J7" s="3"/>
      <c r="K7" s="3"/>
      <c r="L7" s="15"/>
      <c r="N7" s="452">
        <v>2</v>
      </c>
      <c r="O7" s="453">
        <v>113.21</v>
      </c>
      <c r="P7" s="453">
        <v>36.5890007</v>
      </c>
      <c r="Q7" s="454">
        <v>47.749000549999998</v>
      </c>
      <c r="R7" s="446">
        <v>79.228996280000004</v>
      </c>
      <c r="S7" s="452">
        <v>2</v>
      </c>
      <c r="T7" s="453">
        <v>145.21</v>
      </c>
      <c r="U7" s="453">
        <v>136.535000822</v>
      </c>
      <c r="V7" s="454">
        <v>216.70300435500002</v>
      </c>
      <c r="W7" s="446">
        <v>185.80498987600001</v>
      </c>
    </row>
    <row r="8" spans="1:23" ht="11.25" customHeight="1">
      <c r="A8" s="17"/>
      <c r="B8" s="161"/>
      <c r="C8" s="39"/>
      <c r="D8" s="162"/>
      <c r="E8" s="162"/>
      <c r="F8" s="70"/>
      <c r="G8" s="66"/>
      <c r="H8" s="66"/>
      <c r="I8" s="71"/>
      <c r="J8" s="4"/>
      <c r="K8" s="4"/>
      <c r="L8" s="12"/>
      <c r="N8" s="452">
        <v>3</v>
      </c>
      <c r="O8" s="453">
        <v>117.64</v>
      </c>
      <c r="P8" s="453">
        <v>63.17599869</v>
      </c>
      <c r="Q8" s="454">
        <v>67.130996699999997</v>
      </c>
      <c r="R8" s="446">
        <v>106.65</v>
      </c>
      <c r="S8" s="452">
        <v>3</v>
      </c>
      <c r="T8" s="453">
        <v>143.88</v>
      </c>
      <c r="U8" s="453">
        <v>170.80799961000002</v>
      </c>
      <c r="V8" s="454">
        <v>232.83600043999999</v>
      </c>
      <c r="W8" s="446">
        <v>190.06000000000003</v>
      </c>
    </row>
    <row r="9" spans="1:23" ht="11.25" customHeight="1">
      <c r="A9" s="17"/>
      <c r="B9" s="161"/>
      <c r="C9" s="39"/>
      <c r="D9" s="162"/>
      <c r="E9" s="162"/>
      <c r="F9" s="70"/>
      <c r="G9" s="66"/>
      <c r="H9" s="66"/>
      <c r="I9" s="71"/>
      <c r="J9" s="3"/>
      <c r="K9" s="6"/>
      <c r="L9" s="15"/>
      <c r="N9" s="452">
        <v>4</v>
      </c>
      <c r="O9" s="453">
        <v>117.64</v>
      </c>
      <c r="P9" s="453">
        <v>113.2139969</v>
      </c>
      <c r="Q9" s="454">
        <v>93.789001459999994</v>
      </c>
      <c r="R9" s="446">
        <v>140.34500120000001</v>
      </c>
      <c r="S9" s="452">
        <v>4</v>
      </c>
      <c r="T9" s="453">
        <v>139.38200000000001</v>
      </c>
      <c r="U9" s="453">
        <v>186.385000214</v>
      </c>
      <c r="V9" s="454">
        <v>271.78000545999998</v>
      </c>
      <c r="W9" s="446">
        <v>198.06799936900001</v>
      </c>
    </row>
    <row r="10" spans="1:23" ht="11.25" customHeight="1">
      <c r="A10" s="17"/>
      <c r="B10" s="161"/>
      <c r="C10" s="39"/>
      <c r="D10" s="162"/>
      <c r="E10" s="162"/>
      <c r="F10" s="70"/>
      <c r="G10" s="66"/>
      <c r="H10" s="66"/>
      <c r="I10" s="71"/>
      <c r="J10" s="3"/>
      <c r="K10" s="3"/>
      <c r="L10" s="15"/>
      <c r="N10" s="452">
        <v>5</v>
      </c>
      <c r="O10" s="453">
        <v>133.43</v>
      </c>
      <c r="P10" s="453">
        <v>156.8220062</v>
      </c>
      <c r="Q10" s="454">
        <v>111.01599880000001</v>
      </c>
      <c r="R10" s="446">
        <v>186.18299870000001</v>
      </c>
      <c r="S10" s="452">
        <v>5</v>
      </c>
      <c r="T10" s="453">
        <v>135.79099490000002</v>
      </c>
      <c r="U10" s="453">
        <v>204.80799868699998</v>
      </c>
      <c r="V10" s="454">
        <v>269.07999802</v>
      </c>
      <c r="W10" s="446">
        <v>217.55805158600003</v>
      </c>
    </row>
    <row r="11" spans="1:23" ht="11.25" customHeight="1">
      <c r="A11" s="17"/>
      <c r="B11" s="162"/>
      <c r="C11" s="39"/>
      <c r="D11" s="162"/>
      <c r="E11" s="162"/>
      <c r="F11" s="70"/>
      <c r="G11" s="66"/>
      <c r="H11" s="66"/>
      <c r="I11" s="71"/>
      <c r="J11" s="3"/>
      <c r="K11" s="3"/>
      <c r="L11" s="15"/>
      <c r="N11" s="452">
        <v>6</v>
      </c>
      <c r="O11" s="453">
        <v>159.2149963</v>
      </c>
      <c r="P11" s="453">
        <v>168.8840027</v>
      </c>
      <c r="Q11" s="454">
        <v>126.6029968</v>
      </c>
      <c r="R11" s="446">
        <v>222.22</v>
      </c>
      <c r="S11" s="452">
        <v>6</v>
      </c>
      <c r="T11" s="453">
        <v>150.04800029899999</v>
      </c>
      <c r="U11" s="453">
        <v>201.82999366799999</v>
      </c>
      <c r="V11" s="454">
        <v>273.52000047000001</v>
      </c>
      <c r="W11" s="446">
        <v>279.10000000000002</v>
      </c>
    </row>
    <row r="12" spans="1:23" ht="11.25" customHeight="1">
      <c r="A12" s="17"/>
      <c r="B12" s="162"/>
      <c r="C12" s="39"/>
      <c r="D12" s="162"/>
      <c r="E12" s="162"/>
      <c r="F12" s="70"/>
      <c r="G12" s="66"/>
      <c r="H12" s="66"/>
      <c r="I12" s="71"/>
      <c r="J12" s="3"/>
      <c r="K12" s="3"/>
      <c r="L12" s="15"/>
      <c r="N12" s="452">
        <v>7</v>
      </c>
      <c r="O12" s="453">
        <v>186.18299870000001</v>
      </c>
      <c r="P12" s="453">
        <v>196.28300479999999</v>
      </c>
      <c r="Q12" s="454">
        <v>135.7250061</v>
      </c>
      <c r="R12" s="446">
        <v>277.02099609999999</v>
      </c>
      <c r="S12" s="452">
        <v>7</v>
      </c>
      <c r="T12" s="453">
        <v>174.31999966699999</v>
      </c>
      <c r="U12" s="453">
        <v>199.59600258</v>
      </c>
      <c r="V12" s="454">
        <v>302.63299941999998</v>
      </c>
      <c r="W12" s="446">
        <v>338.21854399</v>
      </c>
    </row>
    <row r="13" spans="1:23" ht="11.25" customHeight="1">
      <c r="A13" s="17"/>
      <c r="B13" s="162"/>
      <c r="C13" s="39"/>
      <c r="D13" s="162"/>
      <c r="E13" s="162"/>
      <c r="F13" s="70"/>
      <c r="G13" s="66"/>
      <c r="H13" s="66"/>
      <c r="I13" s="71"/>
      <c r="J13" s="4"/>
      <c r="K13" s="4"/>
      <c r="L13" s="12"/>
      <c r="N13" s="452">
        <v>8</v>
      </c>
      <c r="O13" s="453">
        <v>206.53900150000001</v>
      </c>
      <c r="P13" s="453">
        <v>230.18899540000001</v>
      </c>
      <c r="Q13" s="454">
        <v>159.2149963</v>
      </c>
      <c r="R13" s="446">
        <v>293.06698610000001</v>
      </c>
      <c r="S13" s="452">
        <v>8</v>
      </c>
      <c r="T13" s="453">
        <v>262.93500039999998</v>
      </c>
      <c r="U13" s="453">
        <v>214.34299659800001</v>
      </c>
      <c r="V13" s="454">
        <v>328.23703</v>
      </c>
      <c r="W13" s="446">
        <v>388.64800643000001</v>
      </c>
    </row>
    <row r="14" spans="1:23" ht="11.25" customHeight="1">
      <c r="A14" s="17"/>
      <c r="B14" s="162"/>
      <c r="C14" s="39"/>
      <c r="D14" s="162"/>
      <c r="E14" s="162"/>
      <c r="F14" s="70"/>
      <c r="G14" s="66"/>
      <c r="H14" s="66"/>
      <c r="I14" s="71"/>
      <c r="J14" s="3"/>
      <c r="K14" s="6"/>
      <c r="L14" s="15"/>
      <c r="N14" s="452">
        <v>9</v>
      </c>
      <c r="O14" s="453">
        <v>240.9539948</v>
      </c>
      <c r="P14" s="453">
        <v>249.13000489999999</v>
      </c>
      <c r="Q14" s="454">
        <v>186.18299870000001</v>
      </c>
      <c r="R14" s="446">
        <v>294.29501340000002</v>
      </c>
      <c r="S14" s="452">
        <v>9</v>
      </c>
      <c r="T14" s="453">
        <v>279.08800121000002</v>
      </c>
      <c r="U14" s="453">
        <v>250.89400288000002</v>
      </c>
      <c r="V14" s="454">
        <v>343.54049999999995</v>
      </c>
      <c r="W14" s="446">
        <v>377.13099283000003</v>
      </c>
    </row>
    <row r="15" spans="1:23" ht="11.25" customHeight="1">
      <c r="A15" s="17"/>
      <c r="B15" s="162"/>
      <c r="C15" s="39"/>
      <c r="D15" s="162"/>
      <c r="E15" s="162"/>
      <c r="F15" s="70"/>
      <c r="G15" s="66"/>
      <c r="H15" s="66"/>
      <c r="I15" s="71"/>
      <c r="J15" s="3"/>
      <c r="K15" s="6"/>
      <c r="L15" s="15"/>
      <c r="N15" s="452">
        <v>10</v>
      </c>
      <c r="O15" s="453">
        <v>279.86401369999999</v>
      </c>
      <c r="P15" s="453">
        <v>311.77999999999997</v>
      </c>
      <c r="Q15" s="454">
        <v>203.96099849999999</v>
      </c>
      <c r="R15" s="446">
        <v>291.91101070000002</v>
      </c>
      <c r="S15" s="452">
        <v>10</v>
      </c>
      <c r="T15" s="453">
        <v>283.79400062561007</v>
      </c>
      <c r="U15" s="453">
        <v>298.99899296000001</v>
      </c>
      <c r="V15" s="454">
        <v>371.29100467000001</v>
      </c>
      <c r="W15" s="446">
        <v>385.62499995999997</v>
      </c>
    </row>
    <row r="16" spans="1:23" ht="11.25" customHeight="1">
      <c r="A16" s="17"/>
      <c r="B16" s="162"/>
      <c r="C16" s="39"/>
      <c r="D16" s="162"/>
      <c r="E16" s="162"/>
      <c r="F16" s="70"/>
      <c r="G16" s="66"/>
      <c r="H16" s="66"/>
      <c r="I16" s="71"/>
      <c r="J16" s="3"/>
      <c r="K16" s="6"/>
      <c r="L16" s="15"/>
      <c r="N16" s="452">
        <v>11</v>
      </c>
      <c r="O16" s="453">
        <v>308.83</v>
      </c>
      <c r="P16" s="453">
        <v>332.70800000000003</v>
      </c>
      <c r="Q16" s="454">
        <v>230.18899540000001</v>
      </c>
      <c r="R16" s="455">
        <v>301.204986572265</v>
      </c>
      <c r="S16" s="452">
        <v>11</v>
      </c>
      <c r="T16" s="453">
        <v>286.24</v>
      </c>
      <c r="U16" s="453">
        <v>321.03300188000003</v>
      </c>
      <c r="V16" s="454">
        <v>390.38299555999998</v>
      </c>
      <c r="W16" s="446">
        <v>389.38100242614604</v>
      </c>
    </row>
    <row r="17" spans="1:23" ht="11.25" customHeight="1">
      <c r="A17" s="17"/>
      <c r="B17" s="162"/>
      <c r="C17" s="39"/>
      <c r="D17" s="162"/>
      <c r="E17" s="162"/>
      <c r="F17" s="70"/>
      <c r="G17" s="66"/>
      <c r="H17" s="66"/>
      <c r="I17" s="71"/>
      <c r="J17" s="3"/>
      <c r="K17" s="6"/>
      <c r="L17" s="15"/>
      <c r="N17" s="452">
        <v>12</v>
      </c>
      <c r="O17" s="453">
        <v>308.829986572265</v>
      </c>
      <c r="P17" s="453">
        <v>344.881012</v>
      </c>
      <c r="Q17" s="454">
        <v>282.71701050000001</v>
      </c>
      <c r="R17" s="455">
        <v>310.0090027</v>
      </c>
      <c r="S17" s="452">
        <v>12</v>
      </c>
      <c r="T17" s="453">
        <v>285.01299476623473</v>
      </c>
      <c r="U17" s="453">
        <v>332.34900279999999</v>
      </c>
      <c r="V17" s="454">
        <v>412.41217171999995</v>
      </c>
      <c r="W17" s="446">
        <v>386.27799791999996</v>
      </c>
    </row>
    <row r="18" spans="1:23" ht="11.25" customHeight="1">
      <c r="A18" s="17"/>
      <c r="B18" s="162"/>
      <c r="C18" s="39"/>
      <c r="D18" s="162"/>
      <c r="E18" s="162"/>
      <c r="F18" s="70"/>
      <c r="G18" s="66"/>
      <c r="H18" s="66"/>
      <c r="I18" s="71"/>
      <c r="J18" s="3"/>
      <c r="K18" s="6"/>
      <c r="L18" s="15"/>
      <c r="N18" s="452">
        <v>13</v>
      </c>
      <c r="O18" s="453">
        <v>308.829986572265</v>
      </c>
      <c r="P18" s="453">
        <v>338.77499390000003</v>
      </c>
      <c r="Q18" s="454">
        <v>329.68899540000001</v>
      </c>
      <c r="R18" s="455">
        <v>333.91799930000002</v>
      </c>
      <c r="S18" s="452">
        <v>13</v>
      </c>
      <c r="T18" s="453">
        <v>279.96900081634436</v>
      </c>
      <c r="U18" s="453">
        <v>366.02899361000004</v>
      </c>
      <c r="V18" s="454">
        <v>410.83199501000001</v>
      </c>
      <c r="W18" s="446">
        <v>388.98099517000003</v>
      </c>
    </row>
    <row r="19" spans="1:23" ht="11.25" customHeight="1">
      <c r="A19" s="17"/>
      <c r="B19" s="162"/>
      <c r="C19" s="39"/>
      <c r="D19" s="162"/>
      <c r="E19" s="162"/>
      <c r="F19" s="70"/>
      <c r="G19" s="66"/>
      <c r="H19" s="66"/>
      <c r="I19" s="71"/>
      <c r="J19" s="3"/>
      <c r="K19" s="6"/>
      <c r="L19" s="15"/>
      <c r="N19" s="452">
        <v>14</v>
      </c>
      <c r="O19" s="453">
        <v>302.95901489257801</v>
      </c>
      <c r="P19" s="453">
        <v>338.77999390000002</v>
      </c>
      <c r="Q19" s="454">
        <v>329.68899540000001</v>
      </c>
      <c r="R19" s="455">
        <v>335.73699950000002</v>
      </c>
      <c r="S19" s="452">
        <v>14</v>
      </c>
      <c r="T19" s="453">
        <v>286.54100227355917</v>
      </c>
      <c r="U19" s="453">
        <v>382.58400344</v>
      </c>
      <c r="V19" s="454">
        <v>403.70400233999999</v>
      </c>
      <c r="W19" s="446">
        <v>393.36499596000004</v>
      </c>
    </row>
    <row r="20" spans="1:23" ht="11.25" customHeight="1">
      <c r="A20" s="17"/>
      <c r="B20" s="162"/>
      <c r="C20" s="39"/>
      <c r="D20" s="162"/>
      <c r="E20" s="162"/>
      <c r="F20" s="70"/>
      <c r="G20" s="66"/>
      <c r="H20" s="66"/>
      <c r="I20" s="71"/>
      <c r="J20" s="3"/>
      <c r="K20" s="6"/>
      <c r="L20" s="15"/>
      <c r="N20" s="452">
        <v>15</v>
      </c>
      <c r="O20" s="453">
        <v>311.781005859375</v>
      </c>
      <c r="P20" s="453">
        <v>347.94900510000002</v>
      </c>
      <c r="Q20" s="454">
        <v>326.67999270000001</v>
      </c>
      <c r="R20" s="455">
        <v>335.73699950000002</v>
      </c>
      <c r="S20" s="452">
        <v>15</v>
      </c>
      <c r="T20" s="453">
        <v>288.78499984741165</v>
      </c>
      <c r="U20" s="453">
        <v>385.29699126999998</v>
      </c>
      <c r="V20" s="454">
        <v>399.27400204999998</v>
      </c>
      <c r="W20" s="446">
        <v>385.77799804</v>
      </c>
    </row>
    <row r="21" spans="1:23" ht="11.25" customHeight="1">
      <c r="A21" s="17"/>
      <c r="B21" s="162"/>
      <c r="C21" s="39"/>
      <c r="D21" s="162"/>
      <c r="E21" s="162"/>
      <c r="F21" s="70"/>
      <c r="G21" s="66"/>
      <c r="H21" s="66"/>
      <c r="I21" s="71"/>
      <c r="J21" s="3"/>
      <c r="K21" s="7"/>
      <c r="L21" s="16"/>
      <c r="N21" s="452">
        <v>16</v>
      </c>
      <c r="O21" s="453">
        <v>320.69100952148398</v>
      </c>
      <c r="P21" s="453">
        <v>354.11401369999999</v>
      </c>
      <c r="Q21" s="454">
        <v>314.7409973</v>
      </c>
      <c r="R21" s="455">
        <v>335.73699950000002</v>
      </c>
      <c r="S21" s="452">
        <v>16</v>
      </c>
      <c r="T21" s="453">
        <v>293.26400000000001</v>
      </c>
      <c r="U21" s="453">
        <v>384.95899003</v>
      </c>
      <c r="V21" s="454">
        <v>394.58499913000003</v>
      </c>
      <c r="W21" s="446">
        <v>385.72399323999997</v>
      </c>
    </row>
    <row r="22" spans="1:23" ht="11.25" customHeight="1">
      <c r="A22" s="77"/>
      <c r="B22" s="162"/>
      <c r="C22" s="39"/>
      <c r="D22" s="162"/>
      <c r="E22" s="162"/>
      <c r="F22" s="70"/>
      <c r="G22" s="66"/>
      <c r="H22" s="66"/>
      <c r="I22" s="71"/>
      <c r="J22" s="3"/>
      <c r="K22" s="6"/>
      <c r="L22" s="15"/>
      <c r="N22" s="452">
        <v>17</v>
      </c>
      <c r="O22" s="453">
        <v>326.67999267578102</v>
      </c>
      <c r="P22" s="453">
        <v>351.02700809999999</v>
      </c>
      <c r="Q22" s="454">
        <v>305.89001459999997</v>
      </c>
      <c r="R22" s="455">
        <v>335.73699950000002</v>
      </c>
      <c r="S22" s="452">
        <v>17</v>
      </c>
      <c r="T22" s="453">
        <v>292.87300071716299</v>
      </c>
      <c r="U22" s="453">
        <v>381.86699488000005</v>
      </c>
      <c r="V22" s="454">
        <v>392.29800030000007</v>
      </c>
      <c r="W22" s="446">
        <v>388.74200823000001</v>
      </c>
    </row>
    <row r="23" spans="1:23" ht="11.25" customHeight="1">
      <c r="A23" s="77"/>
      <c r="B23" s="162"/>
      <c r="C23" s="39"/>
      <c r="D23" s="162"/>
      <c r="E23" s="162"/>
      <c r="F23" s="70"/>
      <c r="G23" s="66"/>
      <c r="H23" s="66"/>
      <c r="I23" s="71"/>
      <c r="J23" s="3"/>
      <c r="K23" s="6"/>
      <c r="L23" s="15"/>
      <c r="N23" s="452">
        <v>18</v>
      </c>
      <c r="O23" s="453">
        <v>314.74099731445301</v>
      </c>
      <c r="P23" s="453">
        <v>354.11401369999999</v>
      </c>
      <c r="Q23" s="454">
        <v>314.7409973</v>
      </c>
      <c r="R23" s="455">
        <v>335.73699950000002</v>
      </c>
      <c r="S23" s="452">
        <v>18</v>
      </c>
      <c r="T23" s="453">
        <v>289.06400012969908</v>
      </c>
      <c r="U23" s="453">
        <v>382.77999115</v>
      </c>
      <c r="V23" s="454">
        <v>390.15600400999995</v>
      </c>
      <c r="W23" s="446">
        <v>386.49800113000003</v>
      </c>
    </row>
    <row r="24" spans="1:23" ht="11.25" customHeight="1">
      <c r="A24" s="77"/>
      <c r="B24" s="162"/>
      <c r="C24" s="39"/>
      <c r="D24" s="162"/>
      <c r="E24" s="162"/>
      <c r="F24" s="70"/>
      <c r="G24" s="66"/>
      <c r="H24" s="66"/>
      <c r="I24" s="71"/>
      <c r="J24" s="6"/>
      <c r="K24" s="6"/>
      <c r="L24" s="15"/>
      <c r="N24" s="452">
        <v>19</v>
      </c>
      <c r="O24" s="453">
        <v>308.829986572265</v>
      </c>
      <c r="P24" s="453">
        <v>363.43499759999997</v>
      </c>
      <c r="Q24" s="454">
        <v>314.7409973</v>
      </c>
      <c r="R24" s="455">
        <v>314.7409973</v>
      </c>
      <c r="S24" s="452">
        <v>19</v>
      </c>
      <c r="T24" s="453">
        <v>283.7310012817382</v>
      </c>
      <c r="U24" s="453">
        <v>381.91700169999996</v>
      </c>
      <c r="V24" s="454">
        <v>386.47099490999994</v>
      </c>
      <c r="W24" s="446">
        <v>384.38200000000001</v>
      </c>
    </row>
    <row r="25" spans="1:23" ht="11.25" customHeight="1">
      <c r="A25" s="272" t="s">
        <v>506</v>
      </c>
      <c r="B25" s="162"/>
      <c r="C25" s="39"/>
      <c r="D25" s="162"/>
      <c r="E25" s="162"/>
      <c r="F25" s="70"/>
      <c r="G25" s="66"/>
      <c r="H25" s="66"/>
      <c r="I25" s="71"/>
      <c r="J25" s="3"/>
      <c r="K25" s="7"/>
      <c r="L25" s="16"/>
      <c r="N25" s="790">
        <v>20</v>
      </c>
      <c r="O25" s="791">
        <v>308.8</v>
      </c>
      <c r="P25" s="791">
        <v>366.56100459999999</v>
      </c>
      <c r="Q25" s="792">
        <v>314.7409973</v>
      </c>
      <c r="R25" s="793">
        <v>315.3340149</v>
      </c>
      <c r="S25" s="452">
        <v>20</v>
      </c>
      <c r="T25" s="453">
        <v>278.90000000000003</v>
      </c>
      <c r="U25" s="453">
        <v>379.35699083999998</v>
      </c>
      <c r="V25" s="454">
        <v>382.00799562999993</v>
      </c>
      <c r="W25" s="795">
        <v>381.56399727000002</v>
      </c>
    </row>
    <row r="26" spans="1:23" ht="11.25" customHeight="1">
      <c r="A26" s="54"/>
      <c r="B26" s="162"/>
      <c r="C26" s="39"/>
      <c r="D26" s="162"/>
      <c r="E26" s="162"/>
      <c r="F26" s="70"/>
      <c r="G26" s="66"/>
      <c r="H26" s="66"/>
      <c r="I26" s="71"/>
      <c r="J26" s="4"/>
      <c r="K26" s="6"/>
      <c r="L26" s="15"/>
      <c r="N26" s="452">
        <v>21</v>
      </c>
      <c r="O26" s="453">
        <v>311.781005859375</v>
      </c>
      <c r="P26" s="453">
        <v>357.21099850000002</v>
      </c>
      <c r="Q26" s="454">
        <v>314.7409973</v>
      </c>
      <c r="R26" s="794">
        <v>311.78100590000003</v>
      </c>
      <c r="S26" s="452">
        <v>21</v>
      </c>
      <c r="T26" s="453">
        <v>274.65599975585928</v>
      </c>
      <c r="U26" s="453">
        <v>375.59600258</v>
      </c>
      <c r="V26" s="454">
        <v>378.52099610999994</v>
      </c>
      <c r="W26" s="446">
        <v>376.47088237999998</v>
      </c>
    </row>
    <row r="27" spans="1:23" ht="11.25" customHeight="1">
      <c r="A27" s="77"/>
      <c r="B27" s="162"/>
      <c r="C27" s="39"/>
      <c r="D27" s="162"/>
      <c r="E27" s="162"/>
      <c r="F27" s="73"/>
      <c r="G27" s="73"/>
      <c r="H27" s="73"/>
      <c r="I27" s="73"/>
      <c r="J27" s="4"/>
      <c r="K27" s="6"/>
      <c r="L27" s="15"/>
      <c r="N27" s="452">
        <v>22</v>
      </c>
      <c r="O27" s="453">
        <v>314.74</v>
      </c>
      <c r="P27" s="453">
        <v>341.82</v>
      </c>
      <c r="Q27" s="454">
        <v>311.78100590000003</v>
      </c>
      <c r="R27" s="794">
        <v>310.60000609999997</v>
      </c>
      <c r="S27" s="452">
        <v>22</v>
      </c>
      <c r="T27" s="453">
        <v>269.74</v>
      </c>
      <c r="U27" s="453">
        <v>373.52000000000004</v>
      </c>
      <c r="V27" s="454">
        <v>375.20999716</v>
      </c>
      <c r="W27" s="446">
        <v>370.73099807</v>
      </c>
    </row>
    <row r="28" spans="1:23" ht="11.25" customHeight="1">
      <c r="A28" s="77"/>
      <c r="B28" s="162"/>
      <c r="C28" s="39"/>
      <c r="D28" s="162"/>
      <c r="E28" s="162"/>
      <c r="F28" s="73"/>
      <c r="G28" s="73"/>
      <c r="H28" s="73"/>
      <c r="I28" s="73"/>
      <c r="J28" s="4"/>
      <c r="K28" s="6"/>
      <c r="L28" s="15"/>
      <c r="N28" s="452">
        <v>23</v>
      </c>
      <c r="O28" s="453">
        <v>308.83</v>
      </c>
      <c r="P28" s="453">
        <v>326.67999270000001</v>
      </c>
      <c r="Q28" s="454">
        <v>308.82998659999998</v>
      </c>
      <c r="R28" s="794">
        <v>307.06500240000003</v>
      </c>
      <c r="S28" s="452">
        <v>23</v>
      </c>
      <c r="T28" s="453">
        <v>265.4609997</v>
      </c>
      <c r="U28" s="453">
        <v>369.22100255000004</v>
      </c>
      <c r="V28" s="454">
        <v>374.07600211999994</v>
      </c>
      <c r="W28" s="446">
        <v>363.24299430999997</v>
      </c>
    </row>
    <row r="29" spans="1:23" ht="11.25" customHeight="1">
      <c r="A29" s="77"/>
      <c r="B29" s="162"/>
      <c r="C29" s="39"/>
      <c r="D29" s="162"/>
      <c r="E29" s="162"/>
      <c r="F29" s="73"/>
      <c r="G29" s="73"/>
      <c r="H29" s="73"/>
      <c r="I29" s="73"/>
      <c r="J29" s="4"/>
      <c r="K29" s="6"/>
      <c r="L29" s="15"/>
      <c r="N29" s="452">
        <v>24</v>
      </c>
      <c r="O29" s="453">
        <v>300.04000000000002</v>
      </c>
      <c r="P29" s="453">
        <v>308.82998659999998</v>
      </c>
      <c r="Q29" s="454">
        <v>300.0379944</v>
      </c>
      <c r="R29" s="794">
        <v>302.9590149</v>
      </c>
      <c r="S29" s="452">
        <v>24</v>
      </c>
      <c r="T29" s="453">
        <v>261.10000000000002</v>
      </c>
      <c r="U29" s="453">
        <v>364.44200138999997</v>
      </c>
      <c r="V29" s="454">
        <v>370.89200402</v>
      </c>
      <c r="W29" s="446">
        <v>357.21200376000002</v>
      </c>
    </row>
    <row r="30" spans="1:23" ht="11.25" customHeight="1">
      <c r="A30" s="74"/>
      <c r="B30" s="73"/>
      <c r="C30" s="73"/>
      <c r="D30" s="73"/>
      <c r="E30" s="73"/>
      <c r="F30" s="73"/>
      <c r="G30" s="73"/>
      <c r="H30" s="73"/>
      <c r="I30" s="73"/>
      <c r="J30" s="3"/>
      <c r="K30" s="6"/>
      <c r="L30" s="15"/>
      <c r="N30" s="452">
        <v>25</v>
      </c>
      <c r="O30" s="453">
        <v>282.71701050000001</v>
      </c>
      <c r="P30" s="453">
        <v>291.33300780000002</v>
      </c>
      <c r="Q30" s="454">
        <v>294.22500609999997</v>
      </c>
      <c r="R30" s="794">
        <v>300.0379944</v>
      </c>
      <c r="S30" s="452">
        <v>25</v>
      </c>
      <c r="T30" s="453">
        <v>256.25999989000002</v>
      </c>
      <c r="U30" s="453">
        <v>359.61999897999999</v>
      </c>
      <c r="V30" s="454">
        <v>366.71700096999996</v>
      </c>
      <c r="W30" s="446">
        <v>352.1909981</v>
      </c>
    </row>
    <row r="31" spans="1:23" ht="11.25" customHeight="1">
      <c r="A31" s="74"/>
      <c r="B31" s="73"/>
      <c r="C31" s="73"/>
      <c r="D31" s="73"/>
      <c r="E31" s="73"/>
      <c r="F31" s="73"/>
      <c r="G31" s="73"/>
      <c r="H31" s="73"/>
      <c r="I31" s="73"/>
      <c r="J31" s="3"/>
      <c r="K31" s="6"/>
      <c r="L31" s="15"/>
      <c r="N31" s="452">
        <v>26</v>
      </c>
      <c r="O31" s="453">
        <v>262.95300292968699</v>
      </c>
      <c r="P31" s="453">
        <v>268.55099489999998</v>
      </c>
      <c r="Q31" s="454">
        <v>282.71701050000001</v>
      </c>
      <c r="R31" s="794">
        <v>296.06698610000001</v>
      </c>
      <c r="S31" s="452">
        <v>26</v>
      </c>
      <c r="T31" s="453">
        <v>252.54899978637627</v>
      </c>
      <c r="U31" s="453">
        <v>354.77499773999995</v>
      </c>
      <c r="V31" s="454">
        <v>361.43599508999995</v>
      </c>
      <c r="W31" s="446">
        <v>346.62612917400003</v>
      </c>
    </row>
    <row r="32" spans="1:23" ht="11.25" customHeight="1">
      <c r="A32" s="74"/>
      <c r="B32" s="73"/>
      <c r="C32" s="73"/>
      <c r="D32" s="73"/>
      <c r="E32" s="73"/>
      <c r="F32" s="73"/>
      <c r="G32" s="73"/>
      <c r="H32" s="73"/>
      <c r="I32" s="73"/>
      <c r="J32" s="3"/>
      <c r="K32" s="6"/>
      <c r="L32" s="15"/>
      <c r="N32" s="452">
        <v>27</v>
      </c>
      <c r="O32" s="453">
        <v>254.63000489999999</v>
      </c>
      <c r="P32" s="453">
        <v>265.7470093</v>
      </c>
      <c r="Q32" s="454">
        <v>271.36</v>
      </c>
      <c r="R32" s="794">
        <v>275.89</v>
      </c>
      <c r="S32" s="452">
        <v>27</v>
      </c>
      <c r="T32" s="453">
        <v>248.26700022</v>
      </c>
      <c r="U32" s="453">
        <v>349.77999684000002</v>
      </c>
      <c r="V32" s="454">
        <v>355.34</v>
      </c>
      <c r="W32" s="446">
        <v>341.25900444999996</v>
      </c>
    </row>
    <row r="33" spans="1:23" ht="11.25" customHeight="1">
      <c r="A33" s="74"/>
      <c r="B33" s="73"/>
      <c r="C33" s="73"/>
      <c r="D33" s="73"/>
      <c r="E33" s="73"/>
      <c r="F33" s="73"/>
      <c r="G33" s="73"/>
      <c r="H33" s="73"/>
      <c r="I33" s="73"/>
      <c r="J33" s="3"/>
      <c r="K33" s="6"/>
      <c r="L33" s="15"/>
      <c r="N33" s="452">
        <v>28</v>
      </c>
      <c r="O33" s="453">
        <v>240.9539948</v>
      </c>
      <c r="P33" s="456">
        <v>243.66999820000001</v>
      </c>
      <c r="Q33" s="454">
        <v>260.16900629999998</v>
      </c>
      <c r="R33" s="794">
        <v>248.58200070000001</v>
      </c>
      <c r="S33" s="452">
        <v>28</v>
      </c>
      <c r="T33" s="453">
        <v>243.86400222</v>
      </c>
      <c r="U33" s="453">
        <v>344.32400322999996</v>
      </c>
      <c r="V33" s="454">
        <v>349.01599981000004</v>
      </c>
      <c r="W33" s="446">
        <v>337.18899436699996</v>
      </c>
    </row>
    <row r="34" spans="1:23" ht="11.25" customHeight="1">
      <c r="A34" s="74"/>
      <c r="B34" s="73"/>
      <c r="C34" s="73"/>
      <c r="D34" s="73"/>
      <c r="E34" s="73"/>
      <c r="F34" s="73"/>
      <c r="G34" s="73"/>
      <c r="H34" s="73"/>
      <c r="I34" s="73"/>
      <c r="J34" s="3"/>
      <c r="K34" s="6"/>
      <c r="L34" s="15"/>
      <c r="N34" s="452">
        <v>29</v>
      </c>
      <c r="O34" s="453">
        <v>227.5220032</v>
      </c>
      <c r="P34" s="453">
        <v>227.5220032</v>
      </c>
      <c r="Q34" s="454">
        <v>251.88</v>
      </c>
      <c r="R34" s="794">
        <v>238.787994384765</v>
      </c>
      <c r="S34" s="452">
        <v>29</v>
      </c>
      <c r="T34" s="453">
        <v>239.07999988</v>
      </c>
      <c r="U34" s="453">
        <v>338.60699847999996</v>
      </c>
      <c r="V34" s="454">
        <v>343.97999999999996</v>
      </c>
      <c r="W34" s="446">
        <v>333.50600986443789</v>
      </c>
    </row>
    <row r="35" spans="1:23" ht="11.25" customHeight="1">
      <c r="A35" s="74"/>
      <c r="B35" s="73"/>
      <c r="C35" s="73"/>
      <c r="D35" s="73"/>
      <c r="E35" s="73"/>
      <c r="F35" s="73"/>
      <c r="G35" s="73"/>
      <c r="H35" s="73"/>
      <c r="I35" s="73"/>
      <c r="J35" s="6"/>
      <c r="K35" s="6"/>
      <c r="L35" s="15"/>
      <c r="N35" s="452">
        <v>30</v>
      </c>
      <c r="O35" s="453">
        <v>216.95199584960901</v>
      </c>
      <c r="P35" s="453">
        <v>216.95199579999999</v>
      </c>
      <c r="Q35" s="454">
        <v>232.8650055</v>
      </c>
      <c r="R35" s="794">
        <v>229.12</v>
      </c>
      <c r="S35" s="452">
        <v>30</v>
      </c>
      <c r="T35" s="453">
        <v>234.2539968490598</v>
      </c>
      <c r="U35" s="453">
        <v>332.49400331000004</v>
      </c>
      <c r="V35" s="454">
        <v>342.06599807739167</v>
      </c>
      <c r="W35" s="446">
        <v>324.04999999999995</v>
      </c>
    </row>
    <row r="36" spans="1:23" ht="11.25" customHeight="1">
      <c r="A36" s="74"/>
      <c r="B36" s="73"/>
      <c r="C36" s="73"/>
      <c r="D36" s="73"/>
      <c r="E36" s="73"/>
      <c r="F36" s="73"/>
      <c r="G36" s="73"/>
      <c r="H36" s="73"/>
      <c r="I36" s="73"/>
      <c r="J36" s="3"/>
      <c r="K36" s="6"/>
      <c r="L36" s="15"/>
      <c r="N36" s="452">
        <v>31</v>
      </c>
      <c r="O36" s="453">
        <v>216.95199579999999</v>
      </c>
      <c r="P36" s="453">
        <v>209.128006</v>
      </c>
      <c r="Q36" s="454">
        <v>211.726</v>
      </c>
      <c r="R36" s="794">
        <v>219.05400090000001</v>
      </c>
      <c r="S36" s="452">
        <v>31</v>
      </c>
      <c r="T36" s="453">
        <v>229.68000125999998</v>
      </c>
      <c r="U36" s="453">
        <v>324</v>
      </c>
      <c r="V36" s="454">
        <v>335.23199999999997</v>
      </c>
      <c r="W36" s="446">
        <v>318.10600236499999</v>
      </c>
    </row>
    <row r="37" spans="1:23" ht="11.25" customHeight="1">
      <c r="A37" s="74"/>
      <c r="B37" s="73"/>
      <c r="C37" s="73"/>
      <c r="D37" s="73"/>
      <c r="E37" s="73"/>
      <c r="F37" s="73"/>
      <c r="G37" s="73"/>
      <c r="H37" s="73"/>
      <c r="I37" s="73"/>
      <c r="J37" s="3"/>
      <c r="K37" s="10"/>
      <c r="L37" s="15"/>
      <c r="N37" s="452">
        <v>32</v>
      </c>
      <c r="O37" s="453">
        <v>201.39199830000001</v>
      </c>
      <c r="P37" s="453">
        <v>198.83200070000001</v>
      </c>
      <c r="Q37" s="454">
        <v>181.19200129999999</v>
      </c>
      <c r="R37" s="455">
        <v>209.128006</v>
      </c>
      <c r="S37" s="452">
        <v>32</v>
      </c>
      <c r="T37" s="453">
        <v>224.73799990999998</v>
      </c>
      <c r="U37" s="453">
        <v>320.73399734000003</v>
      </c>
      <c r="V37" s="454">
        <v>329.56800555999996</v>
      </c>
      <c r="W37" s="446">
        <v>312.078003352</v>
      </c>
    </row>
    <row r="38" spans="1:23" ht="11.25" customHeight="1">
      <c r="A38" s="74"/>
      <c r="B38" s="73"/>
      <c r="C38" s="73"/>
      <c r="D38" s="73"/>
      <c r="E38" s="73"/>
      <c r="F38" s="73"/>
      <c r="G38" s="73"/>
      <c r="H38" s="73"/>
      <c r="I38" s="73"/>
      <c r="J38" s="3"/>
      <c r="K38" s="10"/>
      <c r="L38" s="38"/>
      <c r="N38" s="452">
        <v>33</v>
      </c>
      <c r="O38" s="453">
        <v>193.74299621582</v>
      </c>
      <c r="P38" s="453">
        <v>188.69299319999999</v>
      </c>
      <c r="Q38" s="454">
        <v>152.0650024</v>
      </c>
      <c r="R38" s="455">
        <v>199.85499569999999</v>
      </c>
      <c r="S38" s="452">
        <v>33</v>
      </c>
      <c r="T38" s="453">
        <v>219.00299835205058</v>
      </c>
      <c r="U38" s="453">
        <v>314.19900131999998</v>
      </c>
      <c r="V38" s="454">
        <v>323.79099748000004</v>
      </c>
      <c r="W38" s="446">
        <v>312.078003352</v>
      </c>
    </row>
    <row r="39" spans="1:23" ht="11.25" customHeight="1">
      <c r="A39" s="74"/>
      <c r="B39" s="73"/>
      <c r="C39" s="73"/>
      <c r="D39" s="73"/>
      <c r="E39" s="73"/>
      <c r="F39" s="73"/>
      <c r="G39" s="73"/>
      <c r="H39" s="73"/>
      <c r="I39" s="73"/>
      <c r="J39" s="3"/>
      <c r="K39" s="7"/>
      <c r="L39" s="15"/>
      <c r="N39" s="452">
        <v>34</v>
      </c>
      <c r="O39" s="453">
        <v>181.19200129999999</v>
      </c>
      <c r="P39" s="453">
        <v>183.68200680000001</v>
      </c>
      <c r="Q39" s="454">
        <v>156.8220062</v>
      </c>
      <c r="R39" s="455">
        <v>188.69299319999999</v>
      </c>
      <c r="S39" s="452">
        <v>34</v>
      </c>
      <c r="T39" s="453">
        <v>214.38699817</v>
      </c>
      <c r="U39" s="453">
        <v>307.85200500000002</v>
      </c>
      <c r="V39" s="454">
        <v>317.64699750999995</v>
      </c>
      <c r="W39" s="446">
        <v>299.58200316099999</v>
      </c>
    </row>
    <row r="40" spans="1:23" ht="11.25" customHeight="1">
      <c r="A40" s="74"/>
      <c r="B40" s="73"/>
      <c r="C40" s="73"/>
      <c r="D40" s="73"/>
      <c r="E40" s="73"/>
      <c r="F40" s="73"/>
      <c r="G40" s="73"/>
      <c r="H40" s="73"/>
      <c r="I40" s="73"/>
      <c r="J40" s="3"/>
      <c r="K40" s="7"/>
      <c r="L40" s="15"/>
      <c r="N40" s="452">
        <v>35</v>
      </c>
      <c r="O40" s="453">
        <v>171.32600400000001</v>
      </c>
      <c r="P40" s="457">
        <v>176.23899840000001</v>
      </c>
      <c r="Q40" s="454">
        <v>156.82</v>
      </c>
      <c r="R40" s="455">
        <v>177.72099299999999</v>
      </c>
      <c r="S40" s="452">
        <v>35</v>
      </c>
      <c r="T40" s="453">
        <v>208.95000171000001</v>
      </c>
      <c r="U40" s="453">
        <v>300.83900069999999</v>
      </c>
      <c r="V40" s="454">
        <v>311.42</v>
      </c>
      <c r="W40" s="446">
        <v>292.71899843200003</v>
      </c>
    </row>
    <row r="41" spans="1:23" ht="11.25" customHeight="1">
      <c r="A41" s="74"/>
      <c r="B41" s="73"/>
      <c r="C41" s="73"/>
      <c r="D41" s="73"/>
      <c r="E41" s="73"/>
      <c r="F41" s="73"/>
      <c r="G41" s="73"/>
      <c r="H41" s="73"/>
      <c r="I41" s="73"/>
      <c r="J41" s="3"/>
      <c r="K41" s="7"/>
      <c r="L41" s="15"/>
      <c r="N41" s="452">
        <v>36</v>
      </c>
      <c r="O41" s="453">
        <v>164.02999879999999</v>
      </c>
      <c r="P41" s="457">
        <v>168.8840027</v>
      </c>
      <c r="Q41" s="454">
        <v>159.21</v>
      </c>
      <c r="R41" s="455">
        <v>164.99800110000001</v>
      </c>
      <c r="S41" s="452">
        <v>36</v>
      </c>
      <c r="T41" s="453">
        <v>202.97300145000003</v>
      </c>
      <c r="U41" s="453">
        <v>293.46100233999999</v>
      </c>
      <c r="V41" s="454">
        <v>305.20999999999998</v>
      </c>
      <c r="W41" s="446">
        <v>286.64699412499999</v>
      </c>
    </row>
    <row r="42" spans="1:23" ht="11.25" customHeight="1">
      <c r="A42" s="74"/>
      <c r="B42" s="73"/>
      <c r="C42" s="73"/>
      <c r="D42" s="73"/>
      <c r="E42" s="73"/>
      <c r="F42" s="73"/>
      <c r="G42" s="73"/>
      <c r="H42" s="73"/>
      <c r="I42" s="73"/>
      <c r="J42" s="6"/>
      <c r="K42" s="10"/>
      <c r="L42" s="15"/>
      <c r="N42" s="452">
        <v>37</v>
      </c>
      <c r="O42" s="453">
        <v>147.34800720000001</v>
      </c>
      <c r="P42" s="457">
        <v>159.2149963</v>
      </c>
      <c r="Q42" s="454">
        <v>159.2149963</v>
      </c>
      <c r="R42" s="455">
        <v>154.53400055</v>
      </c>
      <c r="S42" s="452">
        <v>37</v>
      </c>
      <c r="T42" s="453">
        <v>196.95000080099999</v>
      </c>
      <c r="U42" s="453">
        <v>287.76599501999999</v>
      </c>
      <c r="V42" s="454">
        <v>299.17000225600003</v>
      </c>
      <c r="W42" s="446">
        <v>280.605003845</v>
      </c>
    </row>
    <row r="43" spans="1:23" ht="11.25" customHeight="1">
      <c r="A43" s="74"/>
      <c r="B43" s="73"/>
      <c r="C43" s="73"/>
      <c r="D43" s="73"/>
      <c r="E43" s="73"/>
      <c r="F43" s="73"/>
      <c r="G43" s="73"/>
      <c r="H43" s="73"/>
      <c r="I43" s="73"/>
      <c r="J43" s="3"/>
      <c r="K43" s="10"/>
      <c r="L43" s="15"/>
      <c r="N43" s="452">
        <v>38</v>
      </c>
      <c r="O43" s="453">
        <v>131.14500430000001</v>
      </c>
      <c r="P43" s="457">
        <v>149.70199579999999</v>
      </c>
      <c r="Q43" s="454">
        <v>149.70199579999999</v>
      </c>
      <c r="R43" s="455">
        <v>144.07</v>
      </c>
      <c r="S43" s="452">
        <v>38</v>
      </c>
      <c r="T43" s="453">
        <v>190.78400421900002</v>
      </c>
      <c r="U43" s="453">
        <v>282.07300377000001</v>
      </c>
      <c r="V43" s="454">
        <v>292.45899891799996</v>
      </c>
      <c r="W43" s="446">
        <v>274.21999999999997</v>
      </c>
    </row>
    <row r="44" spans="1:23" ht="11.25" customHeight="1">
      <c r="A44" s="74"/>
      <c r="B44" s="73"/>
      <c r="C44" s="73"/>
      <c r="D44" s="73"/>
      <c r="E44" s="73"/>
      <c r="F44" s="73"/>
      <c r="G44" s="73"/>
      <c r="H44" s="73"/>
      <c r="I44" s="73"/>
      <c r="J44" s="3"/>
      <c r="K44" s="10"/>
      <c r="L44" s="15"/>
      <c r="N44" s="452">
        <v>39</v>
      </c>
      <c r="O44" s="453">
        <v>119.8639984</v>
      </c>
      <c r="P44" s="457">
        <v>138.02999879999999</v>
      </c>
      <c r="Q44" s="454">
        <v>117.6380005</v>
      </c>
      <c r="R44" s="455">
        <v>135.725006103515</v>
      </c>
      <c r="S44" s="452">
        <v>39</v>
      </c>
      <c r="T44" s="453">
        <v>184.44099947499998</v>
      </c>
      <c r="U44" s="453">
        <v>275.53000069000001</v>
      </c>
      <c r="V44" s="454">
        <v>286.11999916000002</v>
      </c>
      <c r="W44" s="446">
        <v>267.58499765396107</v>
      </c>
    </row>
    <row r="45" spans="1:23" ht="11.25" customHeight="1">
      <c r="A45" s="74"/>
      <c r="B45" s="73"/>
      <c r="C45" s="73"/>
      <c r="D45" s="73"/>
      <c r="E45" s="73"/>
      <c r="F45" s="73"/>
      <c r="G45" s="73"/>
      <c r="H45" s="73"/>
      <c r="I45" s="73"/>
      <c r="J45" s="11"/>
      <c r="K45" s="11"/>
      <c r="L45" s="11"/>
      <c r="N45" s="452">
        <v>40</v>
      </c>
      <c r="O45" s="453">
        <v>119.8639984</v>
      </c>
      <c r="P45" s="453">
        <v>131.14500430000001</v>
      </c>
      <c r="Q45" s="454">
        <v>91.680000309999997</v>
      </c>
      <c r="R45" s="455">
        <v>127.0559998</v>
      </c>
      <c r="S45" s="452">
        <v>40</v>
      </c>
      <c r="T45" s="453">
        <v>177.93399906500002</v>
      </c>
      <c r="U45" s="453">
        <v>268.25699615000002</v>
      </c>
      <c r="V45" s="454">
        <v>278.57999837699998</v>
      </c>
      <c r="W45" s="446">
        <v>260.96199703900004</v>
      </c>
    </row>
    <row r="46" spans="1:23" ht="11.25" customHeight="1">
      <c r="A46" s="74"/>
      <c r="B46" s="73"/>
      <c r="C46" s="73"/>
      <c r="D46" s="73"/>
      <c r="E46" s="73"/>
      <c r="F46" s="73"/>
      <c r="G46" s="73"/>
      <c r="H46" s="73"/>
      <c r="I46" s="73"/>
      <c r="J46" s="11"/>
      <c r="K46" s="11"/>
      <c r="L46" s="11"/>
      <c r="N46" s="452">
        <v>41</v>
      </c>
      <c r="O46" s="453">
        <v>113.213996887207</v>
      </c>
      <c r="P46" s="453">
        <v>108.82900239999999</v>
      </c>
      <c r="Q46" s="454">
        <v>71.125</v>
      </c>
      <c r="R46" s="455">
        <v>110.13999939999999</v>
      </c>
      <c r="S46" s="452">
        <v>41</v>
      </c>
      <c r="T46" s="453">
        <v>171.68900227546672</v>
      </c>
      <c r="U46" s="453">
        <v>261.21399689000003</v>
      </c>
      <c r="V46" s="454">
        <v>271.23250496387476</v>
      </c>
      <c r="W46" s="446">
        <v>253.29600046600001</v>
      </c>
    </row>
    <row r="47" spans="1:23" ht="11.25" customHeight="1">
      <c r="A47" s="74"/>
      <c r="B47" s="73"/>
      <c r="C47" s="73"/>
      <c r="D47" s="73"/>
      <c r="E47" s="73"/>
      <c r="F47" s="73"/>
      <c r="G47" s="73"/>
      <c r="H47" s="73"/>
      <c r="I47" s="73"/>
      <c r="J47" s="11"/>
      <c r="K47" s="11"/>
      <c r="L47" s="11"/>
      <c r="N47" s="452">
        <v>42</v>
      </c>
      <c r="O47" s="453">
        <v>100.1760025</v>
      </c>
      <c r="P47" s="453">
        <v>95.908996579999993</v>
      </c>
      <c r="Q47" s="454">
        <v>59.261001586913999</v>
      </c>
      <c r="R47" s="455">
        <v>100.61</v>
      </c>
      <c r="S47" s="452">
        <v>42</v>
      </c>
      <c r="T47" s="453">
        <v>165.69499874400003</v>
      </c>
      <c r="U47" s="453">
        <v>255.58900451</v>
      </c>
      <c r="V47" s="454">
        <v>256.27199935913058</v>
      </c>
      <c r="W47" s="446">
        <v>246.06</v>
      </c>
    </row>
    <row r="48" spans="1:23" ht="11.25" customHeight="1">
      <c r="A48" s="74"/>
      <c r="B48" s="73"/>
      <c r="C48" s="73"/>
      <c r="D48" s="73"/>
      <c r="E48" s="73"/>
      <c r="F48" s="73"/>
      <c r="G48" s="73"/>
      <c r="H48" s="73"/>
      <c r="I48" s="73"/>
      <c r="J48" s="11"/>
      <c r="K48" s="11"/>
      <c r="L48" s="11"/>
      <c r="N48" s="452">
        <v>43</v>
      </c>
      <c r="O48" s="453">
        <v>89.581001279999995</v>
      </c>
      <c r="P48" s="453">
        <v>83.341003420000007</v>
      </c>
      <c r="Q48" s="454">
        <v>47.749000549316399</v>
      </c>
      <c r="R48" s="455">
        <v>95.484001160000005</v>
      </c>
      <c r="S48" s="452">
        <v>43</v>
      </c>
      <c r="T48" s="453">
        <v>160.397996525</v>
      </c>
      <c r="U48" s="453">
        <v>249.85500335</v>
      </c>
      <c r="V48" s="454">
        <v>249.67099761962871</v>
      </c>
      <c r="W48" s="446">
        <v>241.02699661899999</v>
      </c>
    </row>
    <row r="49" spans="1:23" ht="11.25" customHeight="1">
      <c r="A49" s="74"/>
      <c r="B49" s="73"/>
      <c r="C49" s="73"/>
      <c r="D49" s="73"/>
      <c r="E49" s="73"/>
      <c r="F49" s="73"/>
      <c r="G49" s="73"/>
      <c r="H49" s="73"/>
      <c r="I49" s="73"/>
      <c r="J49" s="11"/>
      <c r="K49" s="11"/>
      <c r="L49" s="11"/>
      <c r="N49" s="452">
        <v>44</v>
      </c>
      <c r="O49" s="453">
        <v>75.156997680000003</v>
      </c>
      <c r="P49" s="453">
        <v>75.16</v>
      </c>
      <c r="Q49" s="454">
        <v>38.424999239999998</v>
      </c>
      <c r="R49" s="455">
        <v>89.581001279999995</v>
      </c>
      <c r="S49" s="452">
        <v>44</v>
      </c>
      <c r="T49" s="453">
        <v>154.79199918699999</v>
      </c>
      <c r="U49" s="453">
        <v>242.79000000000002</v>
      </c>
      <c r="V49" s="454">
        <v>249.67099761962871</v>
      </c>
      <c r="W49" s="446">
        <v>234.19399833099999</v>
      </c>
    </row>
    <row r="50" spans="1:23" ht="12.75">
      <c r="A50" s="74"/>
      <c r="B50" s="73"/>
      <c r="C50" s="73"/>
      <c r="D50" s="73"/>
      <c r="E50" s="73"/>
      <c r="F50" s="73"/>
      <c r="G50" s="73"/>
      <c r="H50" s="73"/>
      <c r="I50" s="73"/>
      <c r="J50" s="11"/>
      <c r="K50" s="11"/>
      <c r="L50" s="11"/>
      <c r="N50" s="452">
        <v>45</v>
      </c>
      <c r="O50" s="453">
        <v>61.2140007</v>
      </c>
      <c r="P50" s="453">
        <v>65.149002080000002</v>
      </c>
      <c r="Q50" s="454">
        <v>31.142000199999998</v>
      </c>
      <c r="R50" s="455">
        <v>79.638999940000005</v>
      </c>
      <c r="S50" s="452">
        <v>45</v>
      </c>
      <c r="T50" s="453">
        <v>149.715000041</v>
      </c>
      <c r="U50" s="453">
        <v>235.60499572000001</v>
      </c>
      <c r="V50" s="454">
        <v>243.378839739</v>
      </c>
      <c r="W50" s="446">
        <v>228.64612817499997</v>
      </c>
    </row>
    <row r="51" spans="1:23" ht="12.75">
      <c r="A51" s="74"/>
      <c r="B51" s="73"/>
      <c r="C51" s="73"/>
      <c r="D51" s="73"/>
      <c r="E51" s="73"/>
      <c r="F51" s="73"/>
      <c r="G51" s="73"/>
      <c r="H51" s="73"/>
      <c r="I51" s="73"/>
      <c r="J51" s="11"/>
      <c r="K51" s="11"/>
      <c r="L51" s="11"/>
      <c r="N51" s="452">
        <v>46</v>
      </c>
      <c r="O51" s="453">
        <v>43.990001679999999</v>
      </c>
      <c r="P51" s="453">
        <v>47.749000549999998</v>
      </c>
      <c r="Q51" s="454">
        <v>22.26</v>
      </c>
      <c r="R51" s="455">
        <v>80.049003600000006</v>
      </c>
      <c r="S51" s="452">
        <v>46</v>
      </c>
      <c r="T51" s="453">
        <v>144.11800040400001</v>
      </c>
      <c r="U51" s="453">
        <v>230.54900361099999</v>
      </c>
      <c r="V51" s="454">
        <v>236.34</v>
      </c>
      <c r="W51" s="446">
        <v>222.81199835999999</v>
      </c>
    </row>
    <row r="52" spans="1:23" ht="12.75">
      <c r="A52" s="74"/>
      <c r="B52" s="73"/>
      <c r="C52" s="73"/>
      <c r="D52" s="73"/>
      <c r="E52" s="73"/>
      <c r="F52" s="73"/>
      <c r="G52" s="73"/>
      <c r="H52" s="73"/>
      <c r="I52" s="73"/>
      <c r="J52" s="11"/>
      <c r="K52" s="11"/>
      <c r="L52" s="11"/>
      <c r="N52" s="452">
        <v>47</v>
      </c>
      <c r="O52" s="453">
        <v>25.781999590000002</v>
      </c>
      <c r="P52" s="453">
        <v>34.763999939999998</v>
      </c>
      <c r="Q52" s="454">
        <v>17.044000629999999</v>
      </c>
      <c r="R52" s="455">
        <v>85.825996399999994</v>
      </c>
      <c r="S52" s="452">
        <v>47</v>
      </c>
      <c r="T52" s="453">
        <v>138.82499813000001</v>
      </c>
      <c r="U52" s="453">
        <v>223.60000467499998</v>
      </c>
      <c r="V52" s="454">
        <v>227.62000255999999</v>
      </c>
      <c r="W52" s="446">
        <v>216.31200409100001</v>
      </c>
    </row>
    <row r="53" spans="1:23" ht="12.75">
      <c r="A53" s="74"/>
      <c r="B53" s="73"/>
      <c r="C53" s="73"/>
      <c r="D53" s="73"/>
      <c r="E53" s="73"/>
      <c r="F53" s="73"/>
      <c r="G53" s="73"/>
      <c r="H53" s="73"/>
      <c r="I53" s="73"/>
      <c r="J53" s="11"/>
      <c r="K53" s="11"/>
      <c r="L53" s="11"/>
      <c r="N53" s="452">
        <v>48</v>
      </c>
      <c r="O53" s="453">
        <v>29.344999309999999</v>
      </c>
      <c r="P53" s="453">
        <v>13.618000029999999</v>
      </c>
      <c r="Q53" s="454">
        <v>36.5890007</v>
      </c>
      <c r="R53" s="455">
        <v>77.596000669999995</v>
      </c>
      <c r="S53" s="452">
        <v>48</v>
      </c>
      <c r="T53" s="453">
        <v>133.112998957</v>
      </c>
      <c r="U53" s="453">
        <v>217.17600035300001</v>
      </c>
      <c r="V53" s="454">
        <v>220.01436420799999</v>
      </c>
      <c r="W53" s="446">
        <v>210.250997547</v>
      </c>
    </row>
    <row r="54" spans="1:23" ht="13.5">
      <c r="A54" s="74"/>
      <c r="B54" s="73"/>
      <c r="C54" s="73"/>
      <c r="D54" s="73"/>
      <c r="E54" s="73"/>
      <c r="F54" s="73"/>
      <c r="G54" s="73"/>
      <c r="H54" s="73"/>
      <c r="I54" s="73"/>
      <c r="J54" s="11"/>
      <c r="K54" s="11"/>
      <c r="L54" s="11"/>
      <c r="N54" s="452">
        <v>49</v>
      </c>
      <c r="O54" s="458">
        <v>34.763999939999998</v>
      </c>
      <c r="P54" s="453">
        <v>8.5520000459999999</v>
      </c>
      <c r="Q54" s="454">
        <v>36.590000000000003</v>
      </c>
      <c r="R54" s="455">
        <v>54.613998410000001</v>
      </c>
      <c r="S54" s="452">
        <v>49</v>
      </c>
      <c r="T54" s="453">
        <v>128.370002666</v>
      </c>
      <c r="U54" s="453">
        <v>210.45100211699997</v>
      </c>
      <c r="V54" s="454">
        <v>212.37999999999997</v>
      </c>
      <c r="W54" s="446">
        <v>202.73299884100001</v>
      </c>
    </row>
    <row r="55" spans="1:23" ht="12.75">
      <c r="A55" s="74"/>
      <c r="B55" s="73"/>
      <c r="C55" s="73"/>
      <c r="D55" s="73"/>
      <c r="E55" s="73"/>
      <c r="F55" s="73"/>
      <c r="G55" s="73"/>
      <c r="H55" s="73"/>
      <c r="I55" s="73"/>
      <c r="J55" s="11"/>
      <c r="K55" s="11"/>
      <c r="L55" s="11"/>
      <c r="N55" s="452">
        <v>50</v>
      </c>
      <c r="O55" s="453">
        <v>32.948001859999998</v>
      </c>
      <c r="P55" s="453">
        <v>13.618000029999999</v>
      </c>
      <c r="Q55" s="454">
        <v>34.763999939999998</v>
      </c>
      <c r="R55" s="455">
        <v>64.358001709999996</v>
      </c>
      <c r="S55" s="452">
        <v>50</v>
      </c>
      <c r="T55" s="453">
        <v>122.71499820000001</v>
      </c>
      <c r="U55" s="453">
        <v>203.37099885499998</v>
      </c>
      <c r="V55" s="454">
        <v>205.46782675599999</v>
      </c>
      <c r="W55" s="446">
        <v>195.51400422099999</v>
      </c>
    </row>
    <row r="56" spans="1:23" ht="12.75">
      <c r="A56" s="74"/>
      <c r="B56" s="73"/>
      <c r="C56" s="73"/>
      <c r="D56" s="73"/>
      <c r="E56" s="73"/>
      <c r="F56" s="73"/>
      <c r="G56" s="73"/>
      <c r="H56" s="73"/>
      <c r="I56" s="73"/>
      <c r="J56" s="11"/>
      <c r="K56" s="11"/>
      <c r="L56" s="11"/>
      <c r="N56" s="452">
        <v>51</v>
      </c>
      <c r="O56" s="453">
        <v>25.781999590000002</v>
      </c>
      <c r="P56" s="453">
        <v>18.771999359999999</v>
      </c>
      <c r="Q56" s="454">
        <v>38.4</v>
      </c>
      <c r="R56" s="455">
        <v>80.049003600000006</v>
      </c>
      <c r="S56" s="452">
        <v>51</v>
      </c>
      <c r="T56" s="453">
        <v>120.15600296300001</v>
      </c>
      <c r="U56" s="453">
        <v>202.35899971500001</v>
      </c>
      <c r="V56" s="454">
        <v>199</v>
      </c>
      <c r="W56" s="446">
        <v>188.995997891</v>
      </c>
    </row>
    <row r="57" spans="1:23" ht="12.75">
      <c r="A57" s="74"/>
      <c r="B57" s="73"/>
      <c r="C57" s="73"/>
      <c r="D57" s="73"/>
      <c r="E57" s="73"/>
      <c r="F57" s="73"/>
      <c r="G57" s="73"/>
      <c r="H57" s="73"/>
      <c r="I57" s="73"/>
      <c r="N57" s="452">
        <v>52</v>
      </c>
      <c r="O57" s="453">
        <v>22.256999969999999</v>
      </c>
      <c r="P57" s="453">
        <v>25.781999590000002</v>
      </c>
      <c r="Q57" s="454">
        <v>59.261001589999999</v>
      </c>
      <c r="R57" s="455">
        <v>108.82900239999999</v>
      </c>
      <c r="S57" s="452">
        <v>52</v>
      </c>
      <c r="T57" s="453">
        <v>116.12899696700001</v>
      </c>
      <c r="U57" s="453">
        <v>201.25199794899999</v>
      </c>
      <c r="V57" s="454">
        <v>192.88799664499999</v>
      </c>
      <c r="W57" s="446">
        <v>184.65400219100002</v>
      </c>
    </row>
    <row r="58" spans="1:23" ht="12.75">
      <c r="A58" s="74"/>
      <c r="B58" s="73"/>
      <c r="C58" s="73"/>
      <c r="D58" s="73"/>
      <c r="E58" s="73"/>
      <c r="F58" s="73"/>
      <c r="G58" s="73"/>
      <c r="H58" s="73"/>
      <c r="I58" s="73"/>
      <c r="N58" s="452">
        <v>53</v>
      </c>
      <c r="O58" s="455"/>
      <c r="P58" s="455"/>
      <c r="Q58" s="455"/>
      <c r="R58" s="455">
        <v>140.34500120000001</v>
      </c>
      <c r="S58" s="452">
        <v>53</v>
      </c>
      <c r="T58" s="453"/>
      <c r="U58" s="453"/>
      <c r="V58" s="454"/>
      <c r="W58" s="446">
        <v>183.63100289100001</v>
      </c>
    </row>
    <row r="59" spans="1:23" ht="12.75">
      <c r="B59" s="73"/>
      <c r="C59" s="73"/>
      <c r="D59" s="73"/>
      <c r="E59" s="73"/>
      <c r="F59" s="73"/>
      <c r="G59" s="73"/>
      <c r="H59" s="73"/>
      <c r="I59" s="73"/>
    </row>
    <row r="60" spans="1:23" ht="12.75">
      <c r="A60" s="74"/>
      <c r="B60" s="73"/>
      <c r="C60" s="73"/>
      <c r="D60" s="73"/>
      <c r="E60" s="73"/>
      <c r="F60" s="73"/>
      <c r="G60" s="73"/>
      <c r="H60" s="73"/>
      <c r="I60" s="73"/>
    </row>
    <row r="63" spans="1:23">
      <c r="A63" s="272" t="s">
        <v>507</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008FC8"/>
  </sheetPr>
  <dimension ref="A1:U213"/>
  <sheetViews>
    <sheetView showGridLines="0" view="pageBreakPreview" zoomScale="115" zoomScaleNormal="100" zoomScaleSheetLayoutView="115" zoomScalePageLayoutView="130" workbookViewId="0"/>
  </sheetViews>
  <sheetFormatPr defaultColWidth="9.33203125" defaultRowHeight="11.25"/>
  <cols>
    <col min="3" max="3" width="28.5" customWidth="1"/>
    <col min="4" max="5" width="12" customWidth="1"/>
    <col min="6" max="6" width="12.33203125" customWidth="1"/>
    <col min="8" max="9" width="9.33203125" customWidth="1"/>
    <col min="10" max="10" width="9.33203125" style="25"/>
    <col min="11" max="11" width="9.33203125" style="446"/>
    <col min="12" max="12" width="3.1640625" style="447" bestFit="1" customWidth="1"/>
    <col min="13" max="21" width="9.33203125" style="446"/>
  </cols>
  <sheetData>
    <row r="1" spans="1:15" ht="11.25" customHeight="1"/>
    <row r="2" spans="1:15" ht="11.25" customHeight="1">
      <c r="A2" s="17"/>
      <c r="B2" s="17"/>
      <c r="C2" s="17"/>
      <c r="D2" s="17"/>
      <c r="E2" s="73"/>
      <c r="F2" s="73"/>
      <c r="G2" s="73"/>
    </row>
    <row r="3" spans="1:15" ht="17.25" customHeight="1">
      <c r="A3" s="924" t="s">
        <v>442</v>
      </c>
      <c r="B3" s="924"/>
      <c r="C3" s="924"/>
      <c r="D3" s="924"/>
      <c r="E3" s="924"/>
      <c r="F3" s="924"/>
      <c r="G3" s="924"/>
      <c r="H3" s="36"/>
      <c r="I3" s="36"/>
      <c r="K3" s="446" t="s">
        <v>273</v>
      </c>
      <c r="M3" s="446" t="s">
        <v>274</v>
      </c>
      <c r="N3" s="446" t="s">
        <v>275</v>
      </c>
      <c r="O3" s="446" t="s">
        <v>276</v>
      </c>
    </row>
    <row r="4" spans="1:15" ht="11.25" customHeight="1">
      <c r="A4" s="74"/>
      <c r="B4" s="73"/>
      <c r="C4" s="73"/>
      <c r="D4" s="73"/>
      <c r="E4" s="73"/>
      <c r="F4" s="73"/>
      <c r="G4" s="73"/>
      <c r="H4" s="36"/>
      <c r="I4" s="36"/>
      <c r="J4" s="25">
        <v>2016</v>
      </c>
      <c r="K4" s="446">
        <v>1</v>
      </c>
      <c r="L4" s="447">
        <v>1</v>
      </c>
      <c r="M4" s="448">
        <v>40.61</v>
      </c>
      <c r="N4" s="448">
        <v>96.75</v>
      </c>
      <c r="O4" s="448">
        <v>16.37</v>
      </c>
    </row>
    <row r="5" spans="1:15" ht="11.25" customHeight="1">
      <c r="A5" s="74"/>
      <c r="B5" s="73"/>
      <c r="C5" s="73"/>
      <c r="D5" s="73"/>
      <c r="E5" s="73"/>
      <c r="F5" s="73"/>
      <c r="G5" s="73"/>
      <c r="H5" s="12"/>
      <c r="I5" s="12"/>
      <c r="L5" s="447">
        <v>2</v>
      </c>
      <c r="M5" s="448">
        <v>29.82</v>
      </c>
      <c r="N5" s="448">
        <v>76.510000000000005</v>
      </c>
      <c r="O5" s="448">
        <v>15.9</v>
      </c>
    </row>
    <row r="6" spans="1:15" ht="29.25" customHeight="1">
      <c r="A6" s="136"/>
      <c r="C6" s="525" t="s">
        <v>147</v>
      </c>
      <c r="D6" s="528" t="str">
        <f>UPPER('1. Resumen'!Q4)&amp;"
 "&amp;'1. Resumen'!Q5</f>
        <v>DICIEMBRE
 2019</v>
      </c>
      <c r="E6" s="529" t="str">
        <f>UPPER('1. Resumen'!Q4)&amp;"
 "&amp;'1. Resumen'!Q5-1</f>
        <v>DICIEMBRE
 2018</v>
      </c>
      <c r="F6" s="530" t="s">
        <v>543</v>
      </c>
      <c r="G6" s="138"/>
      <c r="H6" s="24"/>
      <c r="I6" s="12"/>
      <c r="L6" s="447">
        <v>3</v>
      </c>
      <c r="M6" s="448">
        <v>27.06</v>
      </c>
      <c r="N6" s="448">
        <v>80.096000000000004</v>
      </c>
      <c r="O6" s="448">
        <v>29.21</v>
      </c>
    </row>
    <row r="7" spans="1:15" ht="11.25" customHeight="1">
      <c r="A7" s="174"/>
      <c r="C7" s="594" t="s">
        <v>148</v>
      </c>
      <c r="D7" s="595">
        <v>47.837709672989348</v>
      </c>
      <c r="E7" s="841">
        <v>65.251000000000005</v>
      </c>
      <c r="F7" s="596">
        <f>IF(E7=0,"",(D7-E7)/E7)</f>
        <v>-0.26686625993487695</v>
      </c>
      <c r="G7" s="138"/>
      <c r="H7" s="25"/>
      <c r="I7" s="3"/>
      <c r="K7" s="446">
        <v>4</v>
      </c>
      <c r="L7" s="447">
        <v>4</v>
      </c>
      <c r="M7" s="448">
        <v>27.93</v>
      </c>
      <c r="N7" s="448">
        <v>77.09</v>
      </c>
      <c r="O7" s="448">
        <v>20.7</v>
      </c>
    </row>
    <row r="8" spans="1:15" ht="11.25" customHeight="1">
      <c r="A8" s="174"/>
      <c r="C8" s="597" t="s">
        <v>154</v>
      </c>
      <c r="D8" s="598">
        <v>32.43454823955409</v>
      </c>
      <c r="E8" s="598">
        <v>12.93</v>
      </c>
      <c r="F8" s="599">
        <f t="shared" ref="F8:F30" si="0">IF(E8=0,"",(D8-E8)/E8)</f>
        <v>1.5084724083181817</v>
      </c>
      <c r="G8" s="138"/>
      <c r="H8" s="23"/>
      <c r="I8" s="3"/>
      <c r="L8" s="447">
        <v>5</v>
      </c>
      <c r="M8" s="448">
        <v>49.585999999999999</v>
      </c>
      <c r="N8" s="448">
        <v>140.12</v>
      </c>
      <c r="O8" s="448">
        <v>74.02</v>
      </c>
    </row>
    <row r="9" spans="1:15" ht="11.25" customHeight="1">
      <c r="A9" s="174"/>
      <c r="C9" s="600" t="s">
        <v>155</v>
      </c>
      <c r="D9" s="601">
        <v>158.68548411707695</v>
      </c>
      <c r="E9" s="601">
        <v>84.88</v>
      </c>
      <c r="F9" s="602">
        <f t="shared" si="0"/>
        <v>0.86952738120967199</v>
      </c>
      <c r="G9" s="138"/>
      <c r="H9" s="25"/>
      <c r="I9" s="3"/>
      <c r="L9" s="447">
        <v>6</v>
      </c>
      <c r="M9" s="448">
        <v>57</v>
      </c>
      <c r="N9" s="448">
        <v>144.66999999999999</v>
      </c>
      <c r="O9" s="448">
        <v>78.08</v>
      </c>
    </row>
    <row r="10" spans="1:15" ht="11.25" customHeight="1">
      <c r="A10" s="174"/>
      <c r="C10" s="597" t="s">
        <v>162</v>
      </c>
      <c r="D10" s="598">
        <v>164.64241975353568</v>
      </c>
      <c r="E10" s="598">
        <v>77.33</v>
      </c>
      <c r="F10" s="599">
        <f t="shared" si="0"/>
        <v>1.1290885782171949</v>
      </c>
      <c r="G10" s="138"/>
      <c r="H10" s="25"/>
      <c r="I10" s="3"/>
      <c r="L10" s="447">
        <v>7</v>
      </c>
      <c r="M10" s="448">
        <v>52.31</v>
      </c>
      <c r="N10" s="448">
        <v>117.32</v>
      </c>
      <c r="O10" s="448">
        <v>41.34</v>
      </c>
    </row>
    <row r="11" spans="1:15" ht="11.25" customHeight="1">
      <c r="A11" s="174"/>
      <c r="C11" s="600" t="s">
        <v>163</v>
      </c>
      <c r="D11" s="601">
        <v>59.273096638341002</v>
      </c>
      <c r="E11" s="601">
        <v>22.77</v>
      </c>
      <c r="F11" s="602">
        <f t="shared" si="0"/>
        <v>1.6031223820088276</v>
      </c>
      <c r="G11" s="138"/>
      <c r="H11" s="25"/>
      <c r="I11" s="3"/>
      <c r="K11" s="446">
        <v>8</v>
      </c>
      <c r="L11" s="447">
        <v>8</v>
      </c>
      <c r="M11" s="448">
        <v>57.96</v>
      </c>
      <c r="N11" s="448">
        <v>140.31</v>
      </c>
      <c r="O11" s="448">
        <v>96.52</v>
      </c>
    </row>
    <row r="12" spans="1:15" ht="11.25" customHeight="1">
      <c r="A12" s="174"/>
      <c r="C12" s="597" t="s">
        <v>165</v>
      </c>
      <c r="D12" s="598">
        <v>34.915967879756771</v>
      </c>
      <c r="E12" s="598">
        <v>11.06</v>
      </c>
      <c r="F12" s="599">
        <f t="shared" si="0"/>
        <v>2.1569591211353316</v>
      </c>
      <c r="G12" s="138"/>
      <c r="H12" s="25"/>
      <c r="I12" s="3"/>
      <c r="L12" s="447">
        <v>9</v>
      </c>
      <c r="M12" s="448">
        <v>100.51885660000001</v>
      </c>
      <c r="N12" s="448">
        <v>268.94750210000001</v>
      </c>
      <c r="O12" s="448">
        <v>150.104332</v>
      </c>
    </row>
    <row r="13" spans="1:15" ht="11.25" customHeight="1">
      <c r="A13" s="174"/>
      <c r="C13" s="600" t="s">
        <v>153</v>
      </c>
      <c r="D13" s="601">
        <v>65.879861111111111</v>
      </c>
      <c r="E13" s="601">
        <v>11.351478494623656</v>
      </c>
      <c r="F13" s="602">
        <f t="shared" si="0"/>
        <v>4.8036370453693289</v>
      </c>
      <c r="G13" s="138"/>
      <c r="H13" s="23"/>
      <c r="I13" s="3"/>
      <c r="L13" s="447">
        <v>10</v>
      </c>
      <c r="M13" s="448">
        <v>75.15657152448378</v>
      </c>
      <c r="N13" s="448">
        <v>243.71150207519463</v>
      </c>
      <c r="O13" s="448">
        <v>181.79733530680286</v>
      </c>
    </row>
    <row r="14" spans="1:15" ht="11.25" customHeight="1">
      <c r="A14" s="174"/>
      <c r="C14" s="597" t="s">
        <v>264</v>
      </c>
      <c r="D14" s="598">
        <v>119.69276477444519</v>
      </c>
      <c r="E14" s="598">
        <v>34.630000000000003</v>
      </c>
      <c r="F14" s="599">
        <f t="shared" si="0"/>
        <v>2.4563316423460924</v>
      </c>
      <c r="G14" s="138"/>
      <c r="H14" s="25"/>
      <c r="I14" s="3"/>
      <c r="L14" s="447">
        <v>11</v>
      </c>
      <c r="M14" s="448">
        <v>52.24</v>
      </c>
      <c r="N14" s="448">
        <v>154.21</v>
      </c>
      <c r="O14" s="448">
        <v>79.12</v>
      </c>
    </row>
    <row r="15" spans="1:15" ht="11.25" customHeight="1">
      <c r="A15" s="174"/>
      <c r="C15" s="600" t="s">
        <v>265</v>
      </c>
      <c r="D15" s="601">
        <v>209.02903206117654</v>
      </c>
      <c r="E15" s="601">
        <v>121.17</v>
      </c>
      <c r="F15" s="602">
        <f t="shared" si="0"/>
        <v>0.72508898292627333</v>
      </c>
      <c r="G15" s="138"/>
      <c r="H15" s="25"/>
      <c r="I15" s="3"/>
      <c r="K15" s="446">
        <v>12</v>
      </c>
      <c r="L15" s="447">
        <v>12</v>
      </c>
      <c r="M15" s="448">
        <v>44.628571101597331</v>
      </c>
      <c r="N15" s="448">
        <v>116.62271445138057</v>
      </c>
      <c r="O15" s="448">
        <v>41.373285293579045</v>
      </c>
    </row>
    <row r="16" spans="1:15" ht="11.25" customHeight="1">
      <c r="A16" s="174"/>
      <c r="C16" s="597" t="s">
        <v>160</v>
      </c>
      <c r="D16" s="598">
        <v>70.645129480669524</v>
      </c>
      <c r="E16" s="598">
        <v>28.3</v>
      </c>
      <c r="F16" s="599">
        <f t="shared" si="0"/>
        <v>1.4962943279388525</v>
      </c>
      <c r="G16" s="138"/>
      <c r="H16" s="25"/>
      <c r="I16" s="3"/>
      <c r="L16" s="447">
        <v>13</v>
      </c>
      <c r="M16" s="448">
        <v>42.599998474121001</v>
      </c>
      <c r="N16" s="448">
        <v>120.78800201416</v>
      </c>
      <c r="O16" s="448">
        <v>93.665000915527301</v>
      </c>
    </row>
    <row r="17" spans="1:17" ht="11.25" customHeight="1">
      <c r="A17" s="174"/>
      <c r="C17" s="600" t="s">
        <v>164</v>
      </c>
      <c r="D17" s="601">
        <v>18.432387136643896</v>
      </c>
      <c r="E17" s="601">
        <v>8.77</v>
      </c>
      <c r="F17" s="602">
        <f t="shared" si="0"/>
        <v>1.10175451957171</v>
      </c>
      <c r="G17" s="138"/>
      <c r="H17" s="25"/>
      <c r="I17" s="3"/>
      <c r="L17" s="447">
        <v>14</v>
      </c>
      <c r="M17" s="448">
        <v>49.743000030517535</v>
      </c>
      <c r="N17" s="448">
        <v>125.66285814557708</v>
      </c>
      <c r="O17" s="448">
        <v>131.74585723876913</v>
      </c>
    </row>
    <row r="18" spans="1:17" ht="11.25" customHeight="1">
      <c r="A18" s="174"/>
      <c r="C18" s="597" t="s">
        <v>266</v>
      </c>
      <c r="D18" s="598">
        <v>12.691935785355057</v>
      </c>
      <c r="E18" s="598">
        <v>12.41</v>
      </c>
      <c r="F18" s="599">
        <f t="shared" si="0"/>
        <v>2.2718435564468682E-2</v>
      </c>
      <c r="G18" s="138"/>
      <c r="H18" s="25"/>
      <c r="I18" s="3"/>
      <c r="L18" s="447">
        <v>15</v>
      </c>
      <c r="M18" s="448">
        <v>54.414285387311615</v>
      </c>
      <c r="N18" s="448">
        <v>127.68985639299636</v>
      </c>
      <c r="O18" s="448">
        <v>71.706143515450577</v>
      </c>
    </row>
    <row r="19" spans="1:17" ht="11.25" customHeight="1">
      <c r="A19" s="174"/>
      <c r="C19" s="600" t="s">
        <v>267</v>
      </c>
      <c r="D19" s="601">
        <v>34.167053682795704</v>
      </c>
      <c r="E19" s="601">
        <v>13.618960591397862</v>
      </c>
      <c r="F19" s="602">
        <f t="shared" si="0"/>
        <v>1.508785707506682</v>
      </c>
      <c r="G19" s="138"/>
      <c r="H19" s="25"/>
      <c r="I19" s="3"/>
      <c r="K19" s="446">
        <v>16</v>
      </c>
      <c r="L19" s="447">
        <v>16</v>
      </c>
      <c r="M19" s="448">
        <v>47.73</v>
      </c>
      <c r="N19" s="448">
        <v>97.4</v>
      </c>
      <c r="O19" s="448">
        <v>53.49</v>
      </c>
      <c r="Q19" s="797"/>
    </row>
    <row r="20" spans="1:17" ht="11.25" customHeight="1">
      <c r="A20" s="174"/>
      <c r="C20" s="597" t="s">
        <v>268</v>
      </c>
      <c r="D20" s="598">
        <v>1.419516132723897</v>
      </c>
      <c r="E20" s="598">
        <v>1.3</v>
      </c>
      <c r="F20" s="599">
        <f t="shared" si="0"/>
        <v>9.1935486710689948E-2</v>
      </c>
      <c r="G20" s="138"/>
      <c r="H20" s="25"/>
      <c r="I20" s="3"/>
      <c r="L20" s="447">
        <v>17</v>
      </c>
      <c r="M20" s="448">
        <v>42.142857687813873</v>
      </c>
      <c r="N20" s="448">
        <v>85.487143380301248</v>
      </c>
      <c r="O20" s="448">
        <v>51.424428122384178</v>
      </c>
    </row>
    <row r="21" spans="1:17" ht="11.25" customHeight="1">
      <c r="A21" s="174"/>
      <c r="C21" s="600" t="s">
        <v>151</v>
      </c>
      <c r="D21" s="601">
        <v>303.10399947627855</v>
      </c>
      <c r="E21" s="601">
        <v>70.17</v>
      </c>
      <c r="F21" s="602">
        <f t="shared" si="0"/>
        <v>3.3195667589607885</v>
      </c>
      <c r="G21" s="138"/>
      <c r="H21" s="25"/>
      <c r="I21" s="3"/>
      <c r="L21" s="447">
        <v>18</v>
      </c>
      <c r="M21" s="448">
        <v>27.452428545270582</v>
      </c>
      <c r="N21" s="448">
        <v>62.369998931884716</v>
      </c>
      <c r="O21" s="448">
        <v>34.353571755545424</v>
      </c>
    </row>
    <row r="22" spans="1:17" ht="11.25" customHeight="1">
      <c r="A22" s="174"/>
      <c r="C22" s="597" t="s">
        <v>149</v>
      </c>
      <c r="D22" s="598">
        <v>0</v>
      </c>
      <c r="E22" s="598">
        <v>0</v>
      </c>
      <c r="F22" s="599" t="str">
        <f t="shared" si="0"/>
        <v/>
      </c>
      <c r="G22" s="138"/>
      <c r="H22" s="25"/>
      <c r="I22" s="3"/>
      <c r="L22" s="447">
        <v>19</v>
      </c>
      <c r="M22" s="448">
        <v>21.857142584664455</v>
      </c>
      <c r="N22" s="448">
        <v>58.684285300118525</v>
      </c>
      <c r="O22" s="448">
        <v>29.207143238612552</v>
      </c>
    </row>
    <row r="23" spans="1:17" ht="11.25" customHeight="1">
      <c r="A23" s="174"/>
      <c r="C23" s="600" t="s">
        <v>150</v>
      </c>
      <c r="D23" s="601">
        <v>12.887096531929489</v>
      </c>
      <c r="E23" s="601">
        <v>7.2050000000000001</v>
      </c>
      <c r="F23" s="602">
        <f t="shared" si="0"/>
        <v>0.78863241248153904</v>
      </c>
      <c r="G23" s="138"/>
      <c r="H23" s="25"/>
      <c r="I23" s="3"/>
      <c r="K23" s="446">
        <v>20</v>
      </c>
      <c r="L23" s="447">
        <v>20</v>
      </c>
      <c r="M23" s="448">
        <v>19.5</v>
      </c>
      <c r="N23" s="448">
        <v>54</v>
      </c>
      <c r="O23" s="448">
        <v>22.1</v>
      </c>
    </row>
    <row r="24" spans="1:17" ht="11.25" customHeight="1">
      <c r="A24" s="174"/>
      <c r="C24" s="597" t="s">
        <v>166</v>
      </c>
      <c r="D24" s="598">
        <v>36.42954807896762</v>
      </c>
      <c r="E24" s="598">
        <v>32.81</v>
      </c>
      <c r="F24" s="599">
        <f t="shared" si="0"/>
        <v>0.11031844190696793</v>
      </c>
      <c r="G24" s="138"/>
      <c r="H24" s="26"/>
      <c r="I24" s="3"/>
      <c r="L24" s="447">
        <v>21</v>
      </c>
      <c r="M24" s="448">
        <v>19.485713958740185</v>
      </c>
      <c r="N24" s="448">
        <v>50.756999969482365</v>
      </c>
      <c r="O24" s="448">
        <v>17.473428726196214</v>
      </c>
    </row>
    <row r="25" spans="1:17" ht="11.25" customHeight="1">
      <c r="A25" s="138"/>
      <c r="C25" s="600" t="s">
        <v>156</v>
      </c>
      <c r="D25" s="601">
        <v>5.7193548929306649E-2</v>
      </c>
      <c r="E25" s="601">
        <v>0</v>
      </c>
      <c r="F25" s="602" t="str">
        <f t="shared" si="0"/>
        <v/>
      </c>
      <c r="G25" s="158"/>
      <c r="H25" s="25"/>
      <c r="I25" s="3"/>
      <c r="L25" s="447">
        <v>22</v>
      </c>
      <c r="M25" s="448">
        <v>16.329999999999998</v>
      </c>
      <c r="N25" s="448">
        <v>46.59</v>
      </c>
      <c r="O25" s="448">
        <v>17.04</v>
      </c>
    </row>
    <row r="26" spans="1:17" ht="11.25" customHeight="1">
      <c r="A26" s="175"/>
      <c r="C26" s="597" t="s">
        <v>157</v>
      </c>
      <c r="D26" s="598">
        <v>1.9825161310934196</v>
      </c>
      <c r="E26" s="598">
        <v>5.3</v>
      </c>
      <c r="F26" s="599">
        <f t="shared" si="0"/>
        <v>-0.62594035262388303</v>
      </c>
      <c r="G26" s="138"/>
      <c r="H26" s="23"/>
      <c r="I26" s="3"/>
      <c r="L26" s="447">
        <v>23</v>
      </c>
      <c r="M26" s="448">
        <v>15.18</v>
      </c>
      <c r="N26" s="448">
        <v>40.29</v>
      </c>
      <c r="O26" s="448">
        <v>22.12</v>
      </c>
    </row>
    <row r="27" spans="1:17" ht="11.25" customHeight="1">
      <c r="A27" s="138"/>
      <c r="C27" s="600" t="s">
        <v>158</v>
      </c>
      <c r="D27" s="601">
        <v>5.2419354838709679E-2</v>
      </c>
      <c r="E27" s="601">
        <v>0.06</v>
      </c>
      <c r="F27" s="602">
        <f t="shared" si="0"/>
        <v>-0.12634408602150532</v>
      </c>
      <c r="G27" s="138"/>
      <c r="H27" s="23"/>
      <c r="I27" s="3"/>
      <c r="K27" s="446">
        <v>24</v>
      </c>
      <c r="L27" s="447">
        <v>24</v>
      </c>
      <c r="M27" s="448">
        <v>15.1</v>
      </c>
      <c r="N27" s="448">
        <v>35.630000000000003</v>
      </c>
      <c r="O27" s="448">
        <v>13.87</v>
      </c>
    </row>
    <row r="28" spans="1:17" ht="11.25" customHeight="1">
      <c r="A28" s="138"/>
      <c r="C28" s="597" t="s">
        <v>159</v>
      </c>
      <c r="D28" s="598">
        <v>1.4838709677419355</v>
      </c>
      <c r="E28" s="598">
        <v>0</v>
      </c>
      <c r="F28" s="599" t="str">
        <f t="shared" si="0"/>
        <v/>
      </c>
      <c r="G28" s="138"/>
      <c r="H28" s="23"/>
      <c r="I28" s="3"/>
      <c r="L28" s="447">
        <v>25</v>
      </c>
      <c r="M28" s="448">
        <v>18.016999930000001</v>
      </c>
      <c r="N28" s="448">
        <v>34.608428410000002</v>
      </c>
      <c r="O28" s="448">
        <v>10.78285721</v>
      </c>
    </row>
    <row r="29" spans="1:17" ht="11.25" customHeight="1">
      <c r="A29" s="158"/>
      <c r="C29" s="600" t="s">
        <v>161</v>
      </c>
      <c r="D29" s="601">
        <v>2.2260619978750906</v>
      </c>
      <c r="E29" s="601">
        <v>0.18099999999999999</v>
      </c>
      <c r="F29" s="602">
        <f t="shared" si="0"/>
        <v>11.298685071133097</v>
      </c>
      <c r="G29" s="176"/>
      <c r="H29" s="23"/>
      <c r="I29" s="3"/>
      <c r="L29" s="447">
        <v>26</v>
      </c>
      <c r="M29" s="448">
        <v>16.489714209999999</v>
      </c>
      <c r="N29" s="448">
        <v>34.074285510000003</v>
      </c>
      <c r="O29" s="448">
        <v>9.5958572120000003</v>
      </c>
    </row>
    <row r="30" spans="1:17" ht="11.25" customHeight="1">
      <c r="A30" s="175"/>
      <c r="C30" s="603" t="s">
        <v>152</v>
      </c>
      <c r="D30" s="604">
        <v>8.884408602150538</v>
      </c>
      <c r="E30" s="604">
        <v>4.225806451612903</v>
      </c>
      <c r="F30" s="605">
        <f t="shared" si="0"/>
        <v>1.1024173027989823</v>
      </c>
      <c r="G30" s="138"/>
      <c r="H30" s="25"/>
      <c r="I30" s="3"/>
      <c r="L30" s="447">
        <v>27</v>
      </c>
      <c r="M30" s="448">
        <v>16.199999810000001</v>
      </c>
      <c r="N30" s="448">
        <v>29.599571770000001</v>
      </c>
      <c r="O30" s="448">
        <v>7.8892858370000001</v>
      </c>
    </row>
    <row r="31" spans="1:17" ht="11.25" customHeight="1">
      <c r="A31" s="137"/>
      <c r="C31" s="273" t="str">
        <f>"Cuadro N°10: Promedio de caudales en "&amp;'1. Resumen'!Q4</f>
        <v>Cuadro N°10: Promedio de caudales en diciembre</v>
      </c>
      <c r="D31" s="137"/>
      <c r="E31" s="137"/>
      <c r="F31" s="137"/>
      <c r="G31" s="137"/>
      <c r="H31" s="25"/>
      <c r="I31" s="6"/>
      <c r="K31" s="446">
        <v>28</v>
      </c>
      <c r="L31" s="447">
        <v>28</v>
      </c>
      <c r="M31" s="448">
        <v>12.016285760000001</v>
      </c>
      <c r="N31" s="448">
        <v>29.3955713</v>
      </c>
      <c r="O31" s="448">
        <v>7.2334286140000001</v>
      </c>
    </row>
    <row r="32" spans="1:17" ht="11.25" customHeight="1">
      <c r="A32" s="137"/>
      <c r="B32" s="137"/>
      <c r="C32" s="137"/>
      <c r="D32" s="137"/>
      <c r="E32" s="137"/>
      <c r="F32" s="137"/>
      <c r="G32" s="137"/>
      <c r="H32" s="25"/>
      <c r="I32" s="6"/>
      <c r="L32" s="447">
        <v>29</v>
      </c>
      <c r="M32" s="448">
        <v>10.423571450000001</v>
      </c>
      <c r="N32" s="448">
        <v>32.468857079999999</v>
      </c>
      <c r="O32" s="448">
        <v>6.729428564</v>
      </c>
    </row>
    <row r="33" spans="1:15" ht="11.25" customHeight="1">
      <c r="A33" s="137"/>
      <c r="B33" s="137"/>
      <c r="C33" s="137"/>
      <c r="D33" s="137"/>
      <c r="E33" s="137"/>
      <c r="F33" s="137"/>
      <c r="G33" s="137"/>
      <c r="H33" s="25"/>
      <c r="I33" s="6"/>
      <c r="L33" s="447">
        <v>30</v>
      </c>
      <c r="M33" s="448">
        <v>10.043285640000001</v>
      </c>
      <c r="N33" s="448">
        <v>32.112285890000003</v>
      </c>
      <c r="O33" s="448">
        <v>5.6338571819999999</v>
      </c>
    </row>
    <row r="34" spans="1:15" ht="11.25" customHeight="1">
      <c r="A34" s="137"/>
      <c r="B34" s="137"/>
      <c r="C34" s="137"/>
      <c r="D34" s="137"/>
      <c r="E34" s="137"/>
      <c r="F34" s="137"/>
      <c r="G34" s="137"/>
      <c r="H34" s="25"/>
      <c r="I34" s="6"/>
      <c r="L34" s="447">
        <v>31</v>
      </c>
      <c r="M34" s="448">
        <v>10.086428642272944</v>
      </c>
      <c r="N34" s="448">
        <v>29.132714407784558</v>
      </c>
      <c r="O34" s="448">
        <v>5.181999887738904</v>
      </c>
    </row>
    <row r="35" spans="1:15" ht="17.25" customHeight="1">
      <c r="A35" s="924" t="s">
        <v>443</v>
      </c>
      <c r="B35" s="924"/>
      <c r="C35" s="924"/>
      <c r="D35" s="924"/>
      <c r="E35" s="924"/>
      <c r="F35" s="924"/>
      <c r="G35" s="924"/>
      <c r="H35" s="25"/>
      <c r="I35" s="6"/>
      <c r="K35" s="446">
        <v>32</v>
      </c>
      <c r="L35" s="447">
        <v>32</v>
      </c>
      <c r="M35" s="448">
        <v>12.08228561</v>
      </c>
      <c r="N35" s="448">
        <v>34.150143489999998</v>
      </c>
      <c r="O35" s="448">
        <v>4.8032856669999999</v>
      </c>
    </row>
    <row r="36" spans="1:15" ht="11.25" customHeight="1">
      <c r="A36" s="137"/>
      <c r="B36" s="137"/>
      <c r="C36" s="137"/>
      <c r="D36" s="137"/>
      <c r="E36" s="137"/>
      <c r="F36" s="137"/>
      <c r="G36" s="137"/>
      <c r="H36" s="25"/>
      <c r="I36" s="6"/>
      <c r="L36" s="447">
        <v>33</v>
      </c>
      <c r="M36" s="448">
        <v>11.874000004359614</v>
      </c>
      <c r="N36" s="448">
        <v>35.225571223667643</v>
      </c>
      <c r="O36" s="448">
        <v>4.3821428843906904</v>
      </c>
    </row>
    <row r="37" spans="1:15" ht="11.25" customHeight="1">
      <c r="A37" s="136"/>
      <c r="B37" s="138"/>
      <c r="C37" s="138"/>
      <c r="D37" s="138"/>
      <c r="E37" s="138"/>
      <c r="F37" s="138"/>
      <c r="G37" s="138"/>
      <c r="H37" s="26"/>
      <c r="I37" s="6"/>
      <c r="L37" s="447">
        <v>34</v>
      </c>
      <c r="M37" s="448">
        <v>10.842857090000001</v>
      </c>
      <c r="N37" s="448">
        <v>35.168570930000001</v>
      </c>
      <c r="O37" s="448">
        <v>13.837000059999999</v>
      </c>
    </row>
    <row r="38" spans="1:15" ht="11.25" customHeight="1">
      <c r="A38" s="74"/>
      <c r="B38" s="73"/>
      <c r="C38" s="73"/>
      <c r="D38" s="73"/>
      <c r="E38" s="73"/>
      <c r="F38" s="73"/>
      <c r="G38" s="73"/>
      <c r="H38" s="3"/>
      <c r="I38" s="6"/>
      <c r="L38" s="447">
        <v>35</v>
      </c>
      <c r="M38" s="448">
        <v>10.48142842</v>
      </c>
      <c r="N38" s="448">
        <v>37.824428560000001</v>
      </c>
      <c r="O38" s="448">
        <v>3.922857182</v>
      </c>
    </row>
    <row r="39" spans="1:15" ht="11.25" customHeight="1">
      <c r="A39" s="74"/>
      <c r="B39" s="73"/>
      <c r="C39" s="73"/>
      <c r="D39" s="73"/>
      <c r="E39" s="73"/>
      <c r="F39" s="73"/>
      <c r="G39" s="73"/>
      <c r="H39" s="3"/>
      <c r="I39" s="10"/>
      <c r="K39" s="446">
        <v>36</v>
      </c>
      <c r="L39" s="447">
        <v>36</v>
      </c>
      <c r="M39" s="448">
        <v>11.85</v>
      </c>
      <c r="N39" s="448">
        <v>39.78</v>
      </c>
      <c r="O39" s="448">
        <v>4.9800000000000004</v>
      </c>
    </row>
    <row r="40" spans="1:15" ht="11.25" customHeight="1">
      <c r="A40" s="74"/>
      <c r="B40" s="73"/>
      <c r="C40" s="73"/>
      <c r="D40" s="73"/>
      <c r="E40" s="73"/>
      <c r="F40" s="73"/>
      <c r="G40" s="73"/>
      <c r="H40" s="3"/>
      <c r="I40" s="10"/>
      <c r="L40" s="447">
        <v>37</v>
      </c>
      <c r="M40" s="448">
        <v>12.08</v>
      </c>
      <c r="N40" s="448">
        <v>44.25</v>
      </c>
      <c r="O40" s="448">
        <v>4.92</v>
      </c>
    </row>
    <row r="41" spans="1:15" ht="11.25" customHeight="1">
      <c r="A41" s="74"/>
      <c r="B41" s="73"/>
      <c r="C41" s="73"/>
      <c r="D41" s="73"/>
      <c r="E41" s="73"/>
      <c r="F41" s="73"/>
      <c r="G41" s="73"/>
      <c r="H41" s="3"/>
      <c r="I41" s="7"/>
      <c r="L41" s="447">
        <v>38</v>
      </c>
      <c r="M41" s="448">
        <v>11.88371427</v>
      </c>
      <c r="N41" s="448">
        <v>41.311858039999997</v>
      </c>
      <c r="O41" s="448">
        <v>4.6447142870000002</v>
      </c>
    </row>
    <row r="42" spans="1:15" ht="11.25" customHeight="1">
      <c r="A42" s="74"/>
      <c r="B42" s="73"/>
      <c r="C42" s="73"/>
      <c r="D42" s="73"/>
      <c r="E42" s="73"/>
      <c r="F42" s="73"/>
      <c r="G42" s="73"/>
      <c r="H42" s="3"/>
      <c r="I42" s="7"/>
      <c r="K42" s="446">
        <v>39</v>
      </c>
      <c r="L42" s="447">
        <v>39</v>
      </c>
      <c r="M42" s="448">
        <v>13.06</v>
      </c>
      <c r="N42" s="448">
        <v>41.13</v>
      </c>
      <c r="O42" s="448">
        <v>4.2699999999999996</v>
      </c>
    </row>
    <row r="43" spans="1:15" ht="11.25" customHeight="1">
      <c r="A43" s="74"/>
      <c r="B43" s="73"/>
      <c r="C43" s="73"/>
      <c r="D43" s="73"/>
      <c r="E43" s="73"/>
      <c r="F43" s="73"/>
      <c r="G43" s="73"/>
      <c r="H43" s="3"/>
      <c r="I43" s="7"/>
      <c r="L43" s="447">
        <v>40</v>
      </c>
      <c r="M43" s="448">
        <v>15.945571764285715</v>
      </c>
      <c r="N43" s="448">
        <v>46.466000694285704</v>
      </c>
      <c r="O43" s="448">
        <v>5.3634285927142864</v>
      </c>
    </row>
    <row r="44" spans="1:15" ht="11.25" customHeight="1">
      <c r="A44" s="74"/>
      <c r="B44" s="73"/>
      <c r="C44" s="73"/>
      <c r="D44" s="73"/>
      <c r="E44" s="73"/>
      <c r="F44" s="73"/>
      <c r="G44" s="73"/>
      <c r="H44" s="6"/>
      <c r="I44" s="10"/>
      <c r="L44" s="447">
        <v>41</v>
      </c>
      <c r="M44" s="448">
        <v>15.848856789725129</v>
      </c>
      <c r="N44" s="448">
        <v>37.273714882986837</v>
      </c>
      <c r="O44" s="448">
        <v>6.9682856968470812</v>
      </c>
    </row>
    <row r="45" spans="1:15" ht="11.25" customHeight="1">
      <c r="A45" s="74"/>
      <c r="B45" s="73"/>
      <c r="C45" s="73"/>
      <c r="D45" s="73"/>
      <c r="E45" s="73"/>
      <c r="F45" s="73"/>
      <c r="G45" s="73"/>
      <c r="H45" s="3"/>
      <c r="I45" s="10"/>
      <c r="L45" s="447">
        <v>42</v>
      </c>
      <c r="M45" s="448">
        <v>15.549142972857144</v>
      </c>
      <c r="N45" s="448">
        <v>48.572000228571433</v>
      </c>
      <c r="O45" s="448">
        <v>11.100428648285714</v>
      </c>
    </row>
    <row r="46" spans="1:15" ht="11.25" customHeight="1">
      <c r="A46" s="74"/>
      <c r="B46" s="73"/>
      <c r="C46" s="73"/>
      <c r="D46" s="73"/>
      <c r="E46" s="73"/>
      <c r="F46" s="73"/>
      <c r="G46" s="73"/>
      <c r="H46" s="3"/>
      <c r="I46" s="10"/>
      <c r="K46" s="446">
        <v>43</v>
      </c>
      <c r="L46" s="447">
        <v>43</v>
      </c>
      <c r="M46" s="448">
        <v>13.17</v>
      </c>
      <c r="N46" s="448">
        <v>35.32</v>
      </c>
      <c r="O46" s="448">
        <v>6.01</v>
      </c>
    </row>
    <row r="47" spans="1:15" ht="11.25" customHeight="1">
      <c r="A47" s="74"/>
      <c r="B47" s="73"/>
      <c r="C47" s="73"/>
      <c r="D47" s="73"/>
      <c r="E47" s="73"/>
      <c r="F47" s="73"/>
      <c r="G47" s="73"/>
      <c r="H47" s="11"/>
      <c r="I47" s="11"/>
      <c r="L47" s="447">
        <v>44</v>
      </c>
      <c r="M47" s="448">
        <v>13.18</v>
      </c>
      <c r="N47" s="448">
        <v>36.83</v>
      </c>
      <c r="O47" s="448">
        <v>4.57</v>
      </c>
    </row>
    <row r="48" spans="1:15" ht="11.25" customHeight="1">
      <c r="A48" s="74"/>
      <c r="B48" s="73"/>
      <c r="C48" s="73"/>
      <c r="D48" s="73"/>
      <c r="E48" s="73"/>
      <c r="F48" s="73"/>
      <c r="G48" s="73"/>
      <c r="H48" s="11"/>
      <c r="I48" s="11"/>
      <c r="L48" s="447">
        <v>45</v>
      </c>
      <c r="M48" s="448">
        <v>13.49</v>
      </c>
      <c r="N48" s="448">
        <v>39.520000000000003</v>
      </c>
      <c r="O48" s="448">
        <v>4.83</v>
      </c>
    </row>
    <row r="49" spans="1:15" ht="11.25" customHeight="1">
      <c r="A49" s="74"/>
      <c r="B49" s="73"/>
      <c r="C49" s="73"/>
      <c r="D49" s="73"/>
      <c r="E49" s="73"/>
      <c r="F49" s="73"/>
      <c r="G49" s="73"/>
      <c r="H49" s="11"/>
      <c r="I49" s="11"/>
      <c r="L49" s="447">
        <v>46</v>
      </c>
      <c r="M49" s="448">
        <v>15.4</v>
      </c>
      <c r="N49" s="448">
        <v>53.38</v>
      </c>
      <c r="O49" s="448">
        <v>3.73</v>
      </c>
    </row>
    <row r="50" spans="1:15" ht="11.25" customHeight="1">
      <c r="A50" s="74"/>
      <c r="B50" s="73"/>
      <c r="C50" s="73"/>
      <c r="D50" s="73"/>
      <c r="E50" s="73"/>
      <c r="F50" s="73"/>
      <c r="G50" s="73"/>
      <c r="H50" s="11"/>
      <c r="I50" s="11"/>
      <c r="L50" s="447">
        <v>47</v>
      </c>
      <c r="M50" s="448">
        <v>16.408999999999999</v>
      </c>
      <c r="N50" s="448">
        <v>61.853000000000002</v>
      </c>
      <c r="O50" s="448">
        <v>2.5211429999999999</v>
      </c>
    </row>
    <row r="51" spans="1:15" ht="11.25" customHeight="1">
      <c r="A51" s="74"/>
      <c r="B51" s="73"/>
      <c r="C51" s="73"/>
      <c r="D51" s="73"/>
      <c r="E51" s="73"/>
      <c r="F51" s="73"/>
      <c r="G51" s="73"/>
      <c r="H51" s="11"/>
      <c r="I51" s="11"/>
      <c r="K51" s="446">
        <v>48</v>
      </c>
      <c r="L51" s="447">
        <v>48</v>
      </c>
      <c r="M51" s="448">
        <v>16.328857422857144</v>
      </c>
      <c r="N51" s="448">
        <v>65.330427987142869</v>
      </c>
      <c r="O51" s="448">
        <v>3.571428503285714</v>
      </c>
    </row>
    <row r="52" spans="1:15" ht="11.25" customHeight="1">
      <c r="A52" s="74"/>
      <c r="B52" s="73"/>
      <c r="C52" s="73"/>
      <c r="D52" s="73"/>
      <c r="E52" s="73"/>
      <c r="F52" s="73"/>
      <c r="G52" s="73"/>
      <c r="H52" s="11"/>
      <c r="I52" s="11"/>
      <c r="L52" s="447">
        <v>49</v>
      </c>
      <c r="M52" s="448">
        <v>20.236285890000001</v>
      </c>
      <c r="N52" s="448">
        <v>66.680000000000007</v>
      </c>
      <c r="O52" s="448">
        <v>6.1</v>
      </c>
    </row>
    <row r="53" spans="1:15" ht="11.25" customHeight="1">
      <c r="A53" s="74"/>
      <c r="B53" s="73"/>
      <c r="C53" s="73"/>
      <c r="D53" s="73"/>
      <c r="E53" s="73"/>
      <c r="F53" s="73"/>
      <c r="G53" s="73"/>
      <c r="H53" s="11"/>
      <c r="I53" s="11"/>
      <c r="L53" s="447">
        <v>50</v>
      </c>
      <c r="M53" s="448">
        <v>19.809999999999999</v>
      </c>
      <c r="N53" s="448">
        <v>61.31</v>
      </c>
      <c r="O53" s="448">
        <v>6.69</v>
      </c>
    </row>
    <row r="54" spans="1:15" ht="11.25" customHeight="1">
      <c r="A54" s="74"/>
      <c r="B54" s="73"/>
      <c r="C54" s="73"/>
      <c r="D54" s="73"/>
      <c r="E54" s="73"/>
      <c r="F54" s="73"/>
      <c r="G54" s="73"/>
      <c r="H54" s="11"/>
      <c r="I54" s="11"/>
      <c r="L54" s="447">
        <v>51</v>
      </c>
      <c r="M54" s="448">
        <v>21.91</v>
      </c>
      <c r="N54" s="448">
        <v>70.790000000000006</v>
      </c>
      <c r="O54" s="448">
        <v>13.15</v>
      </c>
    </row>
    <row r="55" spans="1:15" ht="12.75">
      <c r="A55" s="74"/>
      <c r="B55" s="73"/>
      <c r="C55" s="73"/>
      <c r="D55" s="73"/>
      <c r="E55" s="73"/>
      <c r="F55" s="73"/>
      <c r="G55" s="73"/>
      <c r="H55" s="11"/>
      <c r="I55" s="11"/>
      <c r="L55" s="447">
        <v>52</v>
      </c>
      <c r="M55" s="448">
        <v>22</v>
      </c>
      <c r="N55" s="448">
        <v>77.434859137142865</v>
      </c>
      <c r="O55" s="448">
        <v>17.75700037857143</v>
      </c>
    </row>
    <row r="56" spans="1:15" ht="12.75">
      <c r="A56" s="74"/>
      <c r="B56" s="73"/>
      <c r="C56" s="73"/>
      <c r="D56" s="73"/>
      <c r="E56" s="73"/>
      <c r="F56" s="73"/>
      <c r="G56" s="73"/>
      <c r="H56" s="11"/>
      <c r="I56" s="11"/>
      <c r="J56" s="25">
        <v>2017</v>
      </c>
      <c r="K56" s="446">
        <v>1</v>
      </c>
      <c r="L56" s="447">
        <v>1</v>
      </c>
      <c r="M56" s="448">
        <v>41.55</v>
      </c>
      <c r="N56" s="448">
        <v>103.58</v>
      </c>
      <c r="O56" s="448">
        <v>29.67</v>
      </c>
    </row>
    <row r="57" spans="1:15" ht="12.75">
      <c r="A57" s="74"/>
      <c r="B57" s="73"/>
      <c r="C57" s="73"/>
      <c r="D57" s="73"/>
      <c r="E57" s="73"/>
      <c r="F57" s="73"/>
      <c r="G57" s="73"/>
      <c r="H57" s="11"/>
      <c r="I57" s="11"/>
      <c r="L57" s="447">
        <v>2</v>
      </c>
      <c r="M57" s="448">
        <v>39.6</v>
      </c>
      <c r="N57" s="448">
        <v>105.01</v>
      </c>
      <c r="O57" s="448">
        <v>51.2</v>
      </c>
    </row>
    <row r="58" spans="1:15" ht="12.75">
      <c r="A58" s="74"/>
      <c r="B58" s="73"/>
      <c r="C58" s="73"/>
      <c r="D58" s="73"/>
      <c r="E58" s="73"/>
      <c r="F58" s="73"/>
      <c r="G58" s="73"/>
      <c r="H58" s="11"/>
      <c r="I58" s="11"/>
      <c r="L58" s="447">
        <v>3</v>
      </c>
      <c r="M58" s="448">
        <v>73.650000000000006</v>
      </c>
      <c r="N58" s="448">
        <v>137.41</v>
      </c>
      <c r="O58" s="448">
        <v>43.26</v>
      </c>
    </row>
    <row r="59" spans="1:15" ht="12.75">
      <c r="A59" s="74"/>
      <c r="B59" s="73"/>
      <c r="C59" s="73"/>
      <c r="D59" s="73"/>
      <c r="E59" s="73"/>
      <c r="F59" s="73"/>
      <c r="G59" s="73"/>
      <c r="H59" s="11"/>
      <c r="I59" s="11"/>
      <c r="K59" s="446">
        <v>4</v>
      </c>
      <c r="L59" s="447">
        <v>4</v>
      </c>
      <c r="M59" s="448">
        <v>65.03</v>
      </c>
      <c r="N59" s="448">
        <v>127.83</v>
      </c>
      <c r="O59" s="448">
        <v>32.72</v>
      </c>
    </row>
    <row r="60" spans="1:15" ht="12.75">
      <c r="A60" s="74"/>
      <c r="B60" s="73"/>
      <c r="C60" s="73"/>
      <c r="D60" s="73"/>
      <c r="E60" s="73"/>
      <c r="F60" s="73"/>
      <c r="G60" s="73"/>
      <c r="H60" s="11"/>
      <c r="I60" s="11"/>
      <c r="L60" s="447">
        <v>5</v>
      </c>
      <c r="M60" s="448">
        <v>56.95</v>
      </c>
      <c r="N60" s="448">
        <v>97.31</v>
      </c>
      <c r="O60" s="448">
        <v>48.46</v>
      </c>
    </row>
    <row r="61" spans="1:15" ht="12.75">
      <c r="A61" s="273" t="s">
        <v>508</v>
      </c>
      <c r="B61" s="73"/>
      <c r="C61" s="73"/>
      <c r="D61" s="73"/>
      <c r="E61" s="73"/>
      <c r="F61" s="73"/>
      <c r="G61" s="73"/>
      <c r="H61" s="11"/>
      <c r="I61" s="11"/>
      <c r="L61" s="447">
        <v>6</v>
      </c>
      <c r="M61" s="448">
        <v>61.87</v>
      </c>
      <c r="N61" s="448">
        <v>123.44</v>
      </c>
      <c r="O61" s="448">
        <v>72.52</v>
      </c>
    </row>
    <row r="62" spans="1:15">
      <c r="L62" s="447">
        <v>7</v>
      </c>
      <c r="M62" s="448">
        <v>77.569999999999993</v>
      </c>
      <c r="N62" s="448">
        <v>145.02000000000001</v>
      </c>
      <c r="O62" s="448">
        <v>59.16</v>
      </c>
    </row>
    <row r="63" spans="1:15">
      <c r="K63" s="446">
        <v>8</v>
      </c>
      <c r="L63" s="447">
        <v>8</v>
      </c>
      <c r="M63" s="448">
        <v>86.94</v>
      </c>
      <c r="N63" s="448">
        <v>175.03</v>
      </c>
      <c r="O63" s="448">
        <v>24.36</v>
      </c>
    </row>
    <row r="64" spans="1:15">
      <c r="L64" s="447">
        <v>9</v>
      </c>
      <c r="M64" s="448">
        <v>85.13</v>
      </c>
      <c r="N64" s="448">
        <v>206.14</v>
      </c>
      <c r="O64" s="448">
        <v>39.07</v>
      </c>
    </row>
    <row r="65" spans="11:15">
      <c r="L65" s="447">
        <v>10</v>
      </c>
      <c r="M65" s="448">
        <v>84.78</v>
      </c>
      <c r="N65" s="448">
        <v>270.17</v>
      </c>
      <c r="O65" s="448">
        <v>109.16</v>
      </c>
    </row>
    <row r="66" spans="11:15">
      <c r="L66" s="447">
        <v>11</v>
      </c>
      <c r="M66" s="448">
        <v>84.78</v>
      </c>
      <c r="N66" s="448">
        <v>376.42</v>
      </c>
      <c r="O66" s="448">
        <v>188.18</v>
      </c>
    </row>
    <row r="67" spans="11:15">
      <c r="K67" s="446">
        <v>12</v>
      </c>
      <c r="L67" s="447">
        <v>12</v>
      </c>
      <c r="M67" s="448">
        <v>106.16</v>
      </c>
      <c r="N67" s="448">
        <v>351.57</v>
      </c>
      <c r="O67" s="448">
        <v>159.6</v>
      </c>
    </row>
    <row r="68" spans="11:15">
      <c r="L68" s="447">
        <v>13</v>
      </c>
      <c r="M68" s="448">
        <v>101.71</v>
      </c>
      <c r="N68" s="448">
        <v>384.37</v>
      </c>
      <c r="O68" s="448">
        <v>161.77000000000001</v>
      </c>
    </row>
    <row r="69" spans="11:15">
      <c r="L69" s="447">
        <v>14</v>
      </c>
      <c r="M69" s="448">
        <v>83.1</v>
      </c>
      <c r="N69" s="448">
        <v>337.84</v>
      </c>
      <c r="O69" s="448">
        <v>115.43</v>
      </c>
    </row>
    <row r="70" spans="11:15">
      <c r="L70" s="447">
        <v>15</v>
      </c>
      <c r="M70" s="448">
        <v>61.23</v>
      </c>
      <c r="N70" s="448">
        <v>282.32</v>
      </c>
      <c r="O70" s="448">
        <v>98.92</v>
      </c>
    </row>
    <row r="71" spans="11:15">
      <c r="K71" s="446">
        <v>16</v>
      </c>
      <c r="L71" s="447">
        <v>16</v>
      </c>
      <c r="M71" s="448">
        <v>49.8</v>
      </c>
      <c r="N71" s="448">
        <v>191.65</v>
      </c>
      <c r="O71" s="448">
        <v>82.48</v>
      </c>
    </row>
    <row r="72" spans="11:15">
      <c r="L72" s="447">
        <v>17</v>
      </c>
      <c r="M72" s="448">
        <v>40.21</v>
      </c>
      <c r="N72" s="448">
        <v>160.35</v>
      </c>
      <c r="O72" s="448">
        <v>77.02</v>
      </c>
    </row>
    <row r="73" spans="11:15">
      <c r="L73" s="447">
        <v>18</v>
      </c>
      <c r="M73" s="448">
        <v>43.46</v>
      </c>
      <c r="N73" s="448">
        <v>136.65</v>
      </c>
      <c r="O73" s="448">
        <v>62.63</v>
      </c>
    </row>
    <row r="74" spans="11:15">
      <c r="L74" s="447">
        <v>19</v>
      </c>
      <c r="M74" s="448">
        <v>35.65</v>
      </c>
      <c r="N74" s="448">
        <v>135.97</v>
      </c>
      <c r="O74" s="448">
        <v>93.03</v>
      </c>
    </row>
    <row r="75" spans="11:15">
      <c r="K75" s="446">
        <v>20</v>
      </c>
      <c r="L75" s="447">
        <v>20</v>
      </c>
      <c r="M75" s="448">
        <v>26.22</v>
      </c>
      <c r="N75" s="448">
        <v>135.66</v>
      </c>
      <c r="O75" s="448">
        <v>72.349999999999994</v>
      </c>
    </row>
    <row r="76" spans="11:15">
      <c r="L76" s="447">
        <v>21</v>
      </c>
      <c r="M76" s="448">
        <v>27.95</v>
      </c>
      <c r="N76" s="448">
        <v>113.82</v>
      </c>
      <c r="O76" s="448">
        <v>90.75</v>
      </c>
    </row>
    <row r="77" spans="11:15">
      <c r="L77" s="447">
        <v>22</v>
      </c>
      <c r="M77" s="448">
        <v>32.409999999999997</v>
      </c>
      <c r="N77" s="448">
        <v>64.03</v>
      </c>
      <c r="O77" s="448">
        <v>53.02</v>
      </c>
    </row>
    <row r="78" spans="11:15">
      <c r="L78" s="447">
        <v>23</v>
      </c>
      <c r="M78" s="448">
        <v>28.93</v>
      </c>
      <c r="N78" s="448">
        <v>53.15</v>
      </c>
      <c r="O78" s="448">
        <v>32.43</v>
      </c>
    </row>
    <row r="79" spans="11:15">
      <c r="K79" s="446">
        <v>24</v>
      </c>
      <c r="L79" s="447">
        <v>24</v>
      </c>
      <c r="M79" s="448">
        <v>26.59</v>
      </c>
      <c r="N79" s="448">
        <v>45.98</v>
      </c>
      <c r="O79" s="448">
        <v>27.75</v>
      </c>
    </row>
    <row r="80" spans="11:15">
      <c r="L80" s="447">
        <v>25</v>
      </c>
      <c r="M80" s="448">
        <v>23.61</v>
      </c>
      <c r="N80" s="448">
        <v>38.68</v>
      </c>
      <c r="O80" s="448">
        <v>24.81</v>
      </c>
    </row>
    <row r="81" spans="11:15">
      <c r="L81" s="447">
        <v>26</v>
      </c>
      <c r="M81" s="448">
        <v>24.94</v>
      </c>
      <c r="N81" s="448">
        <v>34.68</v>
      </c>
      <c r="O81" s="448">
        <v>21.81</v>
      </c>
    </row>
    <row r="82" spans="11:15">
      <c r="L82" s="447">
        <v>27</v>
      </c>
      <c r="M82" s="448">
        <v>25.54</v>
      </c>
      <c r="N82" s="448">
        <v>31.72</v>
      </c>
      <c r="O82" s="448">
        <v>18.649999999999999</v>
      </c>
    </row>
    <row r="83" spans="11:15">
      <c r="K83" s="446">
        <v>28</v>
      </c>
      <c r="L83" s="447">
        <v>28</v>
      </c>
      <c r="M83" s="448">
        <v>23.56</v>
      </c>
      <c r="N83" s="448">
        <v>29.25</v>
      </c>
      <c r="O83" s="448">
        <v>14.27</v>
      </c>
    </row>
    <row r="84" spans="11:15">
      <c r="L84" s="447">
        <v>29</v>
      </c>
      <c r="M84" s="448">
        <v>22.4</v>
      </c>
      <c r="N84" s="448">
        <v>29.53</v>
      </c>
      <c r="O84" s="448">
        <v>11.51</v>
      </c>
    </row>
    <row r="85" spans="11:15">
      <c r="L85" s="447">
        <v>30</v>
      </c>
      <c r="M85" s="448">
        <v>21.29</v>
      </c>
      <c r="N85" s="448">
        <v>27.62</v>
      </c>
      <c r="O85" s="448">
        <v>9.7200000000000006</v>
      </c>
    </row>
    <row r="86" spans="11:15">
      <c r="L86" s="447">
        <v>31</v>
      </c>
      <c r="M86" s="448">
        <v>19.34</v>
      </c>
      <c r="N86" s="448">
        <v>27.99</v>
      </c>
      <c r="O86" s="448">
        <v>8.09</v>
      </c>
    </row>
    <row r="87" spans="11:15">
      <c r="K87" s="446">
        <v>32</v>
      </c>
      <c r="L87" s="447">
        <v>32</v>
      </c>
      <c r="M87" s="448">
        <v>19.649999999999999</v>
      </c>
      <c r="N87" s="448">
        <v>31.42</v>
      </c>
      <c r="O87" s="448">
        <v>7.62</v>
      </c>
    </row>
    <row r="88" spans="11:15">
      <c r="L88" s="447">
        <v>33</v>
      </c>
      <c r="M88" s="448">
        <v>18.420000000000002</v>
      </c>
      <c r="N88" s="448">
        <v>29.71</v>
      </c>
      <c r="O88" s="448">
        <v>9.5500000000000007</v>
      </c>
    </row>
    <row r="89" spans="11:15">
      <c r="L89" s="447">
        <v>34</v>
      </c>
      <c r="M89" s="448">
        <v>17.170000000000002</v>
      </c>
      <c r="N89" s="448">
        <v>30.51</v>
      </c>
      <c r="O89" s="448">
        <v>10.75</v>
      </c>
    </row>
    <row r="90" spans="11:15">
      <c r="L90" s="447">
        <v>35</v>
      </c>
      <c r="M90" s="448">
        <v>17.47</v>
      </c>
      <c r="N90" s="448">
        <v>27.5</v>
      </c>
      <c r="O90" s="448">
        <v>8.31</v>
      </c>
    </row>
    <row r="91" spans="11:15">
      <c r="K91" s="446">
        <v>36</v>
      </c>
      <c r="L91" s="447">
        <v>36</v>
      </c>
      <c r="M91" s="448">
        <v>13.42</v>
      </c>
      <c r="N91" s="448">
        <v>26.21</v>
      </c>
      <c r="O91" s="448">
        <v>6.53</v>
      </c>
    </row>
    <row r="92" spans="11:15">
      <c r="L92" s="447">
        <v>37</v>
      </c>
      <c r="M92" s="448">
        <v>11.2</v>
      </c>
      <c r="N92" s="448">
        <v>29.98</v>
      </c>
      <c r="O92" s="448">
        <v>9.7799999999999994</v>
      </c>
    </row>
    <row r="93" spans="11:15">
      <c r="L93" s="447">
        <v>38</v>
      </c>
      <c r="M93" s="448">
        <v>11</v>
      </c>
      <c r="N93" s="448">
        <v>34.369999999999997</v>
      </c>
      <c r="O93" s="448">
        <v>7.47</v>
      </c>
    </row>
    <row r="94" spans="11:15">
      <c r="K94" s="446">
        <v>39</v>
      </c>
      <c r="L94" s="447">
        <v>39</v>
      </c>
      <c r="M94" s="448">
        <v>11.14</v>
      </c>
      <c r="N94" s="448">
        <v>42.17</v>
      </c>
      <c r="O94" s="448">
        <v>7.49</v>
      </c>
    </row>
    <row r="95" spans="11:15">
      <c r="L95" s="447">
        <v>40</v>
      </c>
      <c r="M95" s="448">
        <v>12.8</v>
      </c>
      <c r="N95" s="448">
        <v>37.270000000000003</v>
      </c>
      <c r="O95" s="448">
        <v>15.47</v>
      </c>
    </row>
    <row r="96" spans="11:15">
      <c r="L96" s="447">
        <v>41</v>
      </c>
      <c r="M96" s="448">
        <v>14.41</v>
      </c>
      <c r="N96" s="448">
        <v>40.04</v>
      </c>
      <c r="O96" s="448">
        <v>18</v>
      </c>
    </row>
    <row r="97" spans="10:15">
      <c r="L97" s="447">
        <v>42</v>
      </c>
      <c r="M97" s="448">
        <v>15.87</v>
      </c>
      <c r="N97" s="448">
        <v>35.79</v>
      </c>
      <c r="O97" s="448">
        <v>12.74</v>
      </c>
    </row>
    <row r="98" spans="10:15">
      <c r="K98" s="446">
        <v>43</v>
      </c>
      <c r="L98" s="447">
        <v>43</v>
      </c>
      <c r="M98" s="448">
        <v>19.61</v>
      </c>
      <c r="N98" s="448">
        <v>50.36</v>
      </c>
      <c r="O98" s="448">
        <v>30.75</v>
      </c>
    </row>
    <row r="99" spans="10:15">
      <c r="L99" s="447">
        <v>44</v>
      </c>
      <c r="M99" s="448">
        <v>21.85</v>
      </c>
      <c r="N99" s="448">
        <v>54.94</v>
      </c>
      <c r="O99" s="448">
        <v>23.58</v>
      </c>
    </row>
    <row r="100" spans="10:15">
      <c r="L100" s="447">
        <v>45</v>
      </c>
      <c r="M100" s="448">
        <v>16.79</v>
      </c>
      <c r="N100" s="448">
        <v>41.16</v>
      </c>
      <c r="O100" s="448">
        <v>11.77</v>
      </c>
    </row>
    <row r="101" spans="10:15">
      <c r="L101" s="447">
        <v>46</v>
      </c>
      <c r="M101" s="448">
        <v>16.010000000000002</v>
      </c>
      <c r="N101" s="448">
        <v>42.65</v>
      </c>
      <c r="O101" s="448">
        <v>9.33</v>
      </c>
    </row>
    <row r="102" spans="10:15">
      <c r="L102" s="447">
        <v>47</v>
      </c>
      <c r="M102" s="448">
        <v>14.72</v>
      </c>
      <c r="N102" s="448">
        <v>39.76</v>
      </c>
      <c r="O102" s="448">
        <v>8.19</v>
      </c>
    </row>
    <row r="103" spans="10:15">
      <c r="K103" s="446">
        <v>48</v>
      </c>
      <c r="L103" s="447">
        <v>48</v>
      </c>
      <c r="M103" s="448">
        <v>18.932000297142856</v>
      </c>
      <c r="N103" s="448">
        <v>47.388000487142854</v>
      </c>
      <c r="O103" s="448">
        <v>19.661285946</v>
      </c>
    </row>
    <row r="104" spans="10:15">
      <c r="L104" s="447">
        <v>49</v>
      </c>
      <c r="M104" s="448">
        <v>28.48371397</v>
      </c>
      <c r="N104" s="448">
        <v>78.087428497142852</v>
      </c>
      <c r="O104" s="448">
        <v>19.181428364285715</v>
      </c>
    </row>
    <row r="105" spans="10:15">
      <c r="L105" s="447">
        <v>50</v>
      </c>
      <c r="M105" s="448">
        <v>32.583286012857144</v>
      </c>
      <c r="N105" s="448">
        <v>69.764142717142846</v>
      </c>
      <c r="O105" s="448">
        <v>23.7245715</v>
      </c>
    </row>
    <row r="106" spans="10:15">
      <c r="L106" s="447">
        <v>51</v>
      </c>
      <c r="M106" s="448">
        <v>34.501856668571428</v>
      </c>
      <c r="N106" s="448">
        <v>71.14499991142857</v>
      </c>
      <c r="O106" s="448">
        <v>26.158142907142857</v>
      </c>
    </row>
    <row r="107" spans="10:15">
      <c r="K107" s="446">
        <v>52</v>
      </c>
      <c r="L107" s="447">
        <v>52</v>
      </c>
      <c r="M107" s="448">
        <v>27.781857355714287</v>
      </c>
      <c r="N107" s="448">
        <v>83.196000228571435</v>
      </c>
      <c r="O107" s="448">
        <v>21.776999882857144</v>
      </c>
    </row>
    <row r="108" spans="10:15">
      <c r="J108" s="25">
        <v>2018</v>
      </c>
      <c r="K108" s="446">
        <v>1</v>
      </c>
      <c r="L108" s="447">
        <v>1</v>
      </c>
      <c r="M108" s="448">
        <v>29.44</v>
      </c>
      <c r="N108" s="448">
        <v>69.087142857142865</v>
      </c>
      <c r="O108" s="448">
        <v>15.747142857142856</v>
      </c>
    </row>
    <row r="109" spans="10:15">
      <c r="L109" s="447">
        <v>2</v>
      </c>
      <c r="M109" s="448">
        <v>42.880857194285717</v>
      </c>
      <c r="N109" s="448">
        <v>96.785858138571413</v>
      </c>
      <c r="O109" s="448">
        <v>37.6</v>
      </c>
    </row>
    <row r="110" spans="10:15">
      <c r="L110" s="447">
        <v>3</v>
      </c>
      <c r="M110" s="448">
        <v>74.002572194285705</v>
      </c>
      <c r="N110" s="448">
        <v>158.17728531428571</v>
      </c>
      <c r="O110" s="448">
        <v>101.26128550142856</v>
      </c>
    </row>
    <row r="111" spans="10:15">
      <c r="K111" s="446">
        <v>4</v>
      </c>
      <c r="L111" s="447">
        <v>4</v>
      </c>
      <c r="M111" s="448">
        <v>77.812570845714291</v>
      </c>
      <c r="N111" s="448">
        <v>167.02357267142858</v>
      </c>
      <c r="O111" s="448">
        <v>77.354000085714276</v>
      </c>
    </row>
    <row r="112" spans="10:15">
      <c r="L112" s="447">
        <v>5</v>
      </c>
      <c r="M112" s="448">
        <v>61.531714848571433</v>
      </c>
      <c r="N112" s="448">
        <v>113.19585745142855</v>
      </c>
      <c r="O112" s="448">
        <v>30.667142595714285</v>
      </c>
    </row>
    <row r="113" spans="11:15">
      <c r="L113" s="447">
        <v>6</v>
      </c>
      <c r="M113" s="448">
        <v>54.024142672857138</v>
      </c>
      <c r="N113" s="448">
        <v>88.535714287142852</v>
      </c>
      <c r="O113" s="448">
        <v>32.444142750000005</v>
      </c>
    </row>
    <row r="114" spans="11:15">
      <c r="L114" s="447">
        <v>7</v>
      </c>
      <c r="M114" s="448">
        <v>59.271427155714285</v>
      </c>
      <c r="N114" s="448">
        <v>99.37822619047617</v>
      </c>
      <c r="O114" s="448">
        <v>30.338148809523812</v>
      </c>
    </row>
    <row r="115" spans="11:15">
      <c r="K115" s="446">
        <v>8</v>
      </c>
      <c r="L115" s="447">
        <v>8</v>
      </c>
      <c r="M115" s="448">
        <v>78.025571005714284</v>
      </c>
      <c r="N115" s="448">
        <v>140.28</v>
      </c>
      <c r="O115" s="448">
        <v>62.97</v>
      </c>
    </row>
    <row r="116" spans="11:15">
      <c r="L116" s="447">
        <v>9</v>
      </c>
      <c r="M116" s="448">
        <v>61.11871501571428</v>
      </c>
      <c r="N116" s="448">
        <v>102.99642836285715</v>
      </c>
      <c r="O116" s="448">
        <v>31.244571685714288</v>
      </c>
    </row>
    <row r="117" spans="11:15">
      <c r="L117" s="447">
        <v>10</v>
      </c>
      <c r="M117" s="448">
        <v>84.500714981428573</v>
      </c>
      <c r="N117" s="448">
        <v>175.90485927142853</v>
      </c>
      <c r="O117" s="448">
        <v>36.038285662857142</v>
      </c>
    </row>
    <row r="118" spans="11:15">
      <c r="L118" s="447">
        <v>11</v>
      </c>
      <c r="M118" s="448">
        <v>83.643855504285725</v>
      </c>
      <c r="N118" s="448">
        <v>169.64671761428571</v>
      </c>
      <c r="O118" s="448">
        <v>25.076428275714282</v>
      </c>
    </row>
    <row r="119" spans="11:15">
      <c r="K119" s="446">
        <v>12</v>
      </c>
      <c r="L119" s="447">
        <v>12</v>
      </c>
      <c r="M119" s="448">
        <v>98.99</v>
      </c>
      <c r="N119" s="448">
        <v>198.22</v>
      </c>
      <c r="O119" s="448">
        <v>24.63</v>
      </c>
    </row>
    <row r="120" spans="11:15">
      <c r="L120" s="447">
        <v>13</v>
      </c>
      <c r="M120" s="448">
        <v>106.64928652857144</v>
      </c>
      <c r="N120" s="448">
        <v>312.6314304857143</v>
      </c>
      <c r="O120" s="448">
        <v>38.701428550000003</v>
      </c>
    </row>
    <row r="121" spans="11:15">
      <c r="L121" s="447">
        <v>14</v>
      </c>
      <c r="M121" s="448">
        <v>86.488428389999996</v>
      </c>
      <c r="N121" s="448">
        <v>235.31328691428573</v>
      </c>
      <c r="O121" s="448">
        <v>94.596427907142839</v>
      </c>
    </row>
    <row r="122" spans="11:15">
      <c r="L122" s="447">
        <v>15</v>
      </c>
      <c r="M122" s="448">
        <v>88.217001778571429</v>
      </c>
      <c r="N122" s="448">
        <v>294.1721409428572</v>
      </c>
      <c r="O122" s="448">
        <v>92.07</v>
      </c>
    </row>
    <row r="123" spans="11:15">
      <c r="K123" s="446">
        <v>16</v>
      </c>
      <c r="L123" s="447">
        <v>16</v>
      </c>
      <c r="M123" s="448">
        <v>65.84</v>
      </c>
      <c r="N123" s="448">
        <v>149.18</v>
      </c>
      <c r="O123" s="448">
        <v>45.4</v>
      </c>
    </row>
    <row r="124" spans="11:15">
      <c r="L124" s="447">
        <v>17</v>
      </c>
      <c r="M124" s="448">
        <v>51.88</v>
      </c>
      <c r="N124" s="448">
        <v>104.35</v>
      </c>
      <c r="O124" s="448">
        <v>41.47</v>
      </c>
    </row>
    <row r="125" spans="11:15">
      <c r="L125" s="447">
        <v>18</v>
      </c>
      <c r="M125" s="448">
        <v>49.672285897142856</v>
      </c>
      <c r="N125" s="448">
        <v>78.038143701428567</v>
      </c>
      <c r="O125" s="448">
        <v>65.800999782857133</v>
      </c>
    </row>
    <row r="126" spans="11:15">
      <c r="L126" s="447">
        <v>19</v>
      </c>
      <c r="M126" s="448">
        <v>45.203000204285708</v>
      </c>
      <c r="N126" s="448">
        <v>78.313856942857129</v>
      </c>
      <c r="O126" s="448">
        <v>75.104713441428572</v>
      </c>
    </row>
    <row r="127" spans="11:15">
      <c r="K127" s="446">
        <v>20</v>
      </c>
      <c r="L127" s="447">
        <v>20</v>
      </c>
      <c r="M127" s="448">
        <v>37.385857718571437</v>
      </c>
      <c r="N127" s="448">
        <v>130.92628696285712</v>
      </c>
      <c r="O127" s="448">
        <v>97.861000055714285</v>
      </c>
    </row>
    <row r="128" spans="11:15">
      <c r="L128" s="447">
        <v>21</v>
      </c>
      <c r="M128" s="448">
        <v>31.609713962857143</v>
      </c>
      <c r="N128" s="448">
        <v>64.449287412857146</v>
      </c>
      <c r="O128" s="448">
        <v>107.7964292242857</v>
      </c>
    </row>
    <row r="129" spans="11:15">
      <c r="L129" s="447">
        <v>22</v>
      </c>
      <c r="M129" s="448">
        <v>23.360142844285715</v>
      </c>
      <c r="N129" s="448">
        <v>64.449287412857146</v>
      </c>
      <c r="O129" s="448">
        <v>107.7964292242857</v>
      </c>
    </row>
    <row r="130" spans="11:15">
      <c r="L130" s="447">
        <v>23</v>
      </c>
      <c r="M130" s="448">
        <v>22.118571418571431</v>
      </c>
      <c r="N130" s="448">
        <v>39.50100054</v>
      </c>
      <c r="O130" s="448">
        <v>35.176713670000005</v>
      </c>
    </row>
    <row r="131" spans="11:15">
      <c r="K131" s="446">
        <v>24</v>
      </c>
      <c r="L131" s="447">
        <v>24</v>
      </c>
      <c r="M131" s="448">
        <v>18.655142918571432</v>
      </c>
      <c r="N131" s="448">
        <v>33.690285274285714</v>
      </c>
      <c r="O131" s="448">
        <v>23.41942841571429</v>
      </c>
    </row>
    <row r="132" spans="11:15">
      <c r="L132" s="447">
        <v>25</v>
      </c>
      <c r="M132" s="448">
        <v>15.664428437142856</v>
      </c>
      <c r="N132" s="448">
        <v>30.228428704285715</v>
      </c>
      <c r="O132" s="448">
        <v>15.98614284142857</v>
      </c>
    </row>
    <row r="133" spans="11:15">
      <c r="L133" s="447">
        <v>26</v>
      </c>
      <c r="M133" s="448">
        <v>13.848143032857147</v>
      </c>
      <c r="N133" s="448">
        <v>27.872285568571431</v>
      </c>
      <c r="O133" s="448">
        <v>14.09042848857143</v>
      </c>
    </row>
    <row r="134" spans="11:15">
      <c r="L134" s="447">
        <v>27</v>
      </c>
      <c r="M134" s="448">
        <v>12.865857259999999</v>
      </c>
      <c r="N134" s="448">
        <v>27.257571358571429</v>
      </c>
      <c r="O134" s="448">
        <v>11.838857105714284</v>
      </c>
    </row>
    <row r="135" spans="11:15">
      <c r="K135" s="446">
        <v>28</v>
      </c>
      <c r="L135" s="447">
        <v>28</v>
      </c>
      <c r="M135" s="448">
        <v>12.915285789999999</v>
      </c>
      <c r="N135" s="475">
        <v>27.217285974285712</v>
      </c>
      <c r="O135" s="448">
        <v>9.7789998731428565</v>
      </c>
    </row>
    <row r="136" spans="11:15">
      <c r="L136" s="447">
        <v>29</v>
      </c>
      <c r="M136" s="448">
        <v>15.908571428571426</v>
      </c>
      <c r="N136" s="475">
        <v>24.955714285714286</v>
      </c>
      <c r="O136" s="448">
        <v>8.4957142857142856</v>
      </c>
    </row>
    <row r="137" spans="11:15">
      <c r="L137" s="447">
        <v>30</v>
      </c>
      <c r="M137" s="448">
        <v>16.584000042857145</v>
      </c>
      <c r="N137" s="475">
        <v>24.80942862142857</v>
      </c>
      <c r="O137" s="448">
        <v>7.807428428142857</v>
      </c>
    </row>
    <row r="138" spans="11:15">
      <c r="L138" s="447">
        <v>31</v>
      </c>
      <c r="M138" s="448">
        <v>18.553000000000001</v>
      </c>
      <c r="N138" s="475">
        <v>25.690999999999999</v>
      </c>
      <c r="O138" s="448">
        <v>7.53</v>
      </c>
    </row>
    <row r="139" spans="11:15">
      <c r="K139" s="446">
        <v>32</v>
      </c>
      <c r="L139" s="447">
        <v>32</v>
      </c>
      <c r="M139" s="448">
        <v>17.769714355714285</v>
      </c>
      <c r="N139" s="475">
        <v>27.630000251428573</v>
      </c>
      <c r="O139" s="448">
        <v>6.4074286734285701</v>
      </c>
    </row>
    <row r="140" spans="11:15">
      <c r="L140" s="447">
        <v>33</v>
      </c>
      <c r="M140" s="448">
        <v>14.782857348571428</v>
      </c>
      <c r="N140" s="475">
        <v>23.78</v>
      </c>
      <c r="O140" s="448">
        <v>4.9400000000000004</v>
      </c>
    </row>
    <row r="141" spans="11:15">
      <c r="L141" s="447">
        <v>34</v>
      </c>
      <c r="M141" s="448">
        <v>15.984000069999999</v>
      </c>
      <c r="N141" s="475">
        <v>23.527999878571428</v>
      </c>
      <c r="O141" s="448">
        <v>4.6688571658571432</v>
      </c>
    </row>
    <row r="142" spans="11:15">
      <c r="L142" s="447">
        <v>35</v>
      </c>
      <c r="M142" s="448">
        <v>15.55</v>
      </c>
      <c r="N142" s="475">
        <v>23.29</v>
      </c>
      <c r="O142" s="448">
        <v>4.5999999999999996</v>
      </c>
    </row>
    <row r="143" spans="11:15">
      <c r="K143" s="446">
        <v>36</v>
      </c>
      <c r="L143" s="447">
        <v>36</v>
      </c>
      <c r="M143" s="448">
        <v>15.042857142857143</v>
      </c>
      <c r="N143" s="448">
        <v>23.007142857142856</v>
      </c>
      <c r="O143" s="448">
        <v>3.9657142857142857</v>
      </c>
    </row>
    <row r="144" spans="11:15">
      <c r="L144" s="447">
        <v>37</v>
      </c>
      <c r="M144" s="448">
        <v>13.386857033</v>
      </c>
      <c r="N144" s="448">
        <v>23.173571724285711</v>
      </c>
      <c r="O144" s="448">
        <v>3.5334285327142858</v>
      </c>
    </row>
    <row r="145" spans="10:15">
      <c r="L145" s="447">
        <v>38</v>
      </c>
      <c r="M145" s="448">
        <v>12.963714189999999</v>
      </c>
      <c r="N145" s="448">
        <v>26.454000201428567</v>
      </c>
      <c r="O145" s="448">
        <v>6.4914285118571433</v>
      </c>
    </row>
    <row r="146" spans="10:15">
      <c r="L146" s="447">
        <v>39</v>
      </c>
      <c r="M146" s="448">
        <v>9.4700000000000006</v>
      </c>
      <c r="N146" s="448">
        <v>23.7</v>
      </c>
      <c r="O146" s="448">
        <v>4.9000000000000004</v>
      </c>
    </row>
    <row r="147" spans="10:15">
      <c r="K147" s="446">
        <v>40</v>
      </c>
      <c r="L147" s="447">
        <v>40</v>
      </c>
      <c r="M147" s="448">
        <v>9.6714286802857146</v>
      </c>
      <c r="N147" s="564">
        <v>23.695143017142858</v>
      </c>
      <c r="O147" s="448">
        <v>4.898285797571428</v>
      </c>
    </row>
    <row r="148" spans="10:15">
      <c r="L148" s="447">
        <v>41</v>
      </c>
      <c r="M148" s="448">
        <v>13.23900018419533</v>
      </c>
      <c r="N148" s="564">
        <v>28.113285882132363</v>
      </c>
      <c r="O148" s="448">
        <v>8.3430000032697169</v>
      </c>
    </row>
    <row r="149" spans="10:15">
      <c r="L149" s="447">
        <v>42</v>
      </c>
      <c r="M149" s="448">
        <v>13.085142816816015</v>
      </c>
      <c r="N149" s="564">
        <v>37.073285511561743</v>
      </c>
      <c r="O149" s="448">
        <v>7.2735712868826683</v>
      </c>
    </row>
    <row r="150" spans="10:15">
      <c r="L150" s="447">
        <v>43</v>
      </c>
      <c r="M150" s="448">
        <v>24.981571742466489</v>
      </c>
      <c r="N150" s="564">
        <v>70.535571507045162</v>
      </c>
      <c r="O150" s="448">
        <v>7.4324284962245324</v>
      </c>
    </row>
    <row r="151" spans="10:15">
      <c r="K151" s="446">
        <v>44</v>
      </c>
      <c r="L151" s="447">
        <v>44</v>
      </c>
      <c r="M151" s="448">
        <v>20.55814279714286</v>
      </c>
      <c r="N151" s="564">
        <v>55.183714184285712</v>
      </c>
      <c r="O151" s="448">
        <v>15.801856994857145</v>
      </c>
    </row>
    <row r="152" spans="10:15">
      <c r="L152" s="447">
        <v>45</v>
      </c>
      <c r="M152" s="448">
        <v>26.170000077142856</v>
      </c>
      <c r="N152" s="448">
        <v>60.445714132857141</v>
      </c>
      <c r="O152" s="448">
        <v>26.432857787142858</v>
      </c>
    </row>
    <row r="153" spans="10:15">
      <c r="L153" s="447">
        <v>46</v>
      </c>
      <c r="M153" s="448">
        <v>19.728571428571428</v>
      </c>
      <c r="N153" s="448">
        <v>57.005714285714291</v>
      </c>
      <c r="O153" s="448">
        <v>53.502857142857145</v>
      </c>
    </row>
    <row r="154" spans="10:15">
      <c r="L154" s="447">
        <v>47</v>
      </c>
      <c r="M154" s="448">
        <v>39.656714302857139</v>
      </c>
      <c r="N154" s="448">
        <v>103.00771440714287</v>
      </c>
      <c r="O154" s="448">
        <v>53.459142955714292</v>
      </c>
    </row>
    <row r="155" spans="10:15">
      <c r="K155" s="446">
        <v>48</v>
      </c>
      <c r="L155" s="447">
        <v>48</v>
      </c>
      <c r="M155" s="448">
        <v>39.656714302857139</v>
      </c>
      <c r="N155" s="448">
        <v>99.828000734285709</v>
      </c>
      <c r="O155" s="448">
        <v>45.539571760000008</v>
      </c>
    </row>
    <row r="156" spans="10:15">
      <c r="L156" s="447">
        <v>49</v>
      </c>
      <c r="M156" s="448">
        <v>22.62857142857143</v>
      </c>
      <c r="N156" s="448">
        <v>60.27571428571428</v>
      </c>
      <c r="O156" s="448">
        <v>17.955714285714286</v>
      </c>
    </row>
    <row r="157" spans="10:15">
      <c r="L157" s="447">
        <v>50</v>
      </c>
      <c r="M157" s="448">
        <v>17.776714461428572</v>
      </c>
      <c r="N157" s="448">
        <v>46.701999664285715</v>
      </c>
      <c r="O157" s="448">
        <v>13.432571411428571</v>
      </c>
    </row>
    <row r="158" spans="10:15">
      <c r="L158" s="447">
        <v>51</v>
      </c>
      <c r="M158" s="448">
        <v>34.085714285714282</v>
      </c>
      <c r="N158" s="448">
        <v>68.7</v>
      </c>
      <c r="O158" s="448">
        <v>39.414285714285711</v>
      </c>
    </row>
    <row r="159" spans="10:15">
      <c r="K159" s="446">
        <v>52</v>
      </c>
      <c r="L159" s="447">
        <v>52</v>
      </c>
      <c r="M159" s="448">
        <v>52.094142914285719</v>
      </c>
      <c r="N159" s="448">
        <v>97.347143448571416</v>
      </c>
      <c r="O159" s="448">
        <v>65.679429182857149</v>
      </c>
    </row>
    <row r="160" spans="10:15">
      <c r="J160" s="25">
        <v>2019</v>
      </c>
      <c r="K160" s="447">
        <v>1</v>
      </c>
      <c r="L160" s="447">
        <v>1</v>
      </c>
      <c r="M160" s="448">
        <v>27.79999951142857</v>
      </c>
      <c r="N160" s="448">
        <v>78.298570904285711</v>
      </c>
      <c r="O160" s="448">
        <v>21.927143370000003</v>
      </c>
    </row>
    <row r="161" spans="11:15">
      <c r="K161" s="447"/>
      <c r="L161" s="447">
        <v>2</v>
      </c>
      <c r="M161" s="448">
        <v>28.678571428571427</v>
      </c>
      <c r="N161" s="448">
        <v>95.081715179999989</v>
      </c>
      <c r="O161" s="448">
        <v>22.397999900000002</v>
      </c>
    </row>
    <row r="162" spans="11:15">
      <c r="K162" s="447"/>
      <c r="L162" s="447">
        <v>3</v>
      </c>
      <c r="M162" s="448">
        <v>44.51</v>
      </c>
      <c r="N162" s="448">
        <v>95.65</v>
      </c>
      <c r="O162" s="448">
        <v>17.61</v>
      </c>
    </row>
    <row r="163" spans="11:15">
      <c r="K163" s="447">
        <v>4</v>
      </c>
      <c r="L163" s="447">
        <v>4</v>
      </c>
      <c r="M163" s="448">
        <v>73.323141914285699</v>
      </c>
      <c r="N163" s="448">
        <v>109.29957036285714</v>
      </c>
      <c r="O163" s="448">
        <v>17.638000354285712</v>
      </c>
    </row>
    <row r="164" spans="11:15">
      <c r="L164" s="447">
        <v>5</v>
      </c>
      <c r="M164" s="448">
        <v>103.17716724333333</v>
      </c>
      <c r="N164" s="448">
        <v>149.65083311999999</v>
      </c>
      <c r="O164" s="448">
        <v>19.218833289999999</v>
      </c>
    </row>
    <row r="165" spans="11:15">
      <c r="L165" s="447">
        <v>6</v>
      </c>
      <c r="M165" s="448">
        <v>79.165714285714287</v>
      </c>
      <c r="N165" s="448">
        <v>136.57714285714286</v>
      </c>
      <c r="O165" s="448">
        <v>57.185714285714276</v>
      </c>
    </row>
    <row r="166" spans="11:15">
      <c r="L166" s="447">
        <v>7</v>
      </c>
      <c r="M166" s="448">
        <v>120.02256992142858</v>
      </c>
      <c r="N166" s="448">
        <v>224.71071514285714</v>
      </c>
      <c r="O166" s="448">
        <v>118.06042697857141</v>
      </c>
    </row>
    <row r="167" spans="11:15">
      <c r="K167" s="447">
        <v>8</v>
      </c>
      <c r="L167" s="447">
        <v>8</v>
      </c>
      <c r="M167" s="448">
        <v>97.560142514285715</v>
      </c>
      <c r="N167" s="448">
        <v>198.04342652857142</v>
      </c>
      <c r="O167" s="448">
        <v>106.29885756428571</v>
      </c>
    </row>
    <row r="168" spans="11:15">
      <c r="L168" s="447">
        <v>9</v>
      </c>
      <c r="M168" s="448">
        <v>97.560142514285715</v>
      </c>
      <c r="N168" s="448">
        <v>191.0112849857143</v>
      </c>
      <c r="O168" s="448">
        <v>142.12385776285717</v>
      </c>
    </row>
    <row r="169" spans="11:15">
      <c r="L169" s="447">
        <v>10</v>
      </c>
      <c r="M169" s="448">
        <v>97.497286117142863</v>
      </c>
      <c r="N169" s="448">
        <v>215.64014109999999</v>
      </c>
      <c r="O169" s="448">
        <v>164.59685624285717</v>
      </c>
    </row>
    <row r="170" spans="11:15">
      <c r="L170" s="447">
        <v>11</v>
      </c>
      <c r="M170" s="448">
        <v>98.21585736955906</v>
      </c>
      <c r="N170" s="448">
        <v>236.76099940708642</v>
      </c>
      <c r="O170" s="448">
        <v>121.6507121494835</v>
      </c>
    </row>
    <row r="171" spans="11:15">
      <c r="K171" s="447">
        <v>12</v>
      </c>
      <c r="L171" s="447">
        <v>12</v>
      </c>
      <c r="M171" s="448">
        <v>91.857713972857141</v>
      </c>
      <c r="N171" s="448">
        <v>250.8679761904763</v>
      </c>
      <c r="O171" s="448">
        <v>166.63136904761905</v>
      </c>
    </row>
    <row r="172" spans="11:15">
      <c r="K172" s="447"/>
      <c r="L172" s="447">
        <v>13</v>
      </c>
      <c r="M172" s="448">
        <v>100.0137132957143</v>
      </c>
      <c r="N172" s="448">
        <v>301.45971681428574</v>
      </c>
      <c r="O172" s="448">
        <v>180.07000078571429</v>
      </c>
    </row>
    <row r="173" spans="11:15">
      <c r="K173" s="447"/>
      <c r="L173" s="447">
        <v>14</v>
      </c>
      <c r="M173" s="448">
        <v>84.272714885714294</v>
      </c>
      <c r="N173" s="448">
        <v>253.08542525714284</v>
      </c>
      <c r="O173" s="448">
        <v>143.43971579999999</v>
      </c>
    </row>
    <row r="174" spans="11:15">
      <c r="L174" s="447">
        <v>15</v>
      </c>
      <c r="M174" s="448">
        <v>61.074856892857142</v>
      </c>
      <c r="N174" s="448">
        <v>253.08542525714284</v>
      </c>
      <c r="O174" s="448">
        <v>152.6561442857143</v>
      </c>
    </row>
    <row r="175" spans="11:15">
      <c r="K175" s="723">
        <v>16</v>
      </c>
      <c r="L175" s="723">
        <v>16</v>
      </c>
      <c r="M175" s="448">
        <v>47.843714031428576</v>
      </c>
      <c r="N175" s="448">
        <v>141.0458592</v>
      </c>
      <c r="O175" s="448">
        <v>83.844285145714295</v>
      </c>
    </row>
    <row r="176" spans="11:15">
      <c r="K176" s="723"/>
      <c r="L176" s="723">
        <v>17</v>
      </c>
      <c r="M176" s="448">
        <v>50.907143728571427</v>
      </c>
      <c r="N176" s="448">
        <v>123.86656951428571</v>
      </c>
      <c r="O176" s="448">
        <v>125.28814153857142</v>
      </c>
    </row>
    <row r="177" spans="11:15">
      <c r="K177" s="723"/>
      <c r="L177" s="723">
        <v>18</v>
      </c>
      <c r="M177" s="448">
        <v>39.120999471428568</v>
      </c>
      <c r="N177" s="448">
        <v>85.173857551428583</v>
      </c>
      <c r="O177" s="448">
        <v>66.347143447142855</v>
      </c>
    </row>
    <row r="178" spans="11:15">
      <c r="K178" s="723"/>
      <c r="L178" s="447">
        <v>19</v>
      </c>
      <c r="M178" s="448">
        <v>35.410856791428571</v>
      </c>
      <c r="N178" s="448">
        <v>71.224285714285699</v>
      </c>
      <c r="O178" s="448">
        <v>42.216071428571425</v>
      </c>
    </row>
    <row r="179" spans="11:15">
      <c r="K179" s="723"/>
      <c r="L179" s="723">
        <v>20</v>
      </c>
      <c r="M179" s="448">
        <v>32.405142920000003</v>
      </c>
      <c r="N179" s="448">
        <v>76.857142859999996</v>
      </c>
      <c r="O179" s="448">
        <v>58.324429100000003</v>
      </c>
    </row>
    <row r="180" spans="11:15">
      <c r="K180" s="723"/>
      <c r="L180" s="723">
        <v>21</v>
      </c>
      <c r="M180" s="448">
        <v>26.58385740142857</v>
      </c>
      <c r="N180" s="448">
        <v>47.97114345</v>
      </c>
      <c r="O180" s="448">
        <v>34.032571519999998</v>
      </c>
    </row>
    <row r="181" spans="11:15">
      <c r="K181" s="723">
        <v>22</v>
      </c>
      <c r="L181" s="723">
        <v>22</v>
      </c>
      <c r="M181" s="448">
        <v>19.653714315714286</v>
      </c>
      <c r="N181" s="448">
        <v>37.624285945285713</v>
      </c>
      <c r="O181" s="448">
        <v>40.524285998571429</v>
      </c>
    </row>
    <row r="182" spans="11:15">
      <c r="K182" s="684"/>
      <c r="L182" s="723">
        <v>23</v>
      </c>
      <c r="M182" s="448">
        <v>16.50400011857143</v>
      </c>
      <c r="N182" s="448">
        <v>37.806285858571421</v>
      </c>
      <c r="O182" s="448">
        <v>25.010571342857141</v>
      </c>
    </row>
    <row r="183" spans="11:15">
      <c r="K183" s="684"/>
      <c r="L183" s="723">
        <v>24</v>
      </c>
      <c r="M183" s="448">
        <v>14.890428544285713</v>
      </c>
      <c r="N183" s="448">
        <v>35.468714032857143</v>
      </c>
      <c r="O183" s="448">
        <v>18.242713997857145</v>
      </c>
    </row>
    <row r="184" spans="11:15">
      <c r="K184" s="684"/>
      <c r="L184" s="723">
        <v>25</v>
      </c>
      <c r="M184" s="448">
        <v>15.340000017142858</v>
      </c>
      <c r="N184" s="448">
        <v>33.200142724285719</v>
      </c>
      <c r="O184" s="448">
        <v>16.013142995714286</v>
      </c>
    </row>
    <row r="185" spans="11:15">
      <c r="K185" s="723">
        <v>26</v>
      </c>
      <c r="L185" s="723">
        <v>26</v>
      </c>
      <c r="M185" s="448">
        <v>15.521142687142857</v>
      </c>
      <c r="N185" s="448">
        <v>28.376285825714287</v>
      </c>
      <c r="O185" s="448">
        <v>12.961571557142857</v>
      </c>
    </row>
    <row r="186" spans="11:15">
      <c r="K186" s="684"/>
      <c r="L186" s="723">
        <v>27</v>
      </c>
      <c r="M186" s="448">
        <v>15.32</v>
      </c>
      <c r="N186" s="448">
        <v>28.47</v>
      </c>
      <c r="O186" s="448">
        <v>11.39</v>
      </c>
    </row>
    <row r="187" spans="11:15">
      <c r="K187" s="684"/>
      <c r="L187" s="723">
        <v>28</v>
      </c>
      <c r="M187" s="448">
        <v>14.809428488571427</v>
      </c>
      <c r="N187" s="448">
        <v>28.920333226666667</v>
      </c>
      <c r="O187" s="448">
        <v>11.405166626666668</v>
      </c>
    </row>
    <row r="188" spans="11:15">
      <c r="K188" s="684"/>
      <c r="L188" s="723">
        <v>29</v>
      </c>
      <c r="M188" s="448">
        <v>13.666428565978956</v>
      </c>
      <c r="N188" s="448">
        <v>24.422333717346149</v>
      </c>
      <c r="O188" s="448">
        <v>10.173999945322651</v>
      </c>
    </row>
    <row r="189" spans="11:15">
      <c r="K189" s="723">
        <v>30</v>
      </c>
      <c r="L189" s="723">
        <v>30</v>
      </c>
      <c r="M189" s="448">
        <v>13.392857142857142</v>
      </c>
      <c r="N189" s="448">
        <v>24.086666666666662</v>
      </c>
      <c r="O189" s="448">
        <v>9.1716666666666669</v>
      </c>
    </row>
    <row r="190" spans="11:15">
      <c r="K190" s="684"/>
      <c r="L190" s="723">
        <v>31</v>
      </c>
      <c r="M190" s="448">
        <v>13.098428589999999</v>
      </c>
      <c r="N190" s="448">
        <v>22.471285411428575</v>
      </c>
      <c r="O190" s="448">
        <v>8.5915715354285727</v>
      </c>
    </row>
    <row r="191" spans="11:15">
      <c r="K191" s="684"/>
      <c r="L191" s="723">
        <v>32</v>
      </c>
      <c r="M191" s="448">
        <v>12.228285654285713</v>
      </c>
      <c r="N191" s="448">
        <v>25.212714058571429</v>
      </c>
      <c r="O191" s="448">
        <v>6.6260000637142857</v>
      </c>
    </row>
    <row r="192" spans="11:15">
      <c r="K192" s="684"/>
      <c r="L192" s="723">
        <v>33</v>
      </c>
      <c r="M192" s="448">
        <v>12.838714327142856</v>
      </c>
      <c r="N192" s="448">
        <v>28.061000278571431</v>
      </c>
      <c r="O192" s="448">
        <v>5.9311428751428581</v>
      </c>
    </row>
    <row r="193" spans="11:15">
      <c r="K193" s="684">
        <v>34</v>
      </c>
      <c r="L193" s="723">
        <v>34</v>
      </c>
      <c r="M193" s="448">
        <v>12.37928554</v>
      </c>
      <c r="N193" s="448">
        <v>28.455856868571431</v>
      </c>
      <c r="O193" s="448">
        <v>5.2604285648571434</v>
      </c>
    </row>
    <row r="194" spans="11:15">
      <c r="K194" s="684"/>
      <c r="L194" s="723">
        <v>35</v>
      </c>
      <c r="M194" s="448">
        <v>11.92371409142857</v>
      </c>
      <c r="N194" s="448">
        <v>26.646000226666668</v>
      </c>
      <c r="O194" s="448">
        <v>4.7316666444999997</v>
      </c>
    </row>
    <row r="195" spans="11:15">
      <c r="K195" s="684"/>
      <c r="L195" s="723">
        <v>36</v>
      </c>
      <c r="M195" s="448">
        <v>10.731857162857143</v>
      </c>
      <c r="N195" s="448">
        <v>27.720570974285714</v>
      </c>
      <c r="O195" s="448">
        <v>4.5542856622857144</v>
      </c>
    </row>
    <row r="196" spans="11:15">
      <c r="K196" s="684"/>
      <c r="L196" s="723">
        <v>37</v>
      </c>
      <c r="M196" s="448">
        <v>11.481428825714286</v>
      </c>
      <c r="N196" s="448">
        <v>27.967571258571429</v>
      </c>
      <c r="O196" s="448">
        <v>4.1919999124285718</v>
      </c>
    </row>
    <row r="197" spans="11:15">
      <c r="K197" s="684"/>
      <c r="L197" s="723">
        <v>38</v>
      </c>
      <c r="M197" s="448">
        <v>12.217142857142859</v>
      </c>
      <c r="N197" s="448">
        <v>31.354000000000003</v>
      </c>
      <c r="O197" s="448">
        <v>4.1759999999999993</v>
      </c>
    </row>
    <row r="198" spans="11:15">
      <c r="L198" s="447">
        <v>39</v>
      </c>
      <c r="M198" s="448">
        <v>15.0261430740356</v>
      </c>
      <c r="N198" s="448">
        <v>37.146399307250938</v>
      </c>
      <c r="O198" s="448">
        <v>4.8932001113891559</v>
      </c>
    </row>
    <row r="199" spans="11:15">
      <c r="K199" s="446">
        <v>40</v>
      </c>
      <c r="L199" s="447">
        <v>40</v>
      </c>
      <c r="M199" s="448">
        <v>13.292000225714288</v>
      </c>
      <c r="N199" s="448">
        <v>29.934999783333328</v>
      </c>
      <c r="O199" s="448">
        <v>5.3130000431666664</v>
      </c>
    </row>
    <row r="200" spans="11:15">
      <c r="L200" s="447">
        <v>41</v>
      </c>
      <c r="M200" s="448">
        <v>15.472143037142859</v>
      </c>
      <c r="N200" s="448">
        <v>31.668000084285715</v>
      </c>
      <c r="O200" s="448">
        <v>8.3924286701428574</v>
      </c>
    </row>
    <row r="201" spans="11:15">
      <c r="L201" s="447">
        <v>42</v>
      </c>
      <c r="M201" s="448">
        <v>14.602857142857143</v>
      </c>
      <c r="N201" s="448">
        <v>30.061428571428571</v>
      </c>
      <c r="O201" s="448">
        <v>9.2871428571428574</v>
      </c>
    </row>
    <row r="202" spans="11:15">
      <c r="L202" s="447">
        <v>43</v>
      </c>
      <c r="M202" s="448">
        <v>18.763999527142854</v>
      </c>
      <c r="N202" s="448">
        <v>48.129999975714291</v>
      </c>
      <c r="O202" s="448">
        <v>18.153714861428572</v>
      </c>
    </row>
    <row r="203" spans="11:15">
      <c r="K203" s="446">
        <v>44</v>
      </c>
      <c r="L203" s="447">
        <v>44</v>
      </c>
      <c r="M203" s="448">
        <v>12.722428322857143</v>
      </c>
      <c r="N203" s="448">
        <v>37.781833011666663</v>
      </c>
      <c r="O203" s="448">
        <v>19.903499760000003</v>
      </c>
    </row>
    <row r="204" spans="11:15">
      <c r="L204" s="447">
        <v>45</v>
      </c>
      <c r="M204" s="448">
        <v>22.372000012857146</v>
      </c>
      <c r="N204" s="448">
        <v>60.721429549999996</v>
      </c>
      <c r="O204" s="448">
        <v>69.077428547142844</v>
      </c>
    </row>
    <row r="205" spans="11:15">
      <c r="L205" s="447">
        <v>46</v>
      </c>
      <c r="M205" s="448">
        <v>28.101571491428576</v>
      </c>
      <c r="N205" s="448">
        <v>68.569856369999997</v>
      </c>
      <c r="O205" s="448">
        <v>51.190428054285711</v>
      </c>
    </row>
    <row r="206" spans="11:15">
      <c r="L206" s="447">
        <v>47</v>
      </c>
      <c r="M206" s="448">
        <v>22.222285951428574</v>
      </c>
      <c r="N206" s="448">
        <v>51.534999302857152</v>
      </c>
      <c r="O206" s="448">
        <v>21.676285608571426</v>
      </c>
    </row>
    <row r="207" spans="11:15">
      <c r="K207" s="446">
        <v>48</v>
      </c>
      <c r="L207" s="447">
        <v>48</v>
      </c>
      <c r="M207" s="448">
        <v>18.796428408571426</v>
      </c>
      <c r="N207" s="448">
        <v>45.115714484285718</v>
      </c>
      <c r="O207" s="448">
        <v>19.428714208571428</v>
      </c>
    </row>
    <row r="208" spans="11:15">
      <c r="L208" s="447">
        <v>49</v>
      </c>
      <c r="M208" s="448">
        <v>40.459857124285712</v>
      </c>
      <c r="N208" s="448">
        <v>84.846428458571424</v>
      </c>
      <c r="O208" s="448">
        <v>67.787142617142862</v>
      </c>
    </row>
    <row r="209" spans="11:15">
      <c r="L209" s="447">
        <v>50</v>
      </c>
      <c r="M209" s="448">
        <v>55.208571570000004</v>
      </c>
      <c r="N209" s="448">
        <v>99.139714364285723</v>
      </c>
      <c r="O209" s="448">
        <v>46.000713344285714</v>
      </c>
    </row>
    <row r="210" spans="11:15">
      <c r="L210" s="447">
        <v>51</v>
      </c>
      <c r="M210" s="448">
        <v>84.778857641428559</v>
      </c>
      <c r="N210" s="448">
        <v>201.52657207142857</v>
      </c>
      <c r="O210" s="448">
        <v>43.586286274285712</v>
      </c>
    </row>
    <row r="211" spans="11:15">
      <c r="L211" s="447">
        <v>52</v>
      </c>
      <c r="M211" s="448">
        <v>90.21400125571428</v>
      </c>
      <c r="N211" s="448">
        <v>224.1094316857143</v>
      </c>
      <c r="O211" s="448">
        <v>50.483570642857153</v>
      </c>
    </row>
    <row r="212" spans="11:15">
      <c r="K212" s="446">
        <v>53</v>
      </c>
      <c r="L212" s="447">
        <v>53</v>
      </c>
      <c r="M212" s="446">
        <v>80.061285835714287</v>
      </c>
      <c r="N212" s="446">
        <v>205.2461395</v>
      </c>
      <c r="O212" s="446">
        <v>83.637714931428576</v>
      </c>
    </row>
    <row r="213" spans="11:15">
      <c r="M213" s="446" t="s">
        <v>274</v>
      </c>
      <c r="N213" s="446" t="s">
        <v>275</v>
      </c>
      <c r="O213" s="446" t="s">
        <v>276</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
Diciembre 2019
INFSGI-MES-12-2019
15/01/2020
Versión: 01</oddHeader>
    <oddFooter>&amp;L&amp;7COES, 2019&amp;C12&amp;R&amp;7Dirección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008FC8"/>
  </sheetPr>
  <dimension ref="A1:AF214"/>
  <sheetViews>
    <sheetView showGridLines="0" view="pageBreakPreview" zoomScale="115" zoomScaleNormal="100" zoomScaleSheetLayoutView="115" zoomScalePageLayoutView="130" workbookViewId="0"/>
  </sheetViews>
  <sheetFormatPr defaultColWidth="9.33203125" defaultRowHeight="11.25"/>
  <cols>
    <col min="10" max="11" width="9.33203125" customWidth="1"/>
    <col min="13" max="16" width="9.33203125" style="446"/>
    <col min="17" max="17" width="11.6640625" style="446" bestFit="1" customWidth="1"/>
    <col min="18" max="18" width="15.1640625" style="446" customWidth="1"/>
    <col min="19" max="19" width="14.33203125" style="446" customWidth="1"/>
    <col min="20" max="20" width="14.5" style="446" customWidth="1"/>
    <col min="21" max="21" width="9.5" style="446" bestFit="1" customWidth="1"/>
    <col min="22" max="22" width="14.6640625" style="446" customWidth="1"/>
    <col min="23" max="23" width="9.5" style="446" customWidth="1"/>
    <col min="24" max="24" width="9.6640625" style="446" bestFit="1" customWidth="1"/>
    <col min="25" max="25" width="9.5" style="446" bestFit="1" customWidth="1"/>
    <col min="26" max="26" width="9.33203125" style="436"/>
    <col min="27" max="30" width="9.33203125" style="317"/>
    <col min="31" max="32" width="9.33203125" style="305"/>
  </cols>
  <sheetData>
    <row r="1" spans="1:25" ht="11.25" customHeight="1"/>
    <row r="2" spans="1:25" ht="11.25" customHeight="1">
      <c r="A2" s="318"/>
      <c r="B2" s="319"/>
      <c r="C2" s="319"/>
      <c r="D2" s="319"/>
      <c r="E2" s="319"/>
      <c r="F2" s="319"/>
      <c r="G2" s="174"/>
      <c r="H2" s="174"/>
      <c r="I2" s="132"/>
    </row>
    <row r="3" spans="1:25" ht="11.25" customHeight="1">
      <c r="A3" s="132"/>
      <c r="B3" s="132"/>
      <c r="C3" s="132"/>
      <c r="D3" s="132"/>
      <c r="E3" s="132"/>
      <c r="F3" s="132"/>
      <c r="G3" s="138"/>
      <c r="H3" s="138"/>
      <c r="I3" s="138"/>
      <c r="J3" s="148"/>
      <c r="K3" s="148"/>
      <c r="L3" s="148"/>
      <c r="O3" s="446" t="s">
        <v>273</v>
      </c>
      <c r="P3" s="447"/>
      <c r="Q3" s="446" t="s">
        <v>277</v>
      </c>
      <c r="R3" s="446" t="s">
        <v>278</v>
      </c>
      <c r="S3" s="446" t="s">
        <v>279</v>
      </c>
      <c r="T3" s="446" t="s">
        <v>280</v>
      </c>
      <c r="U3" s="446" t="s">
        <v>281</v>
      </c>
      <c r="V3" s="446" t="s">
        <v>282</v>
      </c>
      <c r="W3" s="446" t="s">
        <v>283</v>
      </c>
      <c r="X3" s="446" t="s">
        <v>284</v>
      </c>
      <c r="Y3" s="446" t="s">
        <v>285</v>
      </c>
    </row>
    <row r="4" spans="1:25" ht="11.25" customHeight="1">
      <c r="A4" s="132"/>
      <c r="B4" s="132"/>
      <c r="C4" s="132"/>
      <c r="D4" s="132"/>
      <c r="E4" s="132"/>
      <c r="F4" s="132"/>
      <c r="G4" s="138"/>
      <c r="H4" s="138"/>
      <c r="I4" s="138"/>
      <c r="J4" s="148"/>
      <c r="K4" s="148"/>
      <c r="L4" s="148"/>
      <c r="N4" s="446">
        <v>2016</v>
      </c>
      <c r="O4" s="446">
        <v>1</v>
      </c>
      <c r="P4" s="447">
        <v>1</v>
      </c>
      <c r="Q4" s="448">
        <v>12.12</v>
      </c>
      <c r="R4" s="448">
        <v>8.33</v>
      </c>
      <c r="S4" s="448">
        <v>165.03200000000001</v>
      </c>
      <c r="T4" s="448">
        <v>95.83</v>
      </c>
      <c r="U4" s="448">
        <v>18.5</v>
      </c>
      <c r="V4" s="448">
        <v>10.01</v>
      </c>
      <c r="W4" s="448">
        <v>1.23</v>
      </c>
      <c r="X4" s="448">
        <v>109.19</v>
      </c>
      <c r="Y4" s="448">
        <v>37.270000000000003</v>
      </c>
    </row>
    <row r="5" spans="1:25" ht="11.25" customHeight="1">
      <c r="A5" s="176"/>
      <c r="B5" s="176"/>
      <c r="C5" s="176"/>
      <c r="D5" s="176"/>
      <c r="E5" s="176"/>
      <c r="F5" s="176"/>
      <c r="G5" s="176"/>
      <c r="H5" s="176"/>
      <c r="I5" s="176"/>
      <c r="J5" s="24"/>
      <c r="K5" s="24"/>
      <c r="L5" s="131"/>
      <c r="P5" s="447">
        <v>2</v>
      </c>
      <c r="Q5" s="448">
        <v>10.45</v>
      </c>
      <c r="R5" s="448">
        <v>5.38</v>
      </c>
      <c r="S5" s="448">
        <v>137.04</v>
      </c>
      <c r="T5" s="448">
        <v>78.260000000000005</v>
      </c>
      <c r="U5" s="448">
        <v>13.1</v>
      </c>
      <c r="V5" s="448">
        <v>10</v>
      </c>
      <c r="W5" s="448">
        <v>1.18</v>
      </c>
      <c r="X5" s="448">
        <v>177.91</v>
      </c>
      <c r="Y5" s="448">
        <v>53.34</v>
      </c>
    </row>
    <row r="6" spans="1:25" ht="11.25" customHeight="1">
      <c r="A6" s="132"/>
      <c r="B6" s="320"/>
      <c r="C6" s="321"/>
      <c r="D6" s="322"/>
      <c r="E6" s="322"/>
      <c r="F6" s="177"/>
      <c r="G6" s="178"/>
      <c r="H6" s="178"/>
      <c r="I6" s="179"/>
      <c r="J6" s="24"/>
      <c r="K6" s="24"/>
      <c r="L6" s="19"/>
      <c r="P6" s="447">
        <v>3</v>
      </c>
      <c r="Q6" s="448">
        <v>10.396000000000001</v>
      </c>
      <c r="R6" s="448">
        <v>5.29</v>
      </c>
      <c r="S6" s="448">
        <v>102.45</v>
      </c>
      <c r="T6" s="448">
        <v>101.264</v>
      </c>
      <c r="U6" s="448">
        <v>15.26</v>
      </c>
      <c r="V6" s="448">
        <v>10.01</v>
      </c>
      <c r="W6" s="448">
        <v>1.2529999999999999</v>
      </c>
      <c r="X6" s="448">
        <v>248.28</v>
      </c>
      <c r="Y6" s="448">
        <v>76.69</v>
      </c>
    </row>
    <row r="7" spans="1:25" ht="11.25" customHeight="1">
      <c r="A7" s="132"/>
      <c r="B7" s="180"/>
      <c r="C7" s="180"/>
      <c r="D7" s="181"/>
      <c r="E7" s="181"/>
      <c r="F7" s="177"/>
      <c r="G7" s="178"/>
      <c r="H7" s="178"/>
      <c r="I7" s="179"/>
      <c r="J7" s="25"/>
      <c r="K7" s="25"/>
      <c r="L7" s="22"/>
      <c r="O7" s="446">
        <v>4</v>
      </c>
      <c r="P7" s="447">
        <v>4</v>
      </c>
      <c r="Q7" s="448">
        <v>10.32</v>
      </c>
      <c r="R7" s="448">
        <v>6.0640000000000001</v>
      </c>
      <c r="S7" s="448">
        <v>93.71</v>
      </c>
      <c r="T7" s="448">
        <v>79.73</v>
      </c>
      <c r="U7" s="448">
        <v>12.66</v>
      </c>
      <c r="V7" s="448">
        <v>10.01</v>
      </c>
      <c r="W7" s="448">
        <v>1.22</v>
      </c>
      <c r="X7" s="448">
        <v>142.55000000000001</v>
      </c>
      <c r="Y7" s="448">
        <v>40.92</v>
      </c>
    </row>
    <row r="8" spans="1:25" ht="11.25" customHeight="1">
      <c r="A8" s="132"/>
      <c r="B8" s="182"/>
      <c r="C8" s="132"/>
      <c r="D8" s="156"/>
      <c r="E8" s="156"/>
      <c r="F8" s="177"/>
      <c r="G8" s="178"/>
      <c r="H8" s="178"/>
      <c r="I8" s="179"/>
      <c r="J8" s="23"/>
      <c r="K8" s="23"/>
      <c r="L8" s="24"/>
      <c r="P8" s="447">
        <v>5</v>
      </c>
      <c r="Q8" s="448">
        <v>14.34</v>
      </c>
      <c r="R8" s="448">
        <v>9.59</v>
      </c>
      <c r="S8" s="448">
        <v>142.55000000000001</v>
      </c>
      <c r="T8" s="448">
        <v>128.66</v>
      </c>
      <c r="U8" s="448">
        <v>24.24</v>
      </c>
      <c r="V8" s="448">
        <v>10.01</v>
      </c>
      <c r="W8" s="448">
        <v>1.17</v>
      </c>
      <c r="X8" s="448">
        <v>251.59399999999999</v>
      </c>
      <c r="Y8" s="448">
        <v>58.97</v>
      </c>
    </row>
    <row r="9" spans="1:25" ht="11.25" customHeight="1">
      <c r="A9" s="132"/>
      <c r="B9" s="182"/>
      <c r="C9" s="132"/>
      <c r="D9" s="156"/>
      <c r="E9" s="156"/>
      <c r="F9" s="177"/>
      <c r="G9" s="178"/>
      <c r="H9" s="178"/>
      <c r="I9" s="179"/>
      <c r="J9" s="25"/>
      <c r="K9" s="26"/>
      <c r="L9" s="22"/>
      <c r="P9" s="447">
        <v>6</v>
      </c>
      <c r="Q9" s="448">
        <v>14.98</v>
      </c>
      <c r="R9" s="448">
        <v>12.82</v>
      </c>
      <c r="S9" s="448">
        <v>223.15</v>
      </c>
      <c r="T9" s="448">
        <v>174.87</v>
      </c>
      <c r="U9" s="448">
        <v>35.18</v>
      </c>
      <c r="V9" s="448">
        <v>9.01</v>
      </c>
      <c r="W9" s="448">
        <v>0.82</v>
      </c>
      <c r="X9" s="448">
        <v>388.05428210000002</v>
      </c>
      <c r="Y9" s="448">
        <v>80.41</v>
      </c>
    </row>
    <row r="10" spans="1:25" ht="11.25" customHeight="1">
      <c r="A10" s="132"/>
      <c r="B10" s="182"/>
      <c r="C10" s="132"/>
      <c r="D10" s="156"/>
      <c r="E10" s="156"/>
      <c r="F10" s="177"/>
      <c r="G10" s="178"/>
      <c r="H10" s="178"/>
      <c r="I10" s="179"/>
      <c r="J10" s="25"/>
      <c r="K10" s="25"/>
      <c r="L10" s="22"/>
      <c r="P10" s="447">
        <v>7</v>
      </c>
      <c r="Q10" s="448">
        <v>15.86</v>
      </c>
      <c r="R10" s="448">
        <v>12.43</v>
      </c>
      <c r="S10" s="448">
        <v>223.86</v>
      </c>
      <c r="T10" s="448">
        <v>126.56</v>
      </c>
      <c r="U10" s="448">
        <v>25.04</v>
      </c>
      <c r="V10" s="448">
        <v>9.01</v>
      </c>
      <c r="W10" s="448">
        <v>1.59</v>
      </c>
      <c r="X10" s="448">
        <v>283.21000240000001</v>
      </c>
      <c r="Y10" s="448">
        <v>53.36</v>
      </c>
    </row>
    <row r="11" spans="1:25" ht="11.25" customHeight="1">
      <c r="A11" s="132"/>
      <c r="B11" s="156"/>
      <c r="C11" s="132"/>
      <c r="D11" s="156"/>
      <c r="E11" s="156"/>
      <c r="F11" s="177"/>
      <c r="G11" s="178"/>
      <c r="H11" s="178"/>
      <c r="I11" s="179"/>
      <c r="J11" s="25"/>
      <c r="K11" s="25"/>
      <c r="L11" s="22"/>
      <c r="O11" s="446">
        <v>8</v>
      </c>
      <c r="P11" s="447">
        <v>8</v>
      </c>
      <c r="Q11" s="448">
        <v>22.12</v>
      </c>
      <c r="R11" s="448">
        <v>19.3</v>
      </c>
      <c r="S11" s="448">
        <v>297.45999999999998</v>
      </c>
      <c r="T11" s="448">
        <v>188.83</v>
      </c>
      <c r="U11" s="448">
        <v>26.72</v>
      </c>
      <c r="V11" s="448">
        <v>18.309999999999999</v>
      </c>
      <c r="W11" s="448">
        <v>14.62</v>
      </c>
      <c r="X11" s="448">
        <v>414.29357470000002</v>
      </c>
      <c r="Y11" s="448">
        <v>65.55</v>
      </c>
    </row>
    <row r="12" spans="1:25" ht="11.25" customHeight="1">
      <c r="A12" s="132"/>
      <c r="B12" s="156"/>
      <c r="C12" s="132"/>
      <c r="D12" s="156"/>
      <c r="E12" s="156"/>
      <c r="F12" s="177"/>
      <c r="G12" s="178"/>
      <c r="H12" s="178"/>
      <c r="I12" s="179"/>
      <c r="J12" s="25"/>
      <c r="K12" s="25"/>
      <c r="L12" s="22"/>
      <c r="P12" s="447">
        <v>9</v>
      </c>
      <c r="Q12" s="448">
        <v>31.986428669999999</v>
      </c>
      <c r="R12" s="448">
        <v>19.514333090000001</v>
      </c>
      <c r="S12" s="448">
        <v>326.48699649999998</v>
      </c>
      <c r="T12" s="448">
        <v>170.33500290000001</v>
      </c>
      <c r="U12" s="448">
        <v>30.940000529999999</v>
      </c>
      <c r="V12" s="448">
        <v>16.54985727582655</v>
      </c>
      <c r="W12" s="448">
        <v>7.4597144130000004</v>
      </c>
      <c r="X12" s="448">
        <v>382.60643219999997</v>
      </c>
      <c r="Y12" s="448">
        <v>72.96314185</v>
      </c>
    </row>
    <row r="13" spans="1:25" ht="11.25" customHeight="1">
      <c r="A13" s="132"/>
      <c r="B13" s="156"/>
      <c r="C13" s="132"/>
      <c r="D13" s="156"/>
      <c r="E13" s="156"/>
      <c r="F13" s="177"/>
      <c r="G13" s="178"/>
      <c r="H13" s="178"/>
      <c r="I13" s="179"/>
      <c r="J13" s="23"/>
      <c r="K13" s="23"/>
      <c r="L13" s="24"/>
      <c r="P13" s="447">
        <v>10</v>
      </c>
      <c r="Q13" s="448">
        <v>21.817856924874398</v>
      </c>
      <c r="R13" s="448">
        <v>20.1870002746582</v>
      </c>
      <c r="S13" s="448">
        <v>281.91442869999997</v>
      </c>
      <c r="T13" s="448">
        <v>164.05856977190246</v>
      </c>
      <c r="U13" s="448">
        <v>30.751428604125927</v>
      </c>
      <c r="V13" s="448">
        <v>9.5257144655499921</v>
      </c>
      <c r="W13" s="448">
        <v>2.1815714495522598</v>
      </c>
      <c r="X13" s="448">
        <v>245.78571646554084</v>
      </c>
      <c r="Y13" s="448">
        <v>47.002858298165428</v>
      </c>
    </row>
    <row r="14" spans="1:25" ht="11.25" customHeight="1">
      <c r="A14" s="132"/>
      <c r="B14" s="156"/>
      <c r="C14" s="132"/>
      <c r="D14" s="156"/>
      <c r="E14" s="156"/>
      <c r="F14" s="177"/>
      <c r="G14" s="178"/>
      <c r="H14" s="178"/>
      <c r="I14" s="179"/>
      <c r="J14" s="25"/>
      <c r="K14" s="26"/>
      <c r="L14" s="22"/>
      <c r="P14" s="447">
        <v>11</v>
      </c>
      <c r="Q14" s="448">
        <v>21.645000185285259</v>
      </c>
      <c r="R14" s="448">
        <v>18.452999932425314</v>
      </c>
      <c r="S14" s="448">
        <v>302.97000000000003</v>
      </c>
      <c r="T14" s="448">
        <v>146.11571393694155</v>
      </c>
      <c r="U14" s="448">
        <v>26.230000359671411</v>
      </c>
      <c r="V14" s="448">
        <v>10.001428604125973</v>
      </c>
      <c r="W14" s="448">
        <v>1.7041428429739771</v>
      </c>
      <c r="X14" s="448">
        <v>239.62</v>
      </c>
      <c r="Y14" s="448">
        <v>42.29</v>
      </c>
    </row>
    <row r="15" spans="1:25" ht="11.25" customHeight="1">
      <c r="A15" s="132"/>
      <c r="B15" s="156"/>
      <c r="C15" s="132"/>
      <c r="D15" s="156"/>
      <c r="E15" s="156"/>
      <c r="F15" s="177"/>
      <c r="G15" s="178"/>
      <c r="H15" s="178"/>
      <c r="I15" s="179"/>
      <c r="J15" s="25"/>
      <c r="K15" s="26"/>
      <c r="L15" s="22"/>
      <c r="O15" s="446">
        <v>12</v>
      </c>
      <c r="P15" s="447">
        <v>12</v>
      </c>
      <c r="Q15" s="448">
        <v>15.247000013078916</v>
      </c>
      <c r="R15" s="448">
        <v>12.7100000381469</v>
      </c>
      <c r="S15" s="448">
        <v>179.33771623883899</v>
      </c>
      <c r="T15" s="448">
        <v>114.18428584507485</v>
      </c>
      <c r="U15" s="448">
        <v>18.61999988555905</v>
      </c>
      <c r="V15" s="448">
        <v>9.9999999999999964</v>
      </c>
      <c r="W15" s="448">
        <v>1.2444285835538544</v>
      </c>
      <c r="X15" s="448">
        <v>150.27357046944684</v>
      </c>
      <c r="Y15" s="448">
        <v>24.915714263915959</v>
      </c>
    </row>
    <row r="16" spans="1:25" ht="11.25" customHeight="1">
      <c r="A16" s="132"/>
      <c r="B16" s="156"/>
      <c r="C16" s="132"/>
      <c r="D16" s="156"/>
      <c r="E16" s="156"/>
      <c r="F16" s="177"/>
      <c r="G16" s="178"/>
      <c r="H16" s="178"/>
      <c r="I16" s="179"/>
      <c r="J16" s="25"/>
      <c r="K16" s="26"/>
      <c r="L16" s="22"/>
      <c r="P16" s="447">
        <v>13</v>
      </c>
      <c r="Q16" s="448">
        <v>17.322999954223601</v>
      </c>
      <c r="R16" s="448">
        <v>15.171999931335399</v>
      </c>
      <c r="S16" s="448">
        <v>130.67500305175699</v>
      </c>
      <c r="T16" s="448">
        <v>89.040000915527301</v>
      </c>
      <c r="U16" s="448">
        <v>15.310000419616699</v>
      </c>
      <c r="V16" s="448">
        <v>10</v>
      </c>
      <c r="W16" s="448">
        <v>1.0199999809265099</v>
      </c>
      <c r="X16" s="448">
        <v>116.33999633789</v>
      </c>
      <c r="Y16" s="448">
        <v>24.159999847412099</v>
      </c>
    </row>
    <row r="17" spans="1:25" ht="11.25" customHeight="1">
      <c r="A17" s="132"/>
      <c r="B17" s="156"/>
      <c r="C17" s="132"/>
      <c r="D17" s="156"/>
      <c r="E17" s="156"/>
      <c r="F17" s="177"/>
      <c r="G17" s="178"/>
      <c r="H17" s="178"/>
      <c r="I17" s="179"/>
      <c r="J17" s="25"/>
      <c r="K17" s="26"/>
      <c r="L17" s="22"/>
      <c r="P17" s="447">
        <v>14</v>
      </c>
      <c r="Q17" s="448">
        <v>14.828142711094401</v>
      </c>
      <c r="R17" s="448">
        <v>13.217000007629398</v>
      </c>
      <c r="S17" s="448">
        <v>121.81457192557171</v>
      </c>
      <c r="T17" s="448">
        <v>78.037142072405103</v>
      </c>
      <c r="U17" s="448">
        <v>14.082857131957956</v>
      </c>
      <c r="V17" s="448">
        <v>10.001428604125973</v>
      </c>
      <c r="W17" s="448">
        <v>1.3691428899764975</v>
      </c>
      <c r="X17" s="448">
        <v>126.18428475516127</v>
      </c>
      <c r="Y17" s="448">
        <v>22.646999904087572</v>
      </c>
    </row>
    <row r="18" spans="1:25" ht="11.25" customHeight="1">
      <c r="A18" s="925" t="s">
        <v>509</v>
      </c>
      <c r="B18" s="925"/>
      <c r="C18" s="925"/>
      <c r="D18" s="925"/>
      <c r="E18" s="925"/>
      <c r="F18" s="925"/>
      <c r="G18" s="925"/>
      <c r="H18" s="925"/>
      <c r="I18" s="925"/>
      <c r="J18" s="925"/>
      <c r="K18" s="925"/>
      <c r="L18" s="925"/>
      <c r="P18" s="447">
        <v>15</v>
      </c>
      <c r="Q18" s="448">
        <v>15.017142977033298</v>
      </c>
      <c r="R18" s="448">
        <v>11.291000366210898</v>
      </c>
      <c r="S18" s="448">
        <v>184.69442967006074</v>
      </c>
      <c r="T18" s="448">
        <v>74.048570905412902</v>
      </c>
      <c r="U18" s="448">
        <v>17.312857082911869</v>
      </c>
      <c r="V18" s="448">
        <v>10.005714416503881</v>
      </c>
      <c r="W18" s="448">
        <v>1.6558571543012313</v>
      </c>
      <c r="X18" s="448">
        <v>140.54571315220355</v>
      </c>
      <c r="Y18" s="448">
        <v>22.742571422031897</v>
      </c>
    </row>
    <row r="19" spans="1:25" ht="11.25" customHeight="1">
      <c r="A19" s="25"/>
      <c r="B19" s="156"/>
      <c r="C19" s="132"/>
      <c r="D19" s="156"/>
      <c r="E19" s="156"/>
      <c r="F19" s="177"/>
      <c r="G19" s="178"/>
      <c r="H19" s="178"/>
      <c r="I19" s="179"/>
      <c r="J19" s="25"/>
      <c r="K19" s="26"/>
      <c r="L19" s="22"/>
      <c r="O19" s="446">
        <v>16</v>
      </c>
      <c r="P19" s="447">
        <v>16</v>
      </c>
      <c r="Q19" s="448">
        <v>13.98</v>
      </c>
      <c r="R19" s="448">
        <v>11.63</v>
      </c>
      <c r="S19" s="448">
        <v>164.52</v>
      </c>
      <c r="T19" s="448">
        <v>81.069999999999993</v>
      </c>
      <c r="U19" s="448">
        <v>21.07</v>
      </c>
      <c r="V19" s="448">
        <v>10.01</v>
      </c>
      <c r="W19" s="448">
        <v>1.27</v>
      </c>
      <c r="X19" s="448">
        <v>141.29</v>
      </c>
      <c r="Y19" s="448">
        <v>23.21</v>
      </c>
    </row>
    <row r="20" spans="1:25" ht="11.25" customHeight="1">
      <c r="A20" s="132"/>
      <c r="B20" s="156"/>
      <c r="C20" s="132"/>
      <c r="D20" s="156"/>
      <c r="E20" s="156"/>
      <c r="F20" s="177"/>
      <c r="G20" s="178"/>
      <c r="H20" s="178"/>
      <c r="I20" s="179"/>
      <c r="J20" s="25"/>
      <c r="K20" s="26"/>
      <c r="L20" s="22"/>
      <c r="P20" s="447">
        <v>17</v>
      </c>
      <c r="Q20" s="448">
        <v>12.944285669999999</v>
      </c>
      <c r="R20" s="448">
        <v>10.010000228881799</v>
      </c>
      <c r="S20" s="448">
        <v>152.88357325962556</v>
      </c>
      <c r="T20" s="448">
        <v>64.311428070000005</v>
      </c>
      <c r="U20" s="448">
        <v>16.638571469999999</v>
      </c>
      <c r="V20" s="448">
        <v>10.004285812377887</v>
      </c>
      <c r="W20" s="448">
        <v>1.7342857122421229</v>
      </c>
      <c r="X20" s="448">
        <v>105.73500061035119</v>
      </c>
      <c r="Y20" s="448">
        <v>19.724285806928286</v>
      </c>
    </row>
    <row r="21" spans="1:25" ht="11.25" customHeight="1">
      <c r="A21" s="132"/>
      <c r="B21" s="156"/>
      <c r="C21" s="132"/>
      <c r="D21" s="156"/>
      <c r="E21" s="156"/>
      <c r="F21" s="177"/>
      <c r="G21" s="178"/>
      <c r="H21" s="178"/>
      <c r="I21" s="179"/>
      <c r="J21" s="25"/>
      <c r="K21" s="29"/>
      <c r="L21" s="30"/>
      <c r="P21" s="447">
        <v>18</v>
      </c>
      <c r="Q21" s="448">
        <v>10.727142742701899</v>
      </c>
      <c r="R21" s="448">
        <v>6.3112858363560251</v>
      </c>
      <c r="S21" s="448">
        <v>98.225285121372636</v>
      </c>
      <c r="T21" s="448">
        <v>46.242857796805197</v>
      </c>
      <c r="U21" s="448">
        <v>10.637142998831566</v>
      </c>
      <c r="V21" s="448">
        <v>10.007143020629858</v>
      </c>
      <c r="W21" s="448">
        <v>1.4345714194433998</v>
      </c>
      <c r="X21" s="448">
        <v>72.620000566754968</v>
      </c>
      <c r="Y21" s="448">
        <v>14.075714383806471</v>
      </c>
    </row>
    <row r="22" spans="1:25" ht="11.25" customHeight="1">
      <c r="A22" s="137"/>
      <c r="B22" s="156"/>
      <c r="C22" s="132"/>
      <c r="D22" s="156"/>
      <c r="E22" s="156"/>
      <c r="F22" s="177"/>
      <c r="G22" s="178"/>
      <c r="H22" s="178"/>
      <c r="I22" s="179"/>
      <c r="J22" s="25"/>
      <c r="K22" s="26"/>
      <c r="L22" s="22"/>
      <c r="P22" s="447">
        <v>19</v>
      </c>
      <c r="Q22" s="448">
        <v>9.4342857088361427</v>
      </c>
      <c r="R22" s="448">
        <v>7.4910001754760689</v>
      </c>
      <c r="S22" s="448">
        <v>86.615142822265582</v>
      </c>
      <c r="T22" s="448">
        <v>41.954286302838973</v>
      </c>
      <c r="U22" s="448">
        <v>9.4342857088361427</v>
      </c>
      <c r="V22" s="448">
        <v>10.004285812377914</v>
      </c>
      <c r="W22" s="448">
        <v>1.3051428794860784</v>
      </c>
      <c r="X22" s="448">
        <v>60.497857775006928</v>
      </c>
      <c r="Y22" s="448">
        <v>12.797142846243686</v>
      </c>
    </row>
    <row r="23" spans="1:25" ht="11.25" customHeight="1">
      <c r="A23" s="137"/>
      <c r="B23" s="156"/>
      <c r="C23" s="132"/>
      <c r="D23" s="156"/>
      <c r="E23" s="156"/>
      <c r="F23" s="177"/>
      <c r="G23" s="178"/>
      <c r="H23" s="178"/>
      <c r="I23" s="179"/>
      <c r="J23" s="25"/>
      <c r="K23" s="26"/>
      <c r="L23" s="22"/>
      <c r="O23" s="446">
        <v>20</v>
      </c>
      <c r="P23" s="447">
        <v>20</v>
      </c>
      <c r="Q23" s="448">
        <v>9.1999999999999993</v>
      </c>
      <c r="R23" s="448">
        <v>6.8</v>
      </c>
      <c r="S23" s="448">
        <v>78.2</v>
      </c>
      <c r="T23" s="448">
        <v>39.6</v>
      </c>
      <c r="U23" s="448">
        <v>8.6</v>
      </c>
      <c r="V23" s="448">
        <v>10</v>
      </c>
      <c r="W23" s="448">
        <v>1.6</v>
      </c>
      <c r="X23" s="448">
        <v>56.6</v>
      </c>
      <c r="Y23" s="448">
        <v>12.9</v>
      </c>
    </row>
    <row r="24" spans="1:25" ht="11.25" customHeight="1">
      <c r="A24" s="137"/>
      <c r="B24" s="156"/>
      <c r="C24" s="132"/>
      <c r="D24" s="156"/>
      <c r="E24" s="156"/>
      <c r="F24" s="177"/>
      <c r="G24" s="178"/>
      <c r="H24" s="178"/>
      <c r="I24" s="179"/>
      <c r="J24" s="26"/>
      <c r="K24" s="26"/>
      <c r="L24" s="22"/>
      <c r="P24" s="447">
        <v>21</v>
      </c>
      <c r="Q24" s="448">
        <v>9.0128573008945967</v>
      </c>
      <c r="R24" s="448">
        <v>5.4099998474121005</v>
      </c>
      <c r="S24" s="448">
        <v>73.744141714913454</v>
      </c>
      <c r="T24" s="448">
        <v>44.79285812377924</v>
      </c>
      <c r="U24" s="448">
        <v>10.11999988555907</v>
      </c>
      <c r="V24" s="448">
        <v>10.011428560529414</v>
      </c>
      <c r="W24" s="448">
        <v>1.2349999972752113</v>
      </c>
      <c r="X24" s="448">
        <v>52.17071369716097</v>
      </c>
      <c r="Y24" s="448">
        <v>11.968571390424414</v>
      </c>
    </row>
    <row r="25" spans="1:25" ht="11.25" customHeight="1">
      <c r="A25" s="137"/>
      <c r="B25" s="156"/>
      <c r="C25" s="132"/>
      <c r="D25" s="156"/>
      <c r="E25" s="156"/>
      <c r="F25" s="177"/>
      <c r="G25" s="178"/>
      <c r="H25" s="178"/>
      <c r="I25" s="179"/>
      <c r="J25" s="25"/>
      <c r="K25" s="29"/>
      <c r="L25" s="30"/>
      <c r="P25" s="447">
        <v>22</v>
      </c>
      <c r="Q25" s="448">
        <v>7.95</v>
      </c>
      <c r="R25" s="448">
        <v>3.82</v>
      </c>
      <c r="S25" s="448">
        <v>66.739999999999995</v>
      </c>
      <c r="T25" s="448">
        <v>34.01</v>
      </c>
      <c r="U25" s="448">
        <v>8.15</v>
      </c>
      <c r="V25" s="448">
        <v>10.02</v>
      </c>
      <c r="W25" s="448">
        <v>1.52</v>
      </c>
      <c r="X25" s="448">
        <v>46.88</v>
      </c>
      <c r="Y25" s="448">
        <v>9.89</v>
      </c>
    </row>
    <row r="26" spans="1:25" ht="11.25" customHeight="1">
      <c r="A26" s="137"/>
      <c r="B26" s="156"/>
      <c r="C26" s="132"/>
      <c r="D26" s="156"/>
      <c r="E26" s="156"/>
      <c r="F26" s="138"/>
      <c r="G26" s="138"/>
      <c r="H26" s="138"/>
      <c r="I26" s="138"/>
      <c r="J26" s="23"/>
      <c r="K26" s="26"/>
      <c r="L26" s="22"/>
      <c r="P26" s="447">
        <v>23</v>
      </c>
      <c r="Q26" s="448">
        <v>7.6</v>
      </c>
      <c r="R26" s="448">
        <v>3.22</v>
      </c>
      <c r="S26" s="448">
        <v>59.4</v>
      </c>
      <c r="T26" s="448">
        <v>28.71</v>
      </c>
      <c r="U26" s="448">
        <v>7.74</v>
      </c>
      <c r="V26" s="448">
        <v>10</v>
      </c>
      <c r="W26" s="448">
        <v>1.55</v>
      </c>
      <c r="X26" s="448">
        <v>43.39</v>
      </c>
      <c r="Y26" s="448">
        <v>8.57</v>
      </c>
    </row>
    <row r="27" spans="1:25" ht="11.25" customHeight="1">
      <c r="A27" s="137"/>
      <c r="B27" s="156"/>
      <c r="C27" s="132"/>
      <c r="D27" s="156"/>
      <c r="E27" s="156"/>
      <c r="F27" s="138"/>
      <c r="G27" s="138"/>
      <c r="H27" s="138"/>
      <c r="I27" s="138"/>
      <c r="J27" s="23"/>
      <c r="K27" s="26"/>
      <c r="L27" s="22"/>
      <c r="O27" s="446">
        <v>24</v>
      </c>
      <c r="P27" s="447">
        <v>24</v>
      </c>
      <c r="Q27" s="448">
        <v>9.57</v>
      </c>
      <c r="R27" s="448">
        <v>3.42</v>
      </c>
      <c r="S27" s="448">
        <v>54.3</v>
      </c>
      <c r="T27" s="448">
        <v>30.83</v>
      </c>
      <c r="U27" s="448">
        <v>7.53</v>
      </c>
      <c r="V27" s="448">
        <v>10</v>
      </c>
      <c r="W27" s="448">
        <v>1.6</v>
      </c>
      <c r="X27" s="448">
        <v>40.28</v>
      </c>
      <c r="Y27" s="448">
        <v>9.6</v>
      </c>
    </row>
    <row r="28" spans="1:25" ht="11.25" customHeight="1">
      <c r="A28" s="136"/>
      <c r="B28" s="138"/>
      <c r="C28" s="138"/>
      <c r="D28" s="138"/>
      <c r="E28" s="138"/>
      <c r="F28" s="138"/>
      <c r="G28" s="138"/>
      <c r="H28" s="138"/>
      <c r="I28" s="138"/>
      <c r="J28" s="25"/>
      <c r="K28" s="26"/>
      <c r="L28" s="22"/>
      <c r="P28" s="447">
        <v>25</v>
      </c>
      <c r="Q28" s="448">
        <v>9.0548571179999993</v>
      </c>
      <c r="R28" s="448">
        <v>3.2130000590000001</v>
      </c>
      <c r="S28" s="448">
        <v>56.674428669999998</v>
      </c>
      <c r="T28" s="448">
        <v>25.690000260000001</v>
      </c>
      <c r="U28" s="448">
        <v>6.9342856409999998</v>
      </c>
      <c r="V28" s="448">
        <v>10.00571442</v>
      </c>
      <c r="W28" s="448">
        <v>1.254714302</v>
      </c>
      <c r="X28" s="448">
        <v>37.560714179999998</v>
      </c>
      <c r="Y28" s="448">
        <v>7.91285726</v>
      </c>
    </row>
    <row r="29" spans="1:25" ht="11.25" customHeight="1">
      <c r="A29" s="136"/>
      <c r="B29" s="138"/>
      <c r="C29" s="138"/>
      <c r="D29" s="138"/>
      <c r="E29" s="138"/>
      <c r="F29" s="138"/>
      <c r="G29" s="138"/>
      <c r="H29" s="138"/>
      <c r="I29" s="138"/>
      <c r="J29" s="25"/>
      <c r="K29" s="26"/>
      <c r="L29" s="22"/>
      <c r="P29" s="447">
        <v>26</v>
      </c>
      <c r="Q29" s="448">
        <v>8.8612857550000008</v>
      </c>
      <c r="R29" s="448">
        <v>3.5</v>
      </c>
      <c r="S29" s="448">
        <v>68.087428501674069</v>
      </c>
      <c r="T29" s="448">
        <v>30.317143300000001</v>
      </c>
      <c r="U29" s="448">
        <v>8.8971428190000008</v>
      </c>
      <c r="V29" s="448">
        <v>10</v>
      </c>
      <c r="W29" s="448">
        <v>1.4324285809999999</v>
      </c>
      <c r="X29" s="448">
        <v>37.759999409999999</v>
      </c>
      <c r="Y29" s="448">
        <v>8.911428656</v>
      </c>
    </row>
    <row r="30" spans="1:25" ht="11.25" customHeight="1">
      <c r="A30" s="136"/>
      <c r="B30" s="138"/>
      <c r="C30" s="138"/>
      <c r="D30" s="138"/>
      <c r="E30" s="138"/>
      <c r="F30" s="138"/>
      <c r="G30" s="138"/>
      <c r="H30" s="138"/>
      <c r="I30" s="138"/>
      <c r="J30" s="25"/>
      <c r="K30" s="26"/>
      <c r="L30" s="22"/>
      <c r="P30" s="447">
        <v>27</v>
      </c>
      <c r="Q30" s="448">
        <v>8.3185714990000008</v>
      </c>
      <c r="R30" s="448">
        <v>4.0900001530000001</v>
      </c>
      <c r="S30" s="448">
        <v>60.110428400000004</v>
      </c>
      <c r="T30" s="448">
        <v>28.581429350000001</v>
      </c>
      <c r="U30" s="448">
        <v>7.9442856649999998</v>
      </c>
      <c r="V30" s="448">
        <v>10.001428600000001</v>
      </c>
      <c r="W30" s="448">
        <v>1.455999987</v>
      </c>
      <c r="X30" s="448">
        <v>35.967143470000003</v>
      </c>
      <c r="Y30" s="448">
        <v>7.2057142259999996</v>
      </c>
    </row>
    <row r="31" spans="1:25" ht="11.25" customHeight="1">
      <c r="A31" s="136"/>
      <c r="B31" s="138"/>
      <c r="C31" s="138"/>
      <c r="D31" s="138"/>
      <c r="E31" s="138"/>
      <c r="F31" s="138"/>
      <c r="G31" s="138"/>
      <c r="H31" s="138"/>
      <c r="I31" s="138"/>
      <c r="J31" s="25"/>
      <c r="K31" s="26"/>
      <c r="L31" s="22"/>
      <c r="O31" s="446">
        <v>28</v>
      </c>
      <c r="P31" s="447">
        <v>28</v>
      </c>
      <c r="Q31" s="448">
        <v>7.789714268</v>
      </c>
      <c r="R31" s="448">
        <v>3.119999886</v>
      </c>
      <c r="S31" s="448">
        <v>60.986856189999997</v>
      </c>
      <c r="T31" s="448">
        <v>27.099999836512943</v>
      </c>
      <c r="U31" s="448">
        <v>7.4514284819999999</v>
      </c>
      <c r="V31" s="448">
        <v>10.0128573</v>
      </c>
      <c r="W31" s="448">
        <v>1.5508571609999999</v>
      </c>
      <c r="X31" s="448">
        <v>47.66357095</v>
      </c>
      <c r="Y31" s="448">
        <v>9.9999998639999994</v>
      </c>
    </row>
    <row r="32" spans="1:25" ht="11.25" customHeight="1">
      <c r="A32" s="136"/>
      <c r="B32" s="138"/>
      <c r="C32" s="138"/>
      <c r="D32" s="138"/>
      <c r="E32" s="138"/>
      <c r="F32" s="138"/>
      <c r="G32" s="138"/>
      <c r="H32" s="138"/>
      <c r="I32" s="138"/>
      <c r="J32" s="26"/>
      <c r="K32" s="26"/>
      <c r="L32" s="22"/>
      <c r="P32" s="447">
        <v>29</v>
      </c>
      <c r="Q32" s="448">
        <v>7.1615714349999999</v>
      </c>
      <c r="R32" s="448">
        <v>3.4249999519999998</v>
      </c>
      <c r="S32" s="448">
        <v>56.540714260000001</v>
      </c>
      <c r="T32" s="448">
        <v>23.477142610000001</v>
      </c>
      <c r="U32" s="448">
        <v>6.2828570089999998</v>
      </c>
      <c r="V32" s="448">
        <v>10.001428600000001</v>
      </c>
      <c r="W32" s="448">
        <v>2.1035714489999999</v>
      </c>
      <c r="X32" s="448">
        <v>44.25</v>
      </c>
      <c r="Y32" s="448">
        <v>6.7128572460000004</v>
      </c>
    </row>
    <row r="33" spans="1:25" ht="11.25" customHeight="1">
      <c r="A33" s="136"/>
      <c r="B33" s="138"/>
      <c r="C33" s="138"/>
      <c r="D33" s="138"/>
      <c r="E33" s="138"/>
      <c r="F33" s="138"/>
      <c r="G33" s="138"/>
      <c r="H33" s="138"/>
      <c r="I33" s="138"/>
      <c r="J33" s="25"/>
      <c r="K33" s="26"/>
      <c r="L33" s="22"/>
      <c r="P33" s="447">
        <v>30</v>
      </c>
      <c r="Q33" s="448">
        <v>6.6714285440000003</v>
      </c>
      <c r="R33" s="448">
        <v>2.8789999489999998</v>
      </c>
      <c r="S33" s="448">
        <v>65.491856709999993</v>
      </c>
      <c r="T33" s="448">
        <v>21.095714300000001</v>
      </c>
      <c r="U33" s="448">
        <v>5.8057142669999999</v>
      </c>
      <c r="V33" s="448">
        <v>10.01142883</v>
      </c>
      <c r="W33" s="448">
        <v>1.8491428750000001</v>
      </c>
      <c r="X33" s="448">
        <v>42.498571668352326</v>
      </c>
      <c r="Y33" s="448">
        <v>6.0797142300000004</v>
      </c>
    </row>
    <row r="34" spans="1:25" ht="11.25" customHeight="1">
      <c r="A34" s="136"/>
      <c r="B34" s="138"/>
      <c r="C34" s="138"/>
      <c r="D34" s="138"/>
      <c r="E34" s="138"/>
      <c r="F34" s="138"/>
      <c r="G34" s="138"/>
      <c r="H34" s="138"/>
      <c r="I34" s="138"/>
      <c r="J34" s="25"/>
      <c r="K34" s="34"/>
      <c r="L34" s="22"/>
      <c r="P34" s="447">
        <v>31</v>
      </c>
      <c r="Q34" s="448">
        <v>6.2387143543788328</v>
      </c>
      <c r="R34" s="448">
        <v>2.9382856232779297</v>
      </c>
      <c r="S34" s="448">
        <v>65.491856711251344</v>
      </c>
      <c r="T34" s="448">
        <v>20.037142889840243</v>
      </c>
      <c r="U34" s="448">
        <v>5.4814286231994549</v>
      </c>
      <c r="V34" s="448">
        <v>10.011428833007772</v>
      </c>
      <c r="W34" s="448">
        <v>1.8019999946866672</v>
      </c>
      <c r="X34" s="448">
        <v>39.98428617204933</v>
      </c>
      <c r="Y34" s="448">
        <v>4.9059999329703157</v>
      </c>
    </row>
    <row r="35" spans="1:25" ht="11.25" customHeight="1">
      <c r="A35" s="136"/>
      <c r="B35" s="138"/>
      <c r="C35" s="138"/>
      <c r="D35" s="138"/>
      <c r="E35" s="138"/>
      <c r="F35" s="138"/>
      <c r="G35" s="138"/>
      <c r="H35" s="138"/>
      <c r="I35" s="138"/>
      <c r="J35" s="25"/>
      <c r="K35" s="34"/>
      <c r="L35" s="38"/>
      <c r="O35" s="446">
        <v>32</v>
      </c>
      <c r="P35" s="447">
        <v>32</v>
      </c>
      <c r="Q35" s="448">
        <v>6.1697142459999998</v>
      </c>
      <c r="R35" s="448">
        <v>3.2030000689999998</v>
      </c>
      <c r="S35" s="448">
        <v>49.942714418571427</v>
      </c>
      <c r="T35" s="448">
        <v>23.275714059999999</v>
      </c>
      <c r="U35" s="448">
        <v>5.8257142479999997</v>
      </c>
      <c r="V35" s="448">
        <v>10.004285810000001</v>
      </c>
      <c r="W35" s="448">
        <v>1.2214285650000001</v>
      </c>
      <c r="X35" s="448">
        <v>36.654999320000002</v>
      </c>
      <c r="Y35" s="448">
        <v>4.0242800000000001</v>
      </c>
    </row>
    <row r="36" spans="1:25" ht="11.25" customHeight="1">
      <c r="A36" s="136"/>
      <c r="B36" s="138"/>
      <c r="C36" s="138"/>
      <c r="D36" s="138"/>
      <c r="E36" s="138"/>
      <c r="F36" s="138"/>
      <c r="G36" s="138"/>
      <c r="H36" s="138"/>
      <c r="I36" s="138"/>
      <c r="J36" s="25"/>
      <c r="K36" s="29"/>
      <c r="L36" s="22"/>
      <c r="P36" s="447">
        <v>33</v>
      </c>
      <c r="Q36" s="448">
        <v>6.3728570940000004</v>
      </c>
      <c r="R36" s="448">
        <v>2.841857144</v>
      </c>
      <c r="S36" s="448">
        <v>57.183571406773112</v>
      </c>
      <c r="T36" s="448">
        <v>22.619999750000002</v>
      </c>
      <c r="U36" s="448">
        <v>5.5228571210000004</v>
      </c>
      <c r="V36" s="448">
        <v>10</v>
      </c>
      <c r="W36" s="448">
        <v>1.3032857349940685</v>
      </c>
      <c r="X36" s="448">
        <v>35.152857099999999</v>
      </c>
      <c r="Y36" s="448">
        <v>4.354285752</v>
      </c>
    </row>
    <row r="37" spans="1:25" ht="11.25" customHeight="1">
      <c r="A37" s="136"/>
      <c r="B37" s="138"/>
      <c r="C37" s="138"/>
      <c r="D37" s="138"/>
      <c r="E37" s="138"/>
      <c r="F37" s="138"/>
      <c r="G37" s="138"/>
      <c r="H37" s="138"/>
      <c r="I37" s="138"/>
      <c r="J37" s="25"/>
      <c r="K37" s="29"/>
      <c r="L37" s="22"/>
      <c r="P37" s="447">
        <v>34</v>
      </c>
      <c r="Q37" s="448">
        <v>6.1195714130000001</v>
      </c>
      <c r="R37" s="448">
        <v>3.058000088</v>
      </c>
      <c r="S37" s="448">
        <v>49.366142269999997</v>
      </c>
      <c r="T37" s="448">
        <v>25.04757145</v>
      </c>
      <c r="U37" s="448">
        <v>5.8727143149999996</v>
      </c>
      <c r="V37" s="448">
        <v>10.00857162</v>
      </c>
      <c r="W37" s="448">
        <v>1.2842857160000001</v>
      </c>
      <c r="X37" s="448">
        <v>34.115715029999997</v>
      </c>
      <c r="Y37" s="448">
        <v>4.3511429509999999</v>
      </c>
    </row>
    <row r="38" spans="1:25" ht="11.25" customHeight="1">
      <c r="A38" s="136"/>
      <c r="B38" s="138"/>
      <c r="C38" s="138"/>
      <c r="D38" s="138"/>
      <c r="E38" s="138"/>
      <c r="F38" s="138"/>
      <c r="G38" s="138"/>
      <c r="H38" s="138"/>
      <c r="I38" s="138"/>
      <c r="J38" s="25"/>
      <c r="K38" s="29"/>
      <c r="L38" s="22"/>
      <c r="P38" s="447">
        <v>35</v>
      </c>
      <c r="Q38" s="448">
        <v>5.9814286230000002</v>
      </c>
      <c r="R38" s="448">
        <v>1.506999969</v>
      </c>
      <c r="S38" s="448">
        <v>56.934856959999998</v>
      </c>
      <c r="T38" s="448">
        <v>21.374285830000002</v>
      </c>
      <c r="U38" s="448">
        <v>4.9342857090000001</v>
      </c>
      <c r="V38" s="448">
        <v>10.28714289</v>
      </c>
      <c r="W38" s="448">
        <v>1.5979999810000001</v>
      </c>
      <c r="X38" s="448">
        <v>30.92</v>
      </c>
      <c r="Y38" s="448">
        <v>5.3042856629999999</v>
      </c>
    </row>
    <row r="39" spans="1:25" ht="11.25" customHeight="1">
      <c r="O39" s="446">
        <v>36</v>
      </c>
      <c r="P39" s="447">
        <v>36</v>
      </c>
      <c r="Q39" s="448">
        <v>6.03</v>
      </c>
      <c r="R39" s="448">
        <v>2.8</v>
      </c>
      <c r="S39" s="448">
        <v>48.51</v>
      </c>
      <c r="T39" s="448">
        <v>22.661428449999999</v>
      </c>
      <c r="U39" s="448">
        <v>4.9800000000000004</v>
      </c>
      <c r="V39" s="448">
        <v>11.01</v>
      </c>
      <c r="W39" s="448">
        <v>1.63</v>
      </c>
      <c r="X39" s="448">
        <v>30.922143120000001</v>
      </c>
      <c r="Y39" s="448">
        <v>7.46</v>
      </c>
    </row>
    <row r="40" spans="1:25" ht="11.25" customHeight="1">
      <c r="A40" s="925" t="s">
        <v>510</v>
      </c>
      <c r="B40" s="925"/>
      <c r="C40" s="925"/>
      <c r="D40" s="925"/>
      <c r="E40" s="925"/>
      <c r="F40" s="925"/>
      <c r="G40" s="925"/>
      <c r="H40" s="925"/>
      <c r="I40" s="925"/>
      <c r="J40" s="925"/>
      <c r="K40" s="925"/>
      <c r="L40" s="925"/>
      <c r="P40" s="447">
        <v>37</v>
      </c>
      <c r="Q40" s="448">
        <v>6.03</v>
      </c>
      <c r="R40" s="448">
        <v>2.37</v>
      </c>
      <c r="S40" s="448">
        <v>43.99</v>
      </c>
      <c r="T40" s="448">
        <v>19.149999999999999</v>
      </c>
      <c r="U40" s="448">
        <v>5.31</v>
      </c>
      <c r="V40" s="448">
        <v>11</v>
      </c>
      <c r="W40" s="448">
        <v>1.59</v>
      </c>
      <c r="X40" s="448">
        <v>29.33</v>
      </c>
      <c r="Y40" s="448">
        <v>7.79</v>
      </c>
    </row>
    <row r="41" spans="1:25" ht="11.25" customHeight="1">
      <c r="P41" s="447">
        <v>38</v>
      </c>
      <c r="Q41" s="448">
        <v>6.5951428410000004</v>
      </c>
      <c r="R41" s="448">
        <v>3.0060000420000001</v>
      </c>
      <c r="S41" s="448">
        <v>47.220570700000003</v>
      </c>
      <c r="T41" s="448">
        <v>22.304285589999999</v>
      </c>
      <c r="U41" s="448">
        <v>5.581428528</v>
      </c>
      <c r="V41" s="448">
        <v>10.85142858</v>
      </c>
      <c r="W41" s="448">
        <v>1.5402856890000001</v>
      </c>
      <c r="X41" s="448">
        <v>34.179286410000003</v>
      </c>
      <c r="Y41" s="448">
        <v>8.5442856379999998</v>
      </c>
    </row>
    <row r="42" spans="1:25" ht="11.25" customHeight="1">
      <c r="A42" s="136"/>
      <c r="B42" s="138"/>
      <c r="C42" s="138"/>
      <c r="D42" s="138"/>
      <c r="E42" s="138"/>
      <c r="F42" s="138"/>
      <c r="G42" s="138"/>
      <c r="H42" s="138"/>
      <c r="I42" s="138"/>
      <c r="O42" s="446">
        <v>39</v>
      </c>
      <c r="P42" s="447">
        <v>39</v>
      </c>
      <c r="Q42" s="448">
        <v>6.84</v>
      </c>
      <c r="R42" s="448">
        <v>3.32</v>
      </c>
      <c r="S42" s="448">
        <v>63.05</v>
      </c>
      <c r="T42" s="448">
        <v>48.7</v>
      </c>
      <c r="U42" s="448">
        <v>7.81</v>
      </c>
      <c r="V42" s="448">
        <v>11.15</v>
      </c>
      <c r="W42" s="448">
        <v>1.32</v>
      </c>
      <c r="X42" s="448">
        <v>38.82</v>
      </c>
      <c r="Y42" s="448">
        <v>6.81</v>
      </c>
    </row>
    <row r="43" spans="1:25" ht="11.25" customHeight="1">
      <c r="A43" s="136"/>
      <c r="B43" s="138"/>
      <c r="C43" s="138"/>
      <c r="D43" s="138"/>
      <c r="E43" s="138"/>
      <c r="F43" s="138"/>
      <c r="G43" s="138"/>
      <c r="H43" s="138"/>
      <c r="I43" s="138"/>
      <c r="P43" s="447">
        <v>40</v>
      </c>
      <c r="Q43" s="448">
        <v>7.6862857681428576</v>
      </c>
      <c r="R43" s="448">
        <v>3.1560000009999998</v>
      </c>
      <c r="S43" s="448">
        <v>61.54114314571428</v>
      </c>
      <c r="T43" s="448">
        <v>37.928571428999994</v>
      </c>
      <c r="U43" s="448">
        <v>7.9165713450000004</v>
      </c>
      <c r="V43" s="448">
        <v>11.005714417142856</v>
      </c>
      <c r="W43" s="448">
        <v>1.3828571522857145</v>
      </c>
      <c r="X43" s="448">
        <v>43.879284992857151</v>
      </c>
      <c r="Y43" s="448">
        <v>6.2752857208571422</v>
      </c>
    </row>
    <row r="44" spans="1:25" ht="11.25" customHeight="1">
      <c r="A44" s="136"/>
      <c r="B44" s="138"/>
      <c r="C44" s="138"/>
      <c r="D44" s="138"/>
      <c r="E44" s="138"/>
      <c r="F44" s="138"/>
      <c r="G44" s="138"/>
      <c r="H44" s="138"/>
      <c r="I44" s="138"/>
      <c r="P44" s="447">
        <v>41</v>
      </c>
      <c r="Q44" s="448">
        <v>7.1000001089913463</v>
      </c>
      <c r="R44" s="448">
        <v>2.9028571673801928</v>
      </c>
      <c r="S44" s="448">
        <v>58.117285592215353</v>
      </c>
      <c r="T44" s="448">
        <v>48.921429225376635</v>
      </c>
      <c r="U44" s="448">
        <v>8.5942858287266173</v>
      </c>
      <c r="V44" s="448">
        <v>11.002857208251914</v>
      </c>
      <c r="W44" s="448">
        <v>1.3182857036590543</v>
      </c>
      <c r="X44" s="448">
        <v>45.627857753208637</v>
      </c>
      <c r="Y44" s="448">
        <v>9.9285714966910028</v>
      </c>
    </row>
    <row r="45" spans="1:25" ht="11.25" customHeight="1">
      <c r="A45" s="136"/>
      <c r="B45" s="138"/>
      <c r="C45" s="138"/>
      <c r="D45" s="138"/>
      <c r="E45" s="138"/>
      <c r="F45" s="138"/>
      <c r="G45" s="138"/>
      <c r="H45" s="138"/>
      <c r="I45" s="138"/>
      <c r="P45" s="447">
        <v>42</v>
      </c>
      <c r="Q45" s="448">
        <v>6.7610000201428573</v>
      </c>
      <c r="R45" s="448">
        <v>2.8671428815714286</v>
      </c>
      <c r="S45" s="448">
        <v>58.888142721428572</v>
      </c>
      <c r="T45" s="448">
        <v>55.619142805714283</v>
      </c>
      <c r="U45" s="448">
        <v>9.5089999614285716</v>
      </c>
      <c r="V45" s="448">
        <v>11.007142884285715</v>
      </c>
      <c r="W45" s="448">
        <v>1.2221428497142859</v>
      </c>
      <c r="X45" s="448">
        <v>52.615000045714282</v>
      </c>
      <c r="Y45" s="448">
        <v>9.6800000322857152</v>
      </c>
    </row>
    <row r="46" spans="1:25" ht="11.25" customHeight="1">
      <c r="A46" s="136"/>
      <c r="B46" s="138"/>
      <c r="C46" s="138"/>
      <c r="D46" s="138"/>
      <c r="E46" s="138"/>
      <c r="F46" s="138"/>
      <c r="G46" s="138"/>
      <c r="H46" s="138"/>
      <c r="I46" s="138"/>
      <c r="O46" s="446">
        <v>43</v>
      </c>
      <c r="P46" s="447">
        <v>43</v>
      </c>
      <c r="Q46" s="448">
        <v>6.53</v>
      </c>
      <c r="R46" s="448">
        <v>2.37</v>
      </c>
      <c r="S46" s="448">
        <v>69.2</v>
      </c>
      <c r="T46" s="448">
        <v>54.58</v>
      </c>
      <c r="U46" s="448">
        <v>8.23</v>
      </c>
      <c r="V46" s="448">
        <v>11.01</v>
      </c>
      <c r="W46" s="448">
        <v>1.35</v>
      </c>
      <c r="X46" s="448">
        <v>50.71</v>
      </c>
      <c r="Y46" s="448">
        <v>10.33</v>
      </c>
    </row>
    <row r="47" spans="1:25" ht="11.25" customHeight="1">
      <c r="A47" s="136"/>
      <c r="B47" s="138"/>
      <c r="C47" s="138"/>
      <c r="D47" s="138"/>
      <c r="E47" s="138"/>
      <c r="F47" s="138"/>
      <c r="G47" s="138"/>
      <c r="H47" s="138"/>
      <c r="I47" s="138"/>
      <c r="P47" s="447">
        <v>44</v>
      </c>
      <c r="Q47" s="448">
        <v>7.58</v>
      </c>
      <c r="R47" s="448">
        <v>4.8899999999999997</v>
      </c>
      <c r="S47" s="448">
        <v>51.59</v>
      </c>
      <c r="T47" s="448">
        <v>57.65</v>
      </c>
      <c r="U47" s="448">
        <v>7.72</v>
      </c>
      <c r="V47" s="448">
        <v>11.01</v>
      </c>
      <c r="W47" s="448">
        <v>1.47</v>
      </c>
      <c r="X47" s="448">
        <v>48.41</v>
      </c>
      <c r="Y47" s="448">
        <v>11.29</v>
      </c>
    </row>
    <row r="48" spans="1:25">
      <c r="A48" s="136"/>
      <c r="B48" s="138"/>
      <c r="C48" s="138"/>
      <c r="D48" s="138"/>
      <c r="E48" s="138"/>
      <c r="F48" s="138"/>
      <c r="G48" s="138"/>
      <c r="H48" s="138"/>
      <c r="I48" s="138"/>
      <c r="P48" s="447">
        <v>45</v>
      </c>
      <c r="Q48" s="448">
        <v>6.95</v>
      </c>
      <c r="R48" s="448">
        <v>1.61</v>
      </c>
      <c r="S48" s="448">
        <v>72.92</v>
      </c>
      <c r="T48" s="448">
        <v>67.069999999999993</v>
      </c>
      <c r="U48" s="448">
        <v>6.9</v>
      </c>
      <c r="V48" s="448">
        <v>11</v>
      </c>
      <c r="W48" s="448">
        <v>1.42</v>
      </c>
      <c r="X48" s="448">
        <v>47.24</v>
      </c>
      <c r="Y48" s="448">
        <v>9</v>
      </c>
    </row>
    <row r="49" spans="1:25">
      <c r="A49" s="136"/>
      <c r="B49" s="138"/>
      <c r="C49" s="138"/>
      <c r="D49" s="138"/>
      <c r="E49" s="138"/>
      <c r="F49" s="138"/>
      <c r="G49" s="138"/>
      <c r="H49" s="138"/>
      <c r="I49" s="138"/>
      <c r="P49" s="447">
        <v>46</v>
      </c>
      <c r="Q49" s="448">
        <v>6.8571429249999998</v>
      </c>
      <c r="R49" s="448">
        <v>1.6428571599999999</v>
      </c>
      <c r="S49" s="448">
        <v>58.4</v>
      </c>
      <c r="T49" s="448">
        <v>34.982142860000003</v>
      </c>
      <c r="U49" s="448">
        <v>5.0667143550000002</v>
      </c>
      <c r="V49" s="448">
        <v>11.01</v>
      </c>
      <c r="W49" s="448">
        <v>1.38</v>
      </c>
      <c r="X49" s="448">
        <v>40.61</v>
      </c>
      <c r="Y49" s="448">
        <v>8.81</v>
      </c>
    </row>
    <row r="50" spans="1:25">
      <c r="A50" s="136"/>
      <c r="B50" s="138"/>
      <c r="C50" s="138"/>
      <c r="D50" s="138"/>
      <c r="E50" s="138"/>
      <c r="F50" s="138"/>
      <c r="G50" s="138"/>
      <c r="H50" s="138"/>
      <c r="I50" s="138"/>
      <c r="P50" s="447">
        <v>47</v>
      </c>
      <c r="Q50" s="448">
        <v>6.9940000260000001</v>
      </c>
      <c r="R50" s="448">
        <v>1.5142857009999999</v>
      </c>
      <c r="S50" s="448">
        <v>52.554856440000002</v>
      </c>
      <c r="T50" s="448">
        <v>29.07742855</v>
      </c>
      <c r="U50" s="448">
        <v>4.2727143420000004</v>
      </c>
      <c r="V50" s="448">
        <v>11.00286</v>
      </c>
      <c r="W50" s="448">
        <v>1.63</v>
      </c>
      <c r="X50" s="448">
        <v>41.625</v>
      </c>
      <c r="Y50" s="448">
        <v>9.3542860000000001</v>
      </c>
    </row>
    <row r="51" spans="1:25">
      <c r="A51" s="136"/>
      <c r="B51" s="138"/>
      <c r="C51" s="138"/>
      <c r="D51" s="138"/>
      <c r="E51" s="138"/>
      <c r="F51" s="138"/>
      <c r="G51" s="138"/>
      <c r="H51" s="138"/>
      <c r="I51" s="138"/>
      <c r="O51" s="446">
        <v>48</v>
      </c>
      <c r="P51" s="447">
        <v>48</v>
      </c>
      <c r="Q51" s="448">
        <v>7.1124285970000001</v>
      </c>
      <c r="R51" s="448">
        <v>1.4714285645714287</v>
      </c>
      <c r="S51" s="448">
        <v>53.429429191428575</v>
      </c>
      <c r="T51" s="448">
        <v>88.059571399999996</v>
      </c>
      <c r="U51" s="448">
        <v>7.879285812428571</v>
      </c>
      <c r="V51" s="448">
        <v>10.862857274285714</v>
      </c>
      <c r="W51" s="448">
        <v>1.6007142748571428</v>
      </c>
      <c r="X51" s="448">
        <v>41.014285495714283</v>
      </c>
      <c r="Y51" s="448">
        <v>14.194285802</v>
      </c>
    </row>
    <row r="52" spans="1:25">
      <c r="A52" s="136"/>
      <c r="B52" s="138"/>
      <c r="C52" s="138"/>
      <c r="D52" s="138"/>
      <c r="E52" s="138"/>
      <c r="F52" s="138"/>
      <c r="G52" s="138"/>
      <c r="H52" s="138"/>
      <c r="I52" s="138"/>
      <c r="P52" s="447">
        <v>49</v>
      </c>
      <c r="Q52" s="448">
        <v>8.43</v>
      </c>
      <c r="R52" s="448">
        <v>2.2400000000000002</v>
      </c>
      <c r="S52" s="448">
        <v>61.07</v>
      </c>
      <c r="T52" s="448">
        <v>106.59</v>
      </c>
      <c r="U52" s="448">
        <v>16.09</v>
      </c>
      <c r="V52" s="448">
        <v>10.5</v>
      </c>
      <c r="W52" s="448">
        <v>1.1200000000000001</v>
      </c>
      <c r="X52" s="448">
        <v>83.6</v>
      </c>
      <c r="Y52" s="448">
        <v>22.62</v>
      </c>
    </row>
    <row r="53" spans="1:25">
      <c r="A53" s="136"/>
      <c r="B53" s="138"/>
      <c r="C53" s="138"/>
      <c r="D53" s="138"/>
      <c r="E53" s="138"/>
      <c r="F53" s="138"/>
      <c r="G53" s="138"/>
      <c r="H53" s="138"/>
      <c r="I53" s="138"/>
      <c r="P53" s="447">
        <v>50</v>
      </c>
      <c r="Q53" s="448">
        <v>8.32</v>
      </c>
      <c r="R53" s="448">
        <v>2.19</v>
      </c>
      <c r="S53" s="448">
        <v>78.02</v>
      </c>
      <c r="T53" s="448">
        <v>104.79</v>
      </c>
      <c r="U53" s="448">
        <v>18.649999999999999</v>
      </c>
      <c r="V53" s="448">
        <v>10.51</v>
      </c>
      <c r="W53" s="448">
        <v>1.1399999999999999</v>
      </c>
      <c r="X53" s="448">
        <v>66.8</v>
      </c>
      <c r="Y53" s="448">
        <v>22.62</v>
      </c>
    </row>
    <row r="54" spans="1:25">
      <c r="A54" s="136"/>
      <c r="B54" s="138"/>
      <c r="C54" s="138"/>
      <c r="D54" s="138"/>
      <c r="E54" s="138"/>
      <c r="F54" s="138"/>
      <c r="G54" s="138"/>
      <c r="H54" s="138"/>
      <c r="I54" s="138"/>
      <c r="P54" s="447">
        <v>51</v>
      </c>
      <c r="Q54" s="448">
        <v>9.08</v>
      </c>
      <c r="R54" s="448">
        <v>3.71</v>
      </c>
      <c r="S54" s="448">
        <v>67.64</v>
      </c>
      <c r="T54" s="448">
        <v>69.61</v>
      </c>
      <c r="U54" s="448">
        <v>11.22</v>
      </c>
      <c r="V54" s="448">
        <v>10.5</v>
      </c>
      <c r="W54" s="448">
        <v>1.37</v>
      </c>
      <c r="X54" s="448">
        <v>55.42</v>
      </c>
      <c r="Y54" s="448">
        <v>17.489999999999998</v>
      </c>
    </row>
    <row r="55" spans="1:25">
      <c r="A55" s="136"/>
      <c r="B55" s="138"/>
      <c r="C55" s="138"/>
      <c r="D55" s="138"/>
      <c r="E55" s="138"/>
      <c r="F55" s="138"/>
      <c r="G55" s="138"/>
      <c r="H55" s="138"/>
      <c r="I55" s="138"/>
      <c r="O55" s="446">
        <v>52</v>
      </c>
      <c r="P55" s="447">
        <v>52</v>
      </c>
      <c r="Q55" s="448">
        <v>8.42</v>
      </c>
      <c r="R55" s="448">
        <v>3.57</v>
      </c>
      <c r="S55" s="448">
        <v>56.187571937142856</v>
      </c>
      <c r="T55" s="448">
        <v>58.452428545714284</v>
      </c>
      <c r="U55" s="448">
        <v>8.01</v>
      </c>
      <c r="V55" s="448">
        <v>10.507142884285715</v>
      </c>
      <c r="W55" s="448">
        <v>1.53</v>
      </c>
      <c r="X55" s="448">
        <v>59.550713675714292</v>
      </c>
      <c r="Y55" s="448">
        <v>18.608285904285712</v>
      </c>
    </row>
    <row r="56" spans="1:25">
      <c r="A56" s="136"/>
      <c r="B56" s="138"/>
      <c r="C56" s="138"/>
      <c r="D56" s="138"/>
      <c r="E56" s="138"/>
      <c r="F56" s="138"/>
      <c r="G56" s="138"/>
      <c r="H56" s="138"/>
      <c r="I56" s="138"/>
      <c r="N56" s="446">
        <v>2017</v>
      </c>
      <c r="O56" s="446">
        <v>1</v>
      </c>
      <c r="P56" s="447">
        <v>1</v>
      </c>
      <c r="Q56" s="448">
        <v>13.85</v>
      </c>
      <c r="R56" s="448">
        <v>11.3</v>
      </c>
      <c r="S56" s="448">
        <v>104.02</v>
      </c>
      <c r="T56" s="448">
        <v>148.43</v>
      </c>
      <c r="U56" s="448">
        <v>24.1</v>
      </c>
      <c r="V56" s="448">
        <v>10.220000000000001</v>
      </c>
      <c r="W56" s="448">
        <v>3.28</v>
      </c>
      <c r="X56" s="448">
        <v>89.46</v>
      </c>
      <c r="Y56" s="448">
        <v>25.43</v>
      </c>
    </row>
    <row r="57" spans="1:25">
      <c r="A57" s="136"/>
      <c r="B57" s="138"/>
      <c r="C57" s="138"/>
      <c r="D57" s="138"/>
      <c r="E57" s="138"/>
      <c r="F57" s="138"/>
      <c r="G57" s="138"/>
      <c r="H57" s="138"/>
      <c r="I57" s="138"/>
      <c r="P57" s="447">
        <v>2</v>
      </c>
      <c r="Q57" s="448">
        <v>14.96</v>
      </c>
      <c r="R57" s="448">
        <v>15.4</v>
      </c>
      <c r="S57" s="448">
        <v>143.97</v>
      </c>
      <c r="T57" s="448">
        <v>175.88</v>
      </c>
      <c r="U57" s="448">
        <v>33.74</v>
      </c>
      <c r="V57" s="448">
        <v>10.17</v>
      </c>
      <c r="W57" s="448">
        <v>6.45</v>
      </c>
      <c r="X57" s="448">
        <v>178.14</v>
      </c>
      <c r="Y57" s="448">
        <v>55.67</v>
      </c>
    </row>
    <row r="58" spans="1:25">
      <c r="A58" s="136"/>
      <c r="B58" s="138"/>
      <c r="C58" s="138"/>
      <c r="D58" s="138"/>
      <c r="E58" s="138"/>
      <c r="F58" s="138"/>
      <c r="G58" s="138"/>
      <c r="H58" s="138"/>
      <c r="I58" s="138"/>
      <c r="P58" s="447">
        <v>3</v>
      </c>
      <c r="Q58" s="448">
        <v>28.98</v>
      </c>
      <c r="R58" s="448">
        <v>21.94</v>
      </c>
      <c r="S58" s="448">
        <v>355.12</v>
      </c>
      <c r="T58" s="448">
        <v>177.57</v>
      </c>
      <c r="U58" s="448">
        <v>35.49</v>
      </c>
      <c r="V58" s="448">
        <v>10</v>
      </c>
      <c r="W58" s="448">
        <v>9.0500000000000007</v>
      </c>
      <c r="X58" s="448">
        <v>174.94</v>
      </c>
      <c r="Y58" s="448">
        <v>58.31</v>
      </c>
    </row>
    <row r="59" spans="1:25">
      <c r="A59" s="136"/>
      <c r="B59" s="138"/>
      <c r="C59" s="138"/>
      <c r="D59" s="138"/>
      <c r="E59" s="138"/>
      <c r="F59" s="138"/>
      <c r="G59" s="138"/>
      <c r="H59" s="138"/>
      <c r="I59" s="138"/>
      <c r="O59" s="446">
        <v>4</v>
      </c>
      <c r="P59" s="447">
        <v>4</v>
      </c>
      <c r="Q59" s="448">
        <v>30.46</v>
      </c>
      <c r="R59" s="448">
        <v>23.91</v>
      </c>
      <c r="S59" s="448">
        <v>519.4</v>
      </c>
      <c r="T59" s="448">
        <v>205.76</v>
      </c>
      <c r="U59" s="448">
        <v>48.48</v>
      </c>
      <c r="V59" s="448">
        <v>10</v>
      </c>
      <c r="W59" s="448">
        <v>2.4300000000000002</v>
      </c>
      <c r="X59" s="448">
        <v>141.31</v>
      </c>
      <c r="Y59" s="448">
        <v>47.49</v>
      </c>
    </row>
    <row r="60" spans="1:25">
      <c r="A60" s="136"/>
      <c r="B60" s="138"/>
      <c r="C60" s="138"/>
      <c r="D60" s="138"/>
      <c r="E60" s="138"/>
      <c r="F60" s="138"/>
      <c r="G60" s="138"/>
      <c r="H60" s="138"/>
      <c r="I60" s="138"/>
      <c r="P60" s="447">
        <v>5</v>
      </c>
      <c r="Q60" s="448">
        <v>21.36</v>
      </c>
      <c r="R60" s="448">
        <v>18.07</v>
      </c>
      <c r="S60" s="448">
        <v>330.78</v>
      </c>
      <c r="T60" s="448">
        <v>123.41</v>
      </c>
      <c r="U60" s="448">
        <v>25.33</v>
      </c>
      <c r="V60" s="448">
        <v>11.41</v>
      </c>
      <c r="W60" s="448">
        <v>2.87</v>
      </c>
      <c r="X60" s="448">
        <v>123.59</v>
      </c>
      <c r="Y60" s="448">
        <v>45.46</v>
      </c>
    </row>
    <row r="61" spans="1:25">
      <c r="A61" s="136"/>
      <c r="B61" s="138"/>
      <c r="C61" s="138"/>
      <c r="D61" s="138"/>
      <c r="E61" s="138"/>
      <c r="F61" s="138"/>
      <c r="G61" s="138"/>
      <c r="H61" s="138"/>
      <c r="I61" s="138"/>
      <c r="P61" s="447">
        <v>6</v>
      </c>
      <c r="Q61" s="448">
        <v>25.42</v>
      </c>
      <c r="R61" s="448">
        <v>21.42</v>
      </c>
      <c r="S61" s="448">
        <v>200.58</v>
      </c>
      <c r="T61" s="448">
        <v>108.48</v>
      </c>
      <c r="U61" s="448">
        <v>22.99</v>
      </c>
      <c r="V61" s="448">
        <v>10.57</v>
      </c>
      <c r="W61" s="448">
        <v>3.01</v>
      </c>
      <c r="X61" s="448">
        <v>85.48</v>
      </c>
      <c r="Y61" s="448">
        <v>28.56</v>
      </c>
    </row>
    <row r="62" spans="1:25">
      <c r="A62" s="136"/>
      <c r="B62" s="138"/>
      <c r="C62" s="138"/>
      <c r="D62" s="138"/>
      <c r="E62" s="138"/>
      <c r="F62" s="138"/>
      <c r="G62" s="138"/>
      <c r="H62" s="138"/>
      <c r="I62" s="138"/>
      <c r="P62" s="447">
        <v>7</v>
      </c>
      <c r="Q62" s="448">
        <v>35.43</v>
      </c>
      <c r="R62" s="448">
        <v>25.12</v>
      </c>
      <c r="S62" s="448">
        <v>393.69</v>
      </c>
      <c r="T62" s="448">
        <v>144.62</v>
      </c>
      <c r="U62" s="448">
        <v>39.44</v>
      </c>
      <c r="V62" s="448">
        <v>10</v>
      </c>
      <c r="W62" s="448">
        <v>2.88</v>
      </c>
      <c r="X62" s="448">
        <v>100.57</v>
      </c>
      <c r="Y62" s="448">
        <v>25.04</v>
      </c>
    </row>
    <row r="63" spans="1:25">
      <c r="A63" s="136"/>
      <c r="B63" s="138"/>
      <c r="C63" s="138"/>
      <c r="D63" s="138"/>
      <c r="E63" s="138"/>
      <c r="F63" s="138"/>
      <c r="G63" s="138"/>
      <c r="H63" s="138"/>
      <c r="I63" s="138"/>
      <c r="O63" s="446">
        <v>8</v>
      </c>
      <c r="P63" s="447">
        <v>8</v>
      </c>
      <c r="Q63" s="448">
        <v>30.45</v>
      </c>
      <c r="R63" s="448">
        <v>23.33</v>
      </c>
      <c r="S63" s="448">
        <v>345.37</v>
      </c>
      <c r="T63" s="448">
        <v>140.63</v>
      </c>
      <c r="U63" s="448">
        <v>30.47</v>
      </c>
      <c r="V63" s="448">
        <v>9.58</v>
      </c>
      <c r="W63" s="448">
        <v>2.0699999999999998</v>
      </c>
      <c r="X63" s="448">
        <v>163.72999999999999</v>
      </c>
      <c r="Y63" s="448">
        <v>58.84</v>
      </c>
    </row>
    <row r="64" spans="1:25" ht="6" customHeight="1">
      <c r="A64" s="136"/>
      <c r="B64" s="138"/>
      <c r="C64" s="138"/>
      <c r="D64" s="138"/>
      <c r="E64" s="138"/>
      <c r="F64" s="138"/>
      <c r="G64" s="138"/>
      <c r="H64" s="138"/>
      <c r="I64" s="138"/>
      <c r="P64" s="447">
        <v>9</v>
      </c>
      <c r="Q64" s="448">
        <v>37.72</v>
      </c>
      <c r="R64" s="448">
        <v>24.83</v>
      </c>
      <c r="S64" s="448">
        <v>567.22</v>
      </c>
      <c r="T64" s="448">
        <v>245.85</v>
      </c>
      <c r="U64" s="448">
        <v>67.56</v>
      </c>
      <c r="V64" s="448">
        <v>9.01</v>
      </c>
      <c r="W64" s="448">
        <v>7.33</v>
      </c>
      <c r="X64" s="448">
        <v>285.31</v>
      </c>
      <c r="Y64" s="448">
        <v>102.26</v>
      </c>
    </row>
    <row r="65" spans="1:25" ht="24.75" customHeight="1">
      <c r="A65" s="894" t="s">
        <v>511</v>
      </c>
      <c r="B65" s="894"/>
      <c r="C65" s="894"/>
      <c r="D65" s="894"/>
      <c r="E65" s="894"/>
      <c r="F65" s="894"/>
      <c r="G65" s="894"/>
      <c r="H65" s="894"/>
      <c r="I65" s="894"/>
      <c r="J65" s="894"/>
      <c r="K65" s="894"/>
      <c r="L65" s="894"/>
      <c r="P65" s="447">
        <v>10</v>
      </c>
      <c r="Q65" s="448">
        <v>36.46</v>
      </c>
      <c r="R65" s="448">
        <v>24.95</v>
      </c>
      <c r="S65" s="448">
        <v>467.04</v>
      </c>
      <c r="T65" s="448">
        <v>188.01</v>
      </c>
      <c r="U65" s="448">
        <v>50.5</v>
      </c>
      <c r="V65" s="448">
        <v>10.06</v>
      </c>
      <c r="W65" s="448">
        <v>3.71</v>
      </c>
      <c r="X65" s="448">
        <v>374.33</v>
      </c>
      <c r="Y65" s="448">
        <v>83.74</v>
      </c>
    </row>
    <row r="66" spans="1:25" ht="20.25" customHeight="1">
      <c r="P66" s="447">
        <v>11</v>
      </c>
      <c r="Q66" s="448">
        <v>35.590000000000003</v>
      </c>
      <c r="R66" s="448">
        <v>26.89</v>
      </c>
      <c r="S66" s="448">
        <v>448.3</v>
      </c>
      <c r="T66" s="448">
        <v>169.95</v>
      </c>
      <c r="U66" s="448">
        <v>51.21</v>
      </c>
      <c r="V66" s="448">
        <v>26.15</v>
      </c>
      <c r="W66" s="448">
        <v>8.66</v>
      </c>
      <c r="X66" s="448">
        <v>219.86</v>
      </c>
      <c r="Y66" s="448">
        <v>62.42</v>
      </c>
    </row>
    <row r="67" spans="1:25">
      <c r="O67" s="446">
        <v>12</v>
      </c>
      <c r="P67" s="447">
        <v>12</v>
      </c>
      <c r="Q67" s="448">
        <v>37.82</v>
      </c>
      <c r="R67" s="448">
        <v>20.6</v>
      </c>
      <c r="S67" s="448">
        <v>350.87</v>
      </c>
      <c r="T67" s="448">
        <v>146.01</v>
      </c>
      <c r="U67" s="448">
        <v>38.08</v>
      </c>
      <c r="V67" s="448">
        <v>12.43</v>
      </c>
      <c r="W67" s="448">
        <v>5.63</v>
      </c>
      <c r="X67" s="448">
        <v>190.11</v>
      </c>
      <c r="Y67" s="448">
        <v>52.01</v>
      </c>
    </row>
    <row r="68" spans="1:25">
      <c r="P68" s="447">
        <v>13</v>
      </c>
      <c r="Q68" s="448">
        <v>35.93</v>
      </c>
      <c r="R68" s="448">
        <v>24.02</v>
      </c>
      <c r="S68" s="448">
        <v>380.48</v>
      </c>
      <c r="T68" s="448">
        <v>173.02</v>
      </c>
      <c r="U68" s="448">
        <v>38.869999999999997</v>
      </c>
      <c r="V68" s="448">
        <v>11.98</v>
      </c>
      <c r="W68" s="448">
        <v>5.83</v>
      </c>
      <c r="X68" s="448">
        <v>272.08999999999997</v>
      </c>
      <c r="Y68" s="448">
        <v>65.430000000000007</v>
      </c>
    </row>
    <row r="69" spans="1:25">
      <c r="P69" s="447">
        <v>14</v>
      </c>
      <c r="Q69" s="448">
        <v>42.9</v>
      </c>
      <c r="R69" s="448">
        <v>17.87</v>
      </c>
      <c r="S69" s="448">
        <v>427.28</v>
      </c>
      <c r="T69" s="448">
        <v>137.65</v>
      </c>
      <c r="U69" s="448">
        <v>35.950000000000003</v>
      </c>
      <c r="V69" s="448">
        <v>28.72</v>
      </c>
      <c r="W69" s="448">
        <v>4.95</v>
      </c>
      <c r="X69" s="448">
        <v>301.82</v>
      </c>
      <c r="Y69" s="448">
        <v>71.06</v>
      </c>
    </row>
    <row r="70" spans="1:25">
      <c r="P70" s="447">
        <v>15</v>
      </c>
      <c r="Q70" s="448">
        <v>31.19</v>
      </c>
      <c r="R70" s="448">
        <v>17.87</v>
      </c>
      <c r="S70" s="448">
        <v>334.14</v>
      </c>
      <c r="T70" s="448">
        <v>129.9</v>
      </c>
      <c r="U70" s="448">
        <v>29.93</v>
      </c>
      <c r="V70" s="448">
        <v>16.28</v>
      </c>
      <c r="W70" s="448">
        <v>1.82</v>
      </c>
      <c r="X70" s="448">
        <v>203.49</v>
      </c>
      <c r="Y70" s="448">
        <v>77.099999999999994</v>
      </c>
    </row>
    <row r="71" spans="1:25">
      <c r="O71" s="446">
        <v>16</v>
      </c>
      <c r="P71" s="447">
        <v>16</v>
      </c>
      <c r="Q71" s="448">
        <v>22.8</v>
      </c>
      <c r="R71" s="448">
        <v>11.46</v>
      </c>
      <c r="S71" s="448">
        <v>218.96</v>
      </c>
      <c r="T71" s="448">
        <v>100.66</v>
      </c>
      <c r="U71" s="448">
        <v>21.85</v>
      </c>
      <c r="V71" s="448">
        <v>15.43</v>
      </c>
      <c r="W71" s="448">
        <v>2.33</v>
      </c>
      <c r="X71" s="448">
        <v>155.33000000000001</v>
      </c>
      <c r="Y71" s="448">
        <v>48.77</v>
      </c>
    </row>
    <row r="72" spans="1:25">
      <c r="P72" s="447">
        <v>17</v>
      </c>
      <c r="Q72" s="448">
        <v>20.18</v>
      </c>
      <c r="R72" s="448">
        <v>11.46</v>
      </c>
      <c r="S72" s="448">
        <v>180.47</v>
      </c>
      <c r="T72" s="448">
        <v>91.24</v>
      </c>
      <c r="U72" s="448">
        <v>18.89</v>
      </c>
      <c r="V72" s="448">
        <v>12.29</v>
      </c>
      <c r="W72" s="448">
        <v>1.9</v>
      </c>
      <c r="X72" s="448">
        <v>111.37</v>
      </c>
      <c r="Y72" s="448">
        <v>34.409999999999997</v>
      </c>
    </row>
    <row r="73" spans="1:25">
      <c r="P73" s="447">
        <v>18</v>
      </c>
      <c r="Q73" s="448">
        <v>19.84</v>
      </c>
      <c r="R73" s="448">
        <v>10.36</v>
      </c>
      <c r="S73" s="448">
        <v>212.89</v>
      </c>
      <c r="T73" s="448">
        <v>98.95</v>
      </c>
      <c r="U73" s="448">
        <v>19.899999999999999</v>
      </c>
      <c r="V73" s="448">
        <v>11.64</v>
      </c>
      <c r="W73" s="448">
        <v>1.46</v>
      </c>
      <c r="X73" s="448">
        <v>117.05</v>
      </c>
      <c r="Y73" s="448">
        <v>28.8</v>
      </c>
    </row>
    <row r="74" spans="1:25">
      <c r="P74" s="447">
        <v>19</v>
      </c>
      <c r="Q74" s="448">
        <v>21.4</v>
      </c>
      <c r="R74" s="448">
        <v>9.25</v>
      </c>
      <c r="S74" s="448">
        <v>199.54</v>
      </c>
      <c r="T74" s="448">
        <v>89.02</v>
      </c>
      <c r="U74" s="448">
        <v>15.9</v>
      </c>
      <c r="V74" s="448">
        <v>11</v>
      </c>
      <c r="W74" s="448">
        <v>1.36</v>
      </c>
      <c r="X74" s="448">
        <v>79.2</v>
      </c>
      <c r="Y74" s="448">
        <v>22.78</v>
      </c>
    </row>
    <row r="75" spans="1:25">
      <c r="O75" s="446">
        <v>20</v>
      </c>
      <c r="P75" s="447">
        <v>20</v>
      </c>
      <c r="Q75" s="448">
        <v>17.23</v>
      </c>
      <c r="R75" s="448">
        <v>6.32</v>
      </c>
      <c r="S75" s="448">
        <v>136.84</v>
      </c>
      <c r="T75" s="448">
        <v>72.95</v>
      </c>
      <c r="U75" s="448">
        <v>15.03</v>
      </c>
      <c r="V75" s="448">
        <v>11</v>
      </c>
      <c r="W75" s="448">
        <v>1.98</v>
      </c>
      <c r="X75" s="448">
        <v>69.37</v>
      </c>
      <c r="Y75" s="448">
        <v>17.8</v>
      </c>
    </row>
    <row r="76" spans="1:25">
      <c r="P76" s="447">
        <v>21</v>
      </c>
      <c r="Q76" s="448">
        <v>16.09</v>
      </c>
      <c r="R76" s="448">
        <v>6.32</v>
      </c>
      <c r="S76" s="448">
        <v>116.86</v>
      </c>
      <c r="T76" s="448">
        <v>99.42</v>
      </c>
      <c r="U76" s="448">
        <v>20.059999999999999</v>
      </c>
      <c r="V76" s="448">
        <v>11.01</v>
      </c>
      <c r="W76" s="448">
        <v>1.6</v>
      </c>
      <c r="X76" s="448">
        <v>68.8</v>
      </c>
      <c r="Y76" s="448">
        <v>17.84</v>
      </c>
    </row>
    <row r="77" spans="1:25">
      <c r="P77" s="447">
        <v>22</v>
      </c>
      <c r="Q77" s="448">
        <v>15.1</v>
      </c>
      <c r="R77" s="448">
        <v>5.59</v>
      </c>
      <c r="S77" s="448">
        <v>118.58</v>
      </c>
      <c r="T77" s="448">
        <v>79.099999999999994</v>
      </c>
      <c r="U77" s="448">
        <v>16</v>
      </c>
      <c r="V77" s="448">
        <v>11</v>
      </c>
      <c r="W77" s="448">
        <v>1.01</v>
      </c>
      <c r="X77" s="448">
        <v>69.05</v>
      </c>
      <c r="Y77" s="448">
        <v>16.37</v>
      </c>
    </row>
    <row r="78" spans="1:25">
      <c r="P78" s="447">
        <v>23</v>
      </c>
      <c r="Q78" s="448">
        <v>14.28</v>
      </c>
      <c r="R78" s="448">
        <v>4.8499999999999996</v>
      </c>
      <c r="S78" s="448">
        <v>112.05</v>
      </c>
      <c r="T78" s="448">
        <v>63.27</v>
      </c>
      <c r="U78" s="448">
        <v>13.78</v>
      </c>
      <c r="V78" s="448">
        <v>11</v>
      </c>
      <c r="W78" s="448">
        <v>1.82</v>
      </c>
      <c r="X78" s="448">
        <v>54.09</v>
      </c>
      <c r="Y78" s="448">
        <v>13.15</v>
      </c>
    </row>
    <row r="79" spans="1:25">
      <c r="O79" s="446">
        <v>24</v>
      </c>
      <c r="P79" s="447">
        <v>24</v>
      </c>
      <c r="Q79" s="448">
        <v>13.3</v>
      </c>
      <c r="R79" s="448">
        <v>4.8499999999999996</v>
      </c>
      <c r="S79" s="448">
        <v>91.62</v>
      </c>
      <c r="T79" s="448">
        <v>49.79</v>
      </c>
      <c r="U79" s="448">
        <v>11.29</v>
      </c>
      <c r="V79" s="448">
        <v>11</v>
      </c>
      <c r="W79" s="448">
        <v>1.89</v>
      </c>
      <c r="X79" s="448">
        <v>45.31</v>
      </c>
      <c r="Y79" s="448">
        <v>10.85</v>
      </c>
    </row>
    <row r="80" spans="1:25">
      <c r="P80" s="447">
        <v>25</v>
      </c>
      <c r="Q80" s="448">
        <v>12.63</v>
      </c>
      <c r="R80" s="448">
        <v>3.77</v>
      </c>
      <c r="S80" s="448">
        <v>81.33</v>
      </c>
      <c r="T80" s="448">
        <v>46.74</v>
      </c>
      <c r="U80" s="448">
        <v>10.02</v>
      </c>
      <c r="V80" s="448">
        <v>11</v>
      </c>
      <c r="W80" s="448">
        <v>1.77</v>
      </c>
      <c r="X80" s="448">
        <v>40.42</v>
      </c>
      <c r="Y80" s="448">
        <v>8.98</v>
      </c>
    </row>
    <row r="81" spans="15:25">
      <c r="P81" s="447">
        <v>26</v>
      </c>
      <c r="Q81" s="448">
        <v>11.92</v>
      </c>
      <c r="R81" s="448">
        <v>3.77</v>
      </c>
      <c r="S81" s="448">
        <v>80.900000000000006</v>
      </c>
      <c r="T81" s="448">
        <v>41.45</v>
      </c>
      <c r="U81" s="448">
        <v>9.24</v>
      </c>
      <c r="V81" s="448">
        <v>12</v>
      </c>
      <c r="W81" s="448">
        <v>1.86</v>
      </c>
      <c r="X81" s="448">
        <v>37.89</v>
      </c>
      <c r="Y81" s="448">
        <v>9.41</v>
      </c>
    </row>
    <row r="82" spans="15:25">
      <c r="P82" s="447">
        <v>27</v>
      </c>
      <c r="Q82" s="448">
        <v>11.92</v>
      </c>
      <c r="R82" s="448">
        <v>3.91</v>
      </c>
      <c r="S82" s="448">
        <v>82.99</v>
      </c>
      <c r="T82" s="448">
        <v>60.31</v>
      </c>
      <c r="U82" s="448">
        <v>9.73</v>
      </c>
      <c r="V82" s="448">
        <v>12</v>
      </c>
      <c r="W82" s="448">
        <v>1.9</v>
      </c>
      <c r="X82" s="448">
        <v>38.229999999999997</v>
      </c>
      <c r="Y82" s="448">
        <v>8.58</v>
      </c>
    </row>
    <row r="83" spans="15:25">
      <c r="O83" s="446">
        <v>28</v>
      </c>
      <c r="P83" s="447">
        <v>28</v>
      </c>
      <c r="Q83" s="448">
        <v>11.04</v>
      </c>
      <c r="R83" s="448">
        <v>3.91</v>
      </c>
      <c r="S83" s="448">
        <v>71.739999999999995</v>
      </c>
      <c r="T83" s="448">
        <v>39.090000000000003</v>
      </c>
      <c r="U83" s="448">
        <v>8.42</v>
      </c>
      <c r="V83" s="448">
        <v>12</v>
      </c>
      <c r="W83" s="448">
        <v>1.65</v>
      </c>
      <c r="X83" s="448">
        <v>33.9</v>
      </c>
      <c r="Y83" s="448">
        <v>6.64</v>
      </c>
    </row>
    <row r="84" spans="15:25">
      <c r="P84" s="447">
        <v>29</v>
      </c>
      <c r="Q84" s="448">
        <v>10.27</v>
      </c>
      <c r="R84" s="448">
        <v>3.42</v>
      </c>
      <c r="S84" s="448">
        <v>67.8</v>
      </c>
      <c r="T84" s="448">
        <v>32.590000000000003</v>
      </c>
      <c r="U84" s="448">
        <v>7.7</v>
      </c>
      <c r="V84" s="448">
        <v>10.51</v>
      </c>
      <c r="W84" s="448">
        <v>1.79</v>
      </c>
      <c r="X84" s="448">
        <v>31.97</v>
      </c>
      <c r="Y84" s="448">
        <v>6.49</v>
      </c>
    </row>
    <row r="85" spans="15:25">
      <c r="P85" s="447">
        <v>30</v>
      </c>
      <c r="Q85" s="448">
        <v>9.4700000000000006</v>
      </c>
      <c r="R85" s="448">
        <v>3.42</v>
      </c>
      <c r="S85" s="448">
        <v>69.62</v>
      </c>
      <c r="T85" s="448">
        <v>28.39</v>
      </c>
      <c r="U85" s="448">
        <v>7.39</v>
      </c>
      <c r="V85" s="448">
        <v>12</v>
      </c>
      <c r="W85" s="448">
        <v>1.64</v>
      </c>
      <c r="X85" s="448">
        <v>31.76</v>
      </c>
      <c r="Y85" s="448">
        <v>6.15</v>
      </c>
    </row>
    <row r="86" spans="15:25">
      <c r="P86" s="447">
        <v>31</v>
      </c>
      <c r="Q86" s="448">
        <v>9.0500000000000007</v>
      </c>
      <c r="R86" s="448">
        <v>3.3</v>
      </c>
      <c r="S86" s="448">
        <v>61.71</v>
      </c>
      <c r="T86" s="448">
        <v>26.51</v>
      </c>
      <c r="U86" s="448">
        <v>7.02</v>
      </c>
      <c r="V86" s="448">
        <v>12</v>
      </c>
      <c r="W86" s="448">
        <v>1.87</v>
      </c>
      <c r="X86" s="448">
        <v>31.68</v>
      </c>
      <c r="Y86" s="448">
        <v>5.51</v>
      </c>
    </row>
    <row r="87" spans="15:25">
      <c r="O87" s="446">
        <v>32</v>
      </c>
      <c r="P87" s="447">
        <v>32</v>
      </c>
      <c r="Q87" s="448">
        <v>9.9</v>
      </c>
      <c r="R87" s="448">
        <v>2.68</v>
      </c>
      <c r="S87" s="448">
        <v>65.38</v>
      </c>
      <c r="T87" s="448">
        <v>24.1</v>
      </c>
      <c r="U87" s="448">
        <v>6.7</v>
      </c>
      <c r="V87" s="448">
        <v>12</v>
      </c>
      <c r="W87" s="448">
        <v>1.95</v>
      </c>
      <c r="X87" s="448">
        <v>31.01</v>
      </c>
      <c r="Y87" s="448">
        <v>5.16</v>
      </c>
    </row>
    <row r="88" spans="15:25">
      <c r="P88" s="447">
        <v>33</v>
      </c>
      <c r="Q88" s="448">
        <v>9.17</v>
      </c>
      <c r="R88" s="448">
        <v>2.4300000000000002</v>
      </c>
      <c r="S88" s="448">
        <v>59.63</v>
      </c>
      <c r="T88" s="448">
        <v>24.29</v>
      </c>
      <c r="U88" s="448">
        <v>6.44</v>
      </c>
      <c r="V88" s="448">
        <v>12</v>
      </c>
      <c r="W88" s="448">
        <v>1.82</v>
      </c>
      <c r="X88" s="448">
        <v>30.23</v>
      </c>
      <c r="Y88" s="448">
        <v>5.27</v>
      </c>
    </row>
    <row r="89" spans="15:25">
      <c r="P89" s="447">
        <v>34</v>
      </c>
      <c r="Q89" s="448">
        <v>7.78</v>
      </c>
      <c r="R89" s="448">
        <v>2.61</v>
      </c>
      <c r="S89" s="448">
        <v>60.62</v>
      </c>
      <c r="T89" s="448">
        <v>25.9</v>
      </c>
      <c r="U89" s="448">
        <v>6.62</v>
      </c>
      <c r="V89" s="448">
        <v>12</v>
      </c>
      <c r="W89" s="448">
        <v>1.89</v>
      </c>
      <c r="X89" s="448">
        <v>32.17</v>
      </c>
      <c r="Y89" s="448">
        <v>5.0599999999999996</v>
      </c>
    </row>
    <row r="90" spans="15:25">
      <c r="P90" s="447">
        <v>35</v>
      </c>
      <c r="Q90" s="448">
        <v>7.73</v>
      </c>
      <c r="R90" s="448">
        <v>3.07</v>
      </c>
      <c r="S90" s="448">
        <v>58.47</v>
      </c>
      <c r="T90" s="448">
        <v>26.33</v>
      </c>
      <c r="U90" s="448">
        <v>6.66</v>
      </c>
      <c r="V90" s="448">
        <v>12.14</v>
      </c>
      <c r="W90" s="448">
        <v>1.97</v>
      </c>
      <c r="X90" s="448">
        <v>31.63</v>
      </c>
      <c r="Y90" s="448">
        <v>4.84</v>
      </c>
    </row>
    <row r="91" spans="15:25">
      <c r="O91" s="446">
        <v>36</v>
      </c>
      <c r="P91" s="447">
        <v>36</v>
      </c>
      <c r="Q91" s="448">
        <v>7.1</v>
      </c>
      <c r="R91" s="448">
        <v>3.57</v>
      </c>
      <c r="S91" s="448">
        <v>61.13</v>
      </c>
      <c r="T91" s="448">
        <v>27.35</v>
      </c>
      <c r="U91" s="448">
        <v>6.84</v>
      </c>
      <c r="V91" s="448">
        <v>13</v>
      </c>
      <c r="W91" s="448">
        <v>1.76</v>
      </c>
      <c r="X91" s="448">
        <v>34.090000000000003</v>
      </c>
      <c r="Y91" s="448">
        <v>4.8899999999999997</v>
      </c>
    </row>
    <row r="92" spans="15:25">
      <c r="P92" s="447">
        <v>37</v>
      </c>
      <c r="Q92" s="448">
        <v>7.53</v>
      </c>
      <c r="R92" s="448">
        <v>5.04</v>
      </c>
      <c r="S92" s="448">
        <v>59.93</v>
      </c>
      <c r="T92" s="448">
        <v>34.56</v>
      </c>
      <c r="U92" s="448">
        <v>7.96</v>
      </c>
      <c r="V92" s="448">
        <v>13</v>
      </c>
      <c r="W92" s="448">
        <v>1.7</v>
      </c>
      <c r="X92" s="448">
        <v>38.06</v>
      </c>
      <c r="Y92" s="448">
        <v>8.4</v>
      </c>
    </row>
    <row r="93" spans="15:25">
      <c r="P93" s="447">
        <v>38</v>
      </c>
      <c r="Q93" s="448">
        <v>9.73</v>
      </c>
      <c r="R93" s="448">
        <v>3.75</v>
      </c>
      <c r="S93" s="448">
        <v>64.319999999999993</v>
      </c>
      <c r="T93" s="448">
        <v>41.74</v>
      </c>
      <c r="U93" s="448">
        <v>9.43</v>
      </c>
      <c r="V93" s="448">
        <v>13</v>
      </c>
      <c r="W93" s="448">
        <v>1.77</v>
      </c>
      <c r="X93" s="448">
        <v>41.12</v>
      </c>
      <c r="Y93" s="448">
        <v>6.42</v>
      </c>
    </row>
    <row r="94" spans="15:25">
      <c r="O94" s="446">
        <v>39</v>
      </c>
      <c r="P94" s="447">
        <v>39</v>
      </c>
      <c r="Q94" s="448">
        <v>7.21</v>
      </c>
      <c r="R94" s="448">
        <v>3.83</v>
      </c>
      <c r="S94" s="448">
        <v>66.83</v>
      </c>
      <c r="T94" s="448">
        <v>46.48</v>
      </c>
      <c r="U94" s="448">
        <v>7.93</v>
      </c>
      <c r="V94" s="448">
        <v>13</v>
      </c>
      <c r="W94" s="448">
        <v>1.99</v>
      </c>
      <c r="X94" s="448">
        <v>33.06</v>
      </c>
      <c r="Y94" s="448">
        <v>7.98</v>
      </c>
    </row>
    <row r="95" spans="15:25">
      <c r="P95" s="447">
        <v>40</v>
      </c>
      <c r="Q95" s="448">
        <v>6.89</v>
      </c>
      <c r="R95" s="448">
        <v>3.2</v>
      </c>
      <c r="S95" s="448">
        <v>56.32</v>
      </c>
      <c r="T95" s="448">
        <v>28.11</v>
      </c>
      <c r="U95" s="448">
        <v>6.02</v>
      </c>
      <c r="V95" s="448">
        <v>13</v>
      </c>
      <c r="W95" s="448">
        <v>1.48</v>
      </c>
      <c r="X95" s="448">
        <v>35.54</v>
      </c>
      <c r="Y95" s="448">
        <v>5.32</v>
      </c>
    </row>
    <row r="96" spans="15:25">
      <c r="P96" s="447">
        <v>41</v>
      </c>
      <c r="Q96" s="448">
        <v>7.51</v>
      </c>
      <c r="R96" s="448">
        <v>3.26</v>
      </c>
      <c r="S96" s="448">
        <v>57.18</v>
      </c>
      <c r="T96" s="448">
        <v>32.11</v>
      </c>
      <c r="U96" s="448">
        <v>6.5</v>
      </c>
      <c r="V96" s="448">
        <v>13</v>
      </c>
      <c r="W96" s="448">
        <v>1.53</v>
      </c>
      <c r="X96" s="448">
        <v>37.47</v>
      </c>
      <c r="Y96" s="448">
        <v>4.95</v>
      </c>
    </row>
    <row r="97" spans="14:25">
      <c r="P97" s="447">
        <v>42</v>
      </c>
      <c r="Q97" s="448">
        <v>7.92</v>
      </c>
      <c r="R97" s="448">
        <v>3.59</v>
      </c>
      <c r="S97" s="448">
        <v>71.87</v>
      </c>
      <c r="T97" s="448">
        <v>64.69</v>
      </c>
      <c r="U97" s="448">
        <v>9.44</v>
      </c>
      <c r="V97" s="448">
        <v>13</v>
      </c>
      <c r="W97" s="448">
        <v>1.93</v>
      </c>
      <c r="X97" s="448">
        <v>52.42</v>
      </c>
      <c r="Y97" s="448">
        <v>7.39</v>
      </c>
    </row>
    <row r="98" spans="14:25">
      <c r="O98" s="446">
        <v>43</v>
      </c>
      <c r="P98" s="447">
        <v>43</v>
      </c>
      <c r="Q98" s="448">
        <v>9.16</v>
      </c>
      <c r="R98" s="448">
        <v>3.99</v>
      </c>
      <c r="S98" s="448">
        <v>73.22</v>
      </c>
      <c r="T98" s="448">
        <v>71.16</v>
      </c>
      <c r="U98" s="448">
        <v>8.8800000000000008</v>
      </c>
      <c r="V98" s="448">
        <v>13</v>
      </c>
      <c r="W98" s="448">
        <v>1.69</v>
      </c>
      <c r="X98" s="448">
        <v>43.93</v>
      </c>
      <c r="Y98" s="448">
        <v>6.18</v>
      </c>
    </row>
    <row r="99" spans="14:25">
      <c r="P99" s="447">
        <v>44</v>
      </c>
      <c r="Q99" s="448">
        <v>8.81</v>
      </c>
      <c r="R99" s="448">
        <v>5.0199999999999996</v>
      </c>
      <c r="S99" s="448">
        <v>75.150000000000006</v>
      </c>
      <c r="T99" s="448">
        <v>62.33</v>
      </c>
      <c r="U99" s="448">
        <v>10.59</v>
      </c>
      <c r="V99" s="448">
        <v>13</v>
      </c>
      <c r="W99" s="448">
        <v>1.65</v>
      </c>
      <c r="X99" s="448">
        <v>40.229999999999997</v>
      </c>
      <c r="Y99" s="448">
        <v>8.7899999999999991</v>
      </c>
    </row>
    <row r="100" spans="14:25">
      <c r="P100" s="447">
        <v>45</v>
      </c>
      <c r="Q100" s="448">
        <v>8.3800000000000008</v>
      </c>
      <c r="R100" s="448">
        <v>4.2</v>
      </c>
      <c r="S100" s="448">
        <v>67.39</v>
      </c>
      <c r="T100" s="448">
        <v>61.76</v>
      </c>
      <c r="U100" s="448">
        <v>10.039999999999999</v>
      </c>
      <c r="V100" s="448">
        <v>13</v>
      </c>
      <c r="W100" s="448">
        <v>1.51</v>
      </c>
      <c r="X100" s="448">
        <v>41.85</v>
      </c>
      <c r="Y100" s="448">
        <v>11.45</v>
      </c>
    </row>
    <row r="101" spans="14:25">
      <c r="P101" s="447">
        <v>46</v>
      </c>
      <c r="Q101" s="448">
        <v>7.55</v>
      </c>
      <c r="R101" s="448">
        <v>3.7</v>
      </c>
      <c r="S101" s="448">
        <v>66.959999999999994</v>
      </c>
      <c r="T101" s="448">
        <v>66.040000000000006</v>
      </c>
      <c r="U101" s="448">
        <v>8.7799999999999994</v>
      </c>
      <c r="V101" s="448">
        <v>13</v>
      </c>
      <c r="W101" s="448">
        <v>1.65</v>
      </c>
      <c r="X101" s="448">
        <v>70.849999999999994</v>
      </c>
      <c r="Y101" s="448">
        <v>14.58</v>
      </c>
    </row>
    <row r="102" spans="14:25">
      <c r="P102" s="447">
        <v>47</v>
      </c>
      <c r="Q102" s="448">
        <v>7.39</v>
      </c>
      <c r="R102" s="448">
        <v>3.85</v>
      </c>
      <c r="S102" s="448">
        <v>67.72</v>
      </c>
      <c r="T102" s="448">
        <v>52.82</v>
      </c>
      <c r="U102" s="448">
        <v>7.81</v>
      </c>
      <c r="V102" s="448">
        <v>13</v>
      </c>
      <c r="W102" s="448">
        <v>1.6</v>
      </c>
      <c r="X102" s="448">
        <v>64.819999999999993</v>
      </c>
      <c r="Y102" s="448">
        <v>12.14</v>
      </c>
    </row>
    <row r="103" spans="14:25">
      <c r="O103" s="446">
        <v>48</v>
      </c>
      <c r="P103" s="447">
        <v>48</v>
      </c>
      <c r="Q103" s="448">
        <v>7.9678571564285718</v>
      </c>
      <c r="R103" s="448">
        <v>3.558142900428571</v>
      </c>
      <c r="S103" s="448">
        <v>77.366571698571434</v>
      </c>
      <c r="T103" s="448">
        <v>66.577285762857144</v>
      </c>
      <c r="U103" s="448">
        <v>9.1851428580000007</v>
      </c>
      <c r="V103" s="448">
        <v>13.005714417142858</v>
      </c>
      <c r="W103" s="448">
        <v>1.6</v>
      </c>
      <c r="X103" s="448">
        <v>47.846427917142854</v>
      </c>
      <c r="Y103" s="448">
        <v>12.516714369142859</v>
      </c>
    </row>
    <row r="104" spans="14:25">
      <c r="P104" s="447">
        <v>49</v>
      </c>
      <c r="Q104" s="448">
        <v>8.4875713758571436</v>
      </c>
      <c r="R104" s="448">
        <v>3.2600000074285718</v>
      </c>
      <c r="S104" s="448">
        <v>84.55585806714285</v>
      </c>
      <c r="T104" s="448">
        <v>72.732000077142857</v>
      </c>
      <c r="U104" s="448">
        <v>14.04828548342857</v>
      </c>
      <c r="V104" s="448">
        <v>13.002857208571429</v>
      </c>
      <c r="W104" s="448">
        <v>1.6</v>
      </c>
      <c r="X104" s="448">
        <v>57.322143555714298</v>
      </c>
      <c r="Y104" s="448">
        <v>18.826999800000003</v>
      </c>
    </row>
    <row r="105" spans="14:25">
      <c r="P105" s="447">
        <v>50</v>
      </c>
      <c r="Q105" s="448">
        <v>8.7257142747142868</v>
      </c>
      <c r="R105" s="448">
        <v>3.4628571441428577</v>
      </c>
      <c r="S105" s="448">
        <v>77.460142951428566</v>
      </c>
      <c r="T105" s="448">
        <v>64.097142899999994</v>
      </c>
      <c r="U105" s="448">
        <v>11.032857077571427</v>
      </c>
      <c r="V105" s="448">
        <v>13</v>
      </c>
      <c r="W105" s="448">
        <v>1.6000000240000001</v>
      </c>
      <c r="X105" s="448">
        <v>51.470714571428573</v>
      </c>
      <c r="Y105" s="448">
        <v>20.280285972857143</v>
      </c>
    </row>
    <row r="106" spans="14:25">
      <c r="P106" s="447">
        <v>51</v>
      </c>
      <c r="Q106" s="448">
        <v>9.7215715127142861</v>
      </c>
      <c r="R106" s="448">
        <v>4.2539999484285715</v>
      </c>
      <c r="S106" s="448">
        <v>78.166143688571424</v>
      </c>
      <c r="T106" s="448">
        <v>94.237856191428577</v>
      </c>
      <c r="U106" s="448">
        <v>14.381428445285712</v>
      </c>
      <c r="V106" s="448">
        <v>13.01285743857143</v>
      </c>
      <c r="W106" s="448">
        <v>1.6257142851428572</v>
      </c>
      <c r="X106" s="448">
        <v>65.58357184285714</v>
      </c>
      <c r="Y106" s="448">
        <v>34.849000112857141</v>
      </c>
    </row>
    <row r="107" spans="14:25">
      <c r="O107" s="446">
        <v>52</v>
      </c>
      <c r="P107" s="447">
        <v>52</v>
      </c>
      <c r="Q107" s="448">
        <v>10.323285784571427</v>
      </c>
      <c r="R107" s="448">
        <v>4.6457142829999993</v>
      </c>
      <c r="S107" s="448">
        <v>86.972714017142849</v>
      </c>
      <c r="T107" s="448">
        <v>94.357285634285716</v>
      </c>
      <c r="U107" s="448">
        <v>13.293999945714287</v>
      </c>
      <c r="V107" s="448">
        <v>13.09681579142857</v>
      </c>
      <c r="W107" s="448">
        <v>1.644999981</v>
      </c>
      <c r="X107" s="448">
        <v>104.27285767571428</v>
      </c>
      <c r="Y107" s="448">
        <v>35.335714887142856</v>
      </c>
    </row>
    <row r="108" spans="14:25">
      <c r="N108" s="446">
        <v>2018</v>
      </c>
      <c r="O108" s="446">
        <v>1</v>
      </c>
      <c r="P108" s="447">
        <v>1</v>
      </c>
      <c r="Q108" s="448">
        <v>10.34</v>
      </c>
      <c r="R108" s="448">
        <v>4.4628571428571426</v>
      </c>
      <c r="S108" s="448">
        <v>140.04142857142858</v>
      </c>
      <c r="T108" s="448">
        <v>143.09</v>
      </c>
      <c r="U108" s="448">
        <v>20.63</v>
      </c>
      <c r="V108" s="448">
        <v>13</v>
      </c>
      <c r="W108" s="448">
        <v>1.64</v>
      </c>
      <c r="X108" s="448">
        <v>201.2428571428571</v>
      </c>
      <c r="Y108" s="448">
        <v>63.23</v>
      </c>
    </row>
    <row r="109" spans="14:25">
      <c r="P109" s="447">
        <v>2</v>
      </c>
      <c r="Q109" s="448">
        <v>13.730999947142859</v>
      </c>
      <c r="R109" s="448">
        <v>3.5944285392857145</v>
      </c>
      <c r="S109" s="448">
        <v>209.91800362857143</v>
      </c>
      <c r="T109" s="448">
        <v>160.98214394285716</v>
      </c>
      <c r="U109" s="448">
        <v>36.213856559999996</v>
      </c>
      <c r="V109" s="448">
        <v>11.774285724285715</v>
      </c>
      <c r="W109" s="448">
        <v>1.5914286031428568</v>
      </c>
      <c r="X109" s="448">
        <v>229.4250030571429</v>
      </c>
      <c r="Y109" s="448">
        <v>56.654285431428562</v>
      </c>
    </row>
    <row r="110" spans="14:25">
      <c r="P110" s="447">
        <v>3</v>
      </c>
      <c r="Q110" s="448">
        <v>15.983285902857142</v>
      </c>
      <c r="R110" s="448">
        <v>8.3045714242857152</v>
      </c>
      <c r="S110" s="448">
        <v>223.6645725857143</v>
      </c>
      <c r="T110" s="448">
        <v>190.44042751428574</v>
      </c>
      <c r="U110" s="448">
        <v>30.819142750000001</v>
      </c>
      <c r="V110" s="448">
        <v>11.857142857142858</v>
      </c>
      <c r="W110" s="448">
        <v>1.5814286125714285</v>
      </c>
      <c r="X110" s="448">
        <v>261.56357028571426</v>
      </c>
      <c r="Y110" s="448">
        <v>68.516428267142857</v>
      </c>
    </row>
    <row r="111" spans="14:25">
      <c r="O111" s="446">
        <v>4</v>
      </c>
      <c r="P111" s="447">
        <v>4</v>
      </c>
      <c r="Q111" s="448">
        <v>21.988571574285714</v>
      </c>
      <c r="R111" s="448">
        <v>15.598142828000002</v>
      </c>
      <c r="S111" s="448">
        <v>346.88342720000003</v>
      </c>
      <c r="T111" s="448">
        <v>205.5832868285714</v>
      </c>
      <c r="U111" s="448">
        <v>40.893000467142862</v>
      </c>
      <c r="V111" s="448">
        <v>18.734285627142857</v>
      </c>
      <c r="W111" s="448">
        <v>1.5700000519999997</v>
      </c>
      <c r="X111" s="448">
        <v>261.98000009999998</v>
      </c>
      <c r="Y111" s="448">
        <v>58.935427530000005</v>
      </c>
    </row>
    <row r="112" spans="14:25">
      <c r="P112" s="447">
        <v>5</v>
      </c>
      <c r="Q112" s="448">
        <v>17.729000225714284</v>
      </c>
      <c r="R112" s="448">
        <v>13.724571365714285</v>
      </c>
      <c r="S112" s="448">
        <v>214.95928737142859</v>
      </c>
      <c r="T112" s="448">
        <v>93.607142857142861</v>
      </c>
      <c r="U112" s="448">
        <v>17.748285841428572</v>
      </c>
      <c r="V112" s="448">
        <v>23.390000208571426</v>
      </c>
      <c r="W112" s="448">
        <v>1.5700000519999997</v>
      </c>
      <c r="X112" s="448">
        <v>141.83571514285714</v>
      </c>
      <c r="Y112" s="448">
        <v>45.332857951428579</v>
      </c>
    </row>
    <row r="113" spans="15:25">
      <c r="P113" s="447">
        <v>6</v>
      </c>
      <c r="Q113" s="448">
        <v>13.582571572857143</v>
      </c>
      <c r="R113" s="448">
        <v>8.6634286477142854</v>
      </c>
      <c r="S113" s="448">
        <v>166.34242902857142</v>
      </c>
      <c r="T113" s="448">
        <v>108.25571334000001</v>
      </c>
      <c r="U113" s="448">
        <v>18.79157175142857</v>
      </c>
      <c r="V113" s="448">
        <v>20.201017107142857</v>
      </c>
      <c r="W113" s="448">
        <v>2.3694285491428571</v>
      </c>
      <c r="X113" s="448">
        <v>164.55714089999998</v>
      </c>
      <c r="Y113" s="448">
        <v>65.987571171428584</v>
      </c>
    </row>
    <row r="114" spans="15:25">
      <c r="P114" s="447">
        <v>7</v>
      </c>
      <c r="Q114" s="448">
        <v>14.722571237142859</v>
      </c>
      <c r="R114" s="448">
        <v>11.071428435428571</v>
      </c>
      <c r="S114" s="448">
        <v>239.50057330000001</v>
      </c>
      <c r="T114" s="448">
        <v>202.98199900000003</v>
      </c>
      <c r="U114" s="448">
        <v>42.088571821428573</v>
      </c>
      <c r="V114" s="448">
        <v>15.283185821428571</v>
      </c>
      <c r="W114" s="448">
        <v>3.1689999100000001</v>
      </c>
      <c r="X114" s="448">
        <v>355.31285748571423</v>
      </c>
      <c r="Y114" s="448">
        <v>97.722999031428586</v>
      </c>
    </row>
    <row r="115" spans="15:25">
      <c r="O115" s="446">
        <v>8</v>
      </c>
      <c r="P115" s="447">
        <v>8</v>
      </c>
      <c r="Q115" s="448">
        <v>18.48</v>
      </c>
      <c r="R115" s="448">
        <v>14.97</v>
      </c>
      <c r="S115" s="448">
        <v>357.61814662857148</v>
      </c>
      <c r="T115" s="448">
        <v>251.1</v>
      </c>
      <c r="U115" s="448">
        <v>43.74</v>
      </c>
      <c r="V115" s="448">
        <v>16.564</v>
      </c>
      <c r="W115" s="448">
        <v>3.16</v>
      </c>
      <c r="X115" s="448">
        <v>437.78</v>
      </c>
      <c r="Y115" s="448">
        <v>142.13</v>
      </c>
    </row>
    <row r="116" spans="15:25">
      <c r="P116" s="447">
        <v>9</v>
      </c>
      <c r="Q116" s="448">
        <v>21.652428627142854</v>
      </c>
      <c r="R116" s="448">
        <v>14.185285431142857</v>
      </c>
      <c r="S116" s="448">
        <v>333.90885488571433</v>
      </c>
      <c r="T116" s="448">
        <v>204.95843285714287</v>
      </c>
      <c r="U116" s="448">
        <v>31.755000522857138</v>
      </c>
      <c r="V116" s="448">
        <v>15.852976190476195</v>
      </c>
      <c r="W116" s="448">
        <v>3.1689999100000001</v>
      </c>
      <c r="X116" s="448">
        <v>424.14571271428576</v>
      </c>
      <c r="Y116" s="448">
        <v>142.13857270714286</v>
      </c>
    </row>
    <row r="117" spans="15:25">
      <c r="P117" s="447">
        <v>10</v>
      </c>
      <c r="Q117" s="448">
        <v>30.272714344285713</v>
      </c>
      <c r="R117" s="448">
        <v>17.434571538571429</v>
      </c>
      <c r="S117" s="448">
        <v>431.64157101428572</v>
      </c>
      <c r="T117" s="448">
        <v>177.15485925714287</v>
      </c>
      <c r="U117" s="448">
        <v>31.196571622857142</v>
      </c>
      <c r="V117" s="448">
        <v>14.442</v>
      </c>
      <c r="W117" s="448">
        <v>4.7437142644285712</v>
      </c>
      <c r="X117" s="448">
        <v>293.69142804285718</v>
      </c>
      <c r="Y117" s="448">
        <v>72.30971418</v>
      </c>
    </row>
    <row r="118" spans="15:25">
      <c r="P118" s="447">
        <v>11</v>
      </c>
      <c r="Q118" s="448">
        <v>28.071857179999999</v>
      </c>
      <c r="R118" s="448">
        <v>17.048571724285715</v>
      </c>
      <c r="S118" s="448">
        <v>485.98543439999997</v>
      </c>
      <c r="T118" s="448">
        <v>169.375</v>
      </c>
      <c r="U118" s="448">
        <v>52.626284462857136</v>
      </c>
      <c r="V118" s="448">
        <v>18.273</v>
      </c>
      <c r="W118" s="448">
        <v>3.0879999738571429</v>
      </c>
      <c r="X118" s="448">
        <v>511.54500034285724</v>
      </c>
      <c r="Y118" s="448">
        <v>119.7894287057143</v>
      </c>
    </row>
    <row r="119" spans="15:25">
      <c r="O119" s="446">
        <v>12</v>
      </c>
      <c r="P119" s="447">
        <v>12</v>
      </c>
      <c r="Q119" s="448">
        <v>29.90999984714286</v>
      </c>
      <c r="R119" s="448">
        <v>21.62</v>
      </c>
      <c r="S119" s="448">
        <v>465.24414497142863</v>
      </c>
      <c r="T119" s="448">
        <v>201.58328465714288</v>
      </c>
      <c r="U119" s="448">
        <v>57.669144221428567</v>
      </c>
      <c r="V119" s="448">
        <v>23.244</v>
      </c>
      <c r="W119" s="448">
        <v>4.5095714328571432</v>
      </c>
      <c r="X119" s="448">
        <v>433.89143152857145</v>
      </c>
      <c r="Y119" s="448">
        <v>152.80443028571429</v>
      </c>
    </row>
    <row r="120" spans="15:25">
      <c r="P120" s="447">
        <v>13</v>
      </c>
      <c r="Q120" s="448">
        <v>28.360142844285718</v>
      </c>
      <c r="R120" s="448">
        <v>17.439428465714283</v>
      </c>
      <c r="S120" s="448">
        <v>396.37686155714289</v>
      </c>
      <c r="T120" s="448">
        <v>163.75585502857143</v>
      </c>
      <c r="U120" s="448">
        <v>35.725570951428573</v>
      </c>
      <c r="V120" s="448">
        <v>23.143392837142859</v>
      </c>
      <c r="W120" s="448">
        <v>3.3929999999999998</v>
      </c>
      <c r="X120" s="448">
        <v>281.79928587142859</v>
      </c>
      <c r="Y120" s="448">
        <v>107.32928468714286</v>
      </c>
    </row>
    <row r="121" spans="15:25">
      <c r="P121" s="447">
        <v>14</v>
      </c>
      <c r="Q121" s="448">
        <v>23.830285752857144</v>
      </c>
      <c r="R121" s="448">
        <v>12.833285604571429</v>
      </c>
      <c r="S121" s="448">
        <v>226.32643345714288</v>
      </c>
      <c r="T121" s="448">
        <v>133.53585814285714</v>
      </c>
      <c r="U121" s="448">
        <v>28.622000282857147</v>
      </c>
      <c r="V121" s="448">
        <v>19.16</v>
      </c>
      <c r="W121" s="448">
        <v>1.736</v>
      </c>
      <c r="X121" s="448">
        <v>176.23214502857144</v>
      </c>
      <c r="Y121" s="448">
        <v>80.936570849999995</v>
      </c>
    </row>
    <row r="122" spans="15:25">
      <c r="P122" s="447">
        <v>15</v>
      </c>
      <c r="Q122" s="448">
        <v>27</v>
      </c>
      <c r="R122" s="448">
        <v>15.571285655714286</v>
      </c>
      <c r="S122" s="448">
        <v>207.40800040000002</v>
      </c>
      <c r="T122" s="448">
        <v>107.59514291428572</v>
      </c>
      <c r="U122" s="448">
        <v>30.753999982857145</v>
      </c>
      <c r="V122" s="448">
        <v>14.377143042857142</v>
      </c>
      <c r="W122" s="448">
        <v>1.8612856864285716</v>
      </c>
      <c r="X122" s="448">
        <v>130.09</v>
      </c>
      <c r="Y122" s="448">
        <v>42.693143572857146</v>
      </c>
    </row>
    <row r="123" spans="15:25">
      <c r="O123" s="446">
        <v>16</v>
      </c>
      <c r="P123" s="447">
        <v>16</v>
      </c>
      <c r="Q123" s="448">
        <v>19.899999999999999</v>
      </c>
      <c r="R123" s="448">
        <v>12.83</v>
      </c>
      <c r="S123" s="448">
        <v>166.38871437142856</v>
      </c>
      <c r="T123" s="448">
        <v>95.78</v>
      </c>
      <c r="U123" s="448">
        <v>29.88</v>
      </c>
      <c r="V123" s="448">
        <v>12.36</v>
      </c>
      <c r="W123" s="448">
        <v>1.9</v>
      </c>
      <c r="X123" s="448">
        <v>96.9</v>
      </c>
      <c r="Y123" s="448">
        <v>33.717142651428574</v>
      </c>
    </row>
    <row r="124" spans="15:25">
      <c r="P124" s="447">
        <v>17</v>
      </c>
      <c r="Q124" s="448">
        <v>19.14</v>
      </c>
      <c r="R124" s="448">
        <v>13.52</v>
      </c>
      <c r="S124" s="448">
        <v>168.19342804285716</v>
      </c>
      <c r="T124" s="448">
        <v>95.39</v>
      </c>
      <c r="U124" s="448">
        <v>22.257285525714284</v>
      </c>
      <c r="V124" s="448">
        <v>13.4</v>
      </c>
      <c r="W124" s="448">
        <v>1.7940000124285713</v>
      </c>
      <c r="X124" s="448">
        <v>89.59</v>
      </c>
      <c r="Y124" s="448">
        <v>27.06</v>
      </c>
    </row>
    <row r="125" spans="15:25">
      <c r="P125" s="447">
        <v>18</v>
      </c>
      <c r="Q125" s="448">
        <v>19.703571455714286</v>
      </c>
      <c r="R125" s="448">
        <v>14.166857039571427</v>
      </c>
      <c r="S125" s="448">
        <v>171.5428597714286</v>
      </c>
      <c r="T125" s="448">
        <v>85.958285739999994</v>
      </c>
      <c r="U125" s="448">
        <v>21.651714052857141</v>
      </c>
      <c r="V125" s="448">
        <v>12.785805702857145</v>
      </c>
      <c r="W125" s="448">
        <v>2.3024285860000004</v>
      </c>
      <c r="X125" s="448">
        <v>89.602142331428567</v>
      </c>
      <c r="Y125" s="448">
        <v>22.269714081428571</v>
      </c>
    </row>
    <row r="126" spans="15:25">
      <c r="P126" s="447">
        <v>19</v>
      </c>
      <c r="Q126" s="448">
        <v>15.48828561</v>
      </c>
      <c r="R126" s="448">
        <v>12.650857108142857</v>
      </c>
      <c r="S126" s="448">
        <v>146.54485865714287</v>
      </c>
      <c r="T126" s="448">
        <v>88.244000028571435</v>
      </c>
      <c r="U126" s="448">
        <v>19.037142890000002</v>
      </c>
      <c r="V126" s="448">
        <v>11.328391347142857</v>
      </c>
      <c r="W126" s="448">
        <v>1.8057142665714285</v>
      </c>
      <c r="X126" s="448">
        <v>75.568572998571426</v>
      </c>
      <c r="Y126" s="448">
        <v>17.565999711428571</v>
      </c>
    </row>
    <row r="127" spans="15:25">
      <c r="O127" s="446">
        <v>20</v>
      </c>
      <c r="P127" s="447">
        <v>20</v>
      </c>
      <c r="Q127" s="448">
        <v>14.601142882857145</v>
      </c>
      <c r="R127" s="448">
        <v>10.013285772</v>
      </c>
      <c r="S127" s="448">
        <v>112.76242937142857</v>
      </c>
      <c r="T127" s="448">
        <v>64.809571402857145</v>
      </c>
      <c r="U127" s="448">
        <v>16.531571660000001</v>
      </c>
      <c r="V127" s="448">
        <v>10.899261474285714</v>
      </c>
      <c r="W127" s="448">
        <v>1.7767143248571429</v>
      </c>
      <c r="X127" s="448">
        <v>62.208570752857149</v>
      </c>
      <c r="Y127" s="448">
        <v>14.502285821428572</v>
      </c>
    </row>
    <row r="128" spans="15:25">
      <c r="P128" s="447">
        <v>21</v>
      </c>
      <c r="Q128" s="448">
        <v>13.411285537142858</v>
      </c>
      <c r="R128" s="448">
        <v>7.8631429672857154</v>
      </c>
      <c r="S128" s="448">
        <v>94.636570517142857</v>
      </c>
      <c r="T128" s="448">
        <v>49.303714208571428</v>
      </c>
      <c r="U128" s="448">
        <v>13.450571468571427</v>
      </c>
      <c r="V128" s="448">
        <v>11.166911400000002</v>
      </c>
      <c r="W128" s="448">
        <v>1.8437143055714282</v>
      </c>
      <c r="X128" s="448">
        <v>54.38714218285714</v>
      </c>
      <c r="Y128" s="448">
        <v>12.214999879999999</v>
      </c>
    </row>
    <row r="129" spans="15:26">
      <c r="P129" s="447">
        <v>22</v>
      </c>
      <c r="Q129" s="448">
        <v>12.490285737142855</v>
      </c>
      <c r="R129" s="448">
        <v>6.4215714250000007</v>
      </c>
      <c r="S129" s="448">
        <v>81.718714031428576</v>
      </c>
      <c r="T129" s="448">
        <v>42.928571428571431</v>
      </c>
      <c r="U129" s="448">
        <v>11.897571562857141</v>
      </c>
      <c r="V129" s="448">
        <v>10.57333578442857</v>
      </c>
      <c r="W129" s="448">
        <v>1.8770000252857142</v>
      </c>
      <c r="X129" s="448">
        <v>48.837857382857138</v>
      </c>
      <c r="Y129" s="448">
        <v>10.894571441428569</v>
      </c>
    </row>
    <row r="130" spans="15:26">
      <c r="P130" s="447">
        <v>23</v>
      </c>
      <c r="Q130" s="448">
        <v>12.278000014285713</v>
      </c>
      <c r="R130" s="448">
        <v>5.5577142921428564</v>
      </c>
      <c r="S130" s="448">
        <v>83.760285512857152</v>
      </c>
      <c r="T130" s="448">
        <v>67.797571451428567</v>
      </c>
      <c r="U130" s="448">
        <v>15.801714215714284</v>
      </c>
      <c r="V130" s="448">
        <v>11.341294289999999</v>
      </c>
      <c r="W130" s="448">
        <v>1.7928571701428571</v>
      </c>
      <c r="X130" s="448">
        <v>58.175000328571436</v>
      </c>
      <c r="Y130" s="448">
        <v>13.860571451428571</v>
      </c>
    </row>
    <row r="131" spans="15:26">
      <c r="O131" s="446">
        <v>24</v>
      </c>
      <c r="P131" s="447">
        <v>24</v>
      </c>
      <c r="Q131" s="448">
        <v>10.882714271142857</v>
      </c>
      <c r="R131" s="448">
        <v>5.3317142215714286</v>
      </c>
      <c r="S131" s="448">
        <v>82.799001421428557</v>
      </c>
      <c r="T131" s="448">
        <v>63.982142857142854</v>
      </c>
      <c r="U131" s="448">
        <v>15.595999989999999</v>
      </c>
      <c r="V131" s="448">
        <v>11.96411841142857</v>
      </c>
      <c r="W131" s="448">
        <v>2.0252857377142854</v>
      </c>
      <c r="X131" s="448">
        <v>61.988572801428582</v>
      </c>
      <c r="Y131" s="448">
        <v>13.392856871428572</v>
      </c>
    </row>
    <row r="132" spans="15:26">
      <c r="P132" s="447">
        <v>25</v>
      </c>
      <c r="Q132" s="448">
        <v>10.290999957142857</v>
      </c>
      <c r="R132" s="448">
        <v>3.7498572211428569</v>
      </c>
      <c r="S132" s="448">
        <v>74.093855721428568</v>
      </c>
      <c r="T132" s="448">
        <v>53.035571505714287</v>
      </c>
      <c r="U132" s="448">
        <v>14.135857038571428</v>
      </c>
      <c r="V132" s="448">
        <v>11.79</v>
      </c>
      <c r="W132" s="448">
        <v>2.0514285564285717</v>
      </c>
      <c r="X132" s="448">
        <v>51.970714024285719</v>
      </c>
      <c r="Y132" s="448">
        <v>10.749428476857142</v>
      </c>
    </row>
    <row r="133" spans="15:26">
      <c r="P133" s="447">
        <v>26</v>
      </c>
      <c r="Q133" s="448">
        <v>9.5591429302857147</v>
      </c>
      <c r="R133" s="448">
        <v>3.5651427677142853</v>
      </c>
      <c r="S133" s="448">
        <v>66.795142037142867</v>
      </c>
      <c r="T133" s="448">
        <v>40.369000025714286</v>
      </c>
      <c r="U133" s="448">
        <v>10.912428581428573</v>
      </c>
      <c r="V133" s="448">
        <v>10.93</v>
      </c>
      <c r="W133" s="448">
        <v>2.1038571597142854</v>
      </c>
      <c r="X133" s="448">
        <v>44.390714371428579</v>
      </c>
      <c r="Y133" s="448">
        <v>9.1145714351428584</v>
      </c>
    </row>
    <row r="134" spans="15:26">
      <c r="P134" s="447">
        <v>27</v>
      </c>
      <c r="Q134" s="448">
        <v>9.3137141635714293</v>
      </c>
      <c r="R134" s="448">
        <v>4.7600000245714282</v>
      </c>
      <c r="S134" s="448">
        <v>67.368571689999996</v>
      </c>
      <c r="T134" s="448">
        <v>33.409999999999997</v>
      </c>
      <c r="U134" s="448">
        <v>9.4035714009999989</v>
      </c>
      <c r="V134" s="448">
        <v>12.51</v>
      </c>
      <c r="W134" s="448">
        <v>2.0499999999999998</v>
      </c>
      <c r="X134" s="448">
        <v>39.173571994285716</v>
      </c>
      <c r="Y134" s="448">
        <v>7.6487142698571438</v>
      </c>
    </row>
    <row r="135" spans="15:26">
      <c r="O135" s="446">
        <v>28</v>
      </c>
      <c r="P135" s="447">
        <v>28</v>
      </c>
      <c r="Q135" s="448">
        <v>8.7544284548571447</v>
      </c>
      <c r="R135" s="448">
        <v>2.5707143034285713</v>
      </c>
      <c r="S135" s="448">
        <v>65.073571887142847</v>
      </c>
      <c r="T135" s="448">
        <v>33.160714285714285</v>
      </c>
      <c r="U135" s="448">
        <v>9.4155716217142871</v>
      </c>
      <c r="V135" s="448">
        <v>12.3</v>
      </c>
      <c r="W135" s="448">
        <v>2.2505714212857142</v>
      </c>
      <c r="X135" s="448">
        <v>36.999285560000011</v>
      </c>
      <c r="Y135" s="448">
        <v>7.0544285774285713</v>
      </c>
    </row>
    <row r="136" spans="15:26">
      <c r="P136" s="447">
        <v>29</v>
      </c>
      <c r="Q136" s="448">
        <v>8.6149000000000004</v>
      </c>
      <c r="R136" s="448">
        <v>3.7006000000000001</v>
      </c>
      <c r="S136" s="448">
        <v>62.515714285714289</v>
      </c>
      <c r="T136" s="448">
        <v>35.738</v>
      </c>
      <c r="U136" s="448">
        <v>9.5503999999999998</v>
      </c>
      <c r="V136" s="448">
        <v>12.245714285714286</v>
      </c>
      <c r="W136" s="448">
        <v>1.9771428571428571</v>
      </c>
      <c r="X136" s="448">
        <v>38.677142857142861</v>
      </c>
      <c r="Y136" s="448">
        <v>6.3400000000000007</v>
      </c>
    </row>
    <row r="137" spans="15:26">
      <c r="P137" s="447">
        <v>30</v>
      </c>
      <c r="Q137" s="448">
        <v>8.1221428598571439</v>
      </c>
      <c r="R137" s="448">
        <v>4.9111429789999992</v>
      </c>
      <c r="S137" s="448">
        <v>57.148857115714286</v>
      </c>
      <c r="T137" s="448">
        <v>85.065429679999994</v>
      </c>
      <c r="U137" s="448">
        <v>15.534142631428571</v>
      </c>
      <c r="V137" s="448">
        <v>10.995952741142858</v>
      </c>
      <c r="W137" s="448">
        <v>2.2859999964285715</v>
      </c>
      <c r="X137" s="448">
        <v>56.166428702857139</v>
      </c>
      <c r="Y137" s="448">
        <v>9.4385714285714304</v>
      </c>
    </row>
    <row r="138" spans="15:26">
      <c r="P138" s="447">
        <v>31</v>
      </c>
      <c r="Q138" s="448">
        <v>7.5620000000000003</v>
      </c>
      <c r="R138" s="448">
        <v>3.28</v>
      </c>
      <c r="S138" s="448">
        <v>58.768000000000001</v>
      </c>
      <c r="T138" s="448">
        <v>40.375</v>
      </c>
      <c r="U138" s="448">
        <v>8.5579999999999998</v>
      </c>
      <c r="V138" s="448">
        <v>13.18</v>
      </c>
      <c r="W138" s="448">
        <v>2</v>
      </c>
      <c r="X138" s="448">
        <v>50.215000000000003</v>
      </c>
      <c r="Y138" s="448">
        <v>8.5770238095238049</v>
      </c>
    </row>
    <row r="139" spans="15:26">
      <c r="O139" s="446">
        <v>32</v>
      </c>
      <c r="P139" s="447">
        <v>32</v>
      </c>
      <c r="Q139" s="448">
        <v>8.4994284765714276</v>
      </c>
      <c r="R139" s="448">
        <v>4.8781427315714287</v>
      </c>
      <c r="S139" s="448">
        <v>54.703428540000004</v>
      </c>
      <c r="T139" s="448">
        <v>52.946428571428569</v>
      </c>
      <c r="U139" s="448">
        <v>10.739857128857144</v>
      </c>
      <c r="V139" s="448">
        <v>10.850328444285712</v>
      </c>
      <c r="W139" s="448">
        <v>2.0667142697142857</v>
      </c>
      <c r="X139" s="448">
        <v>50.460713522857141</v>
      </c>
      <c r="Y139" s="448">
        <v>9.7962856299999999</v>
      </c>
    </row>
    <row r="140" spans="15:26">
      <c r="P140" s="447">
        <v>33</v>
      </c>
      <c r="Q140" s="448">
        <v>7.8117142411428571</v>
      </c>
      <c r="R140" s="448">
        <v>4.5999999999999996</v>
      </c>
      <c r="S140" s="448">
        <v>59.066285269999995</v>
      </c>
      <c r="T140" s="448">
        <v>47.13</v>
      </c>
      <c r="U140" s="448">
        <v>9.23</v>
      </c>
      <c r="V140" s="448">
        <v>10.84</v>
      </c>
      <c r="W140" s="448">
        <v>2.0499999999999998</v>
      </c>
      <c r="X140" s="448">
        <v>44.64</v>
      </c>
      <c r="Y140" s="448">
        <v>8.7822855541428577</v>
      </c>
    </row>
    <row r="141" spans="15:26">
      <c r="P141" s="447">
        <v>34</v>
      </c>
      <c r="Q141" s="448">
        <v>6.44</v>
      </c>
      <c r="R141" s="448">
        <v>5.1568571165714285</v>
      </c>
      <c r="S141" s="448">
        <v>82.033571515714272</v>
      </c>
      <c r="T141" s="448">
        <v>63.892999920000001</v>
      </c>
      <c r="U141" s="448">
        <v>10.917285918714287</v>
      </c>
      <c r="V141" s="448">
        <v>10.534582955714285</v>
      </c>
      <c r="W141" s="448">
        <v>1.8788571358571429</v>
      </c>
      <c r="X141" s="448">
        <v>35.627857751428571</v>
      </c>
      <c r="Y141" s="448">
        <v>11.383714402571428</v>
      </c>
    </row>
    <row r="142" spans="15:26">
      <c r="P142" s="447">
        <v>35</v>
      </c>
      <c r="Q142" s="448">
        <v>7.5428571428571427</v>
      </c>
      <c r="R142" s="448">
        <v>2.15</v>
      </c>
      <c r="S142" s="448">
        <v>71.48</v>
      </c>
      <c r="T142" s="448">
        <v>45.64</v>
      </c>
      <c r="U142" s="448">
        <v>9.4700000000000006</v>
      </c>
      <c r="V142" s="448">
        <v>10.92</v>
      </c>
      <c r="W142" s="448">
        <v>1.88</v>
      </c>
      <c r="X142" s="448">
        <v>32.979999999999997</v>
      </c>
      <c r="Y142" s="448">
        <v>7.88</v>
      </c>
    </row>
    <row r="143" spans="15:26">
      <c r="O143" s="446">
        <v>36</v>
      </c>
      <c r="P143" s="447">
        <v>36</v>
      </c>
      <c r="Q143" s="448">
        <v>7.1671427998571433</v>
      </c>
      <c r="R143" s="448">
        <v>4.8342857142857136</v>
      </c>
      <c r="S143" s="448">
        <v>63.092857142857149</v>
      </c>
      <c r="T143" s="448">
        <v>34.571428571428569</v>
      </c>
      <c r="U143" s="448">
        <v>7.5942857142857134</v>
      </c>
      <c r="V143" s="448">
        <v>11.091428571428571</v>
      </c>
      <c r="W143" s="448">
        <v>1.8442857142857143</v>
      </c>
      <c r="X143" s="448">
        <v>31.20428571428571</v>
      </c>
      <c r="Y143" s="448">
        <v>8.0857142857142854</v>
      </c>
      <c r="Z143" s="476"/>
    </row>
    <row r="144" spans="15:26">
      <c r="P144" s="447">
        <v>37</v>
      </c>
      <c r="Q144" s="448">
        <v>7.1637143408571422</v>
      </c>
      <c r="R144" s="448">
        <v>3.1535714688571423</v>
      </c>
      <c r="S144" s="448">
        <v>61.141713821428574</v>
      </c>
      <c r="T144" s="448">
        <v>28.744000025714286</v>
      </c>
      <c r="U144" s="448">
        <v>6.5637142318571433</v>
      </c>
      <c r="V144" s="448">
        <v>10.825238499999999</v>
      </c>
      <c r="W144" s="448">
        <v>1.8114285809999999</v>
      </c>
      <c r="X144" s="448">
        <v>29.614285605714283</v>
      </c>
      <c r="Y144" s="448">
        <v>8.6452856064285708</v>
      </c>
    </row>
    <row r="145" spans="14:25">
      <c r="P145" s="447">
        <v>38</v>
      </c>
      <c r="Q145" s="448">
        <v>8.31</v>
      </c>
      <c r="R145" s="448">
        <v>3.3441428289999995</v>
      </c>
      <c r="S145" s="448">
        <v>49.664428712857145</v>
      </c>
      <c r="T145" s="448">
        <v>35.571571351428574</v>
      </c>
      <c r="U145" s="448">
        <v>7.2939999444285712</v>
      </c>
      <c r="V145" s="448">
        <v>11.159824370000001</v>
      </c>
      <c r="W145" s="448">
        <v>1.8427142925714282</v>
      </c>
      <c r="X145" s="448">
        <v>30.912857054285716</v>
      </c>
      <c r="Y145" s="448">
        <v>8.6452856064285708</v>
      </c>
    </row>
    <row r="146" spans="14:25">
      <c r="P146" s="447">
        <v>39</v>
      </c>
      <c r="Q146" s="448">
        <v>7.621428489714285</v>
      </c>
      <c r="R146" s="448">
        <v>4.6500000000000004</v>
      </c>
      <c r="S146" s="448">
        <v>42.24</v>
      </c>
      <c r="T146" s="448">
        <v>39.39</v>
      </c>
      <c r="U146" s="448">
        <v>7.68</v>
      </c>
      <c r="V146" s="448">
        <v>11.33</v>
      </c>
      <c r="W146" s="448">
        <v>1.64</v>
      </c>
      <c r="X146" s="448">
        <v>37.200000000000003</v>
      </c>
      <c r="Y146" s="448">
        <v>7.4194285528571422</v>
      </c>
    </row>
    <row r="147" spans="14:25">
      <c r="O147" s="446">
        <v>40</v>
      </c>
      <c r="P147" s="447">
        <v>40</v>
      </c>
      <c r="Q147" s="448">
        <v>7.621428489714285</v>
      </c>
      <c r="R147" s="448">
        <v>5.128571373571428</v>
      </c>
      <c r="S147" s="448">
        <v>38.906285422857138</v>
      </c>
      <c r="T147" s="448">
        <v>41.34000069857143</v>
      </c>
      <c r="U147" s="448">
        <v>9.112857137571428</v>
      </c>
      <c r="V147" s="448">
        <v>11.565001485714285</v>
      </c>
      <c r="W147" s="448">
        <v>1.8221428395714285</v>
      </c>
      <c r="X147" s="448">
        <v>42.197143011428572</v>
      </c>
      <c r="Y147" s="448">
        <v>9.6005713597142837</v>
      </c>
    </row>
    <row r="148" spans="14:25">
      <c r="P148" s="447">
        <v>41</v>
      </c>
      <c r="Q148" s="448">
        <v>7.2698572022574259</v>
      </c>
      <c r="R148" s="448">
        <v>4.8594285079410948</v>
      </c>
      <c r="S148" s="448">
        <v>42.923713956560341</v>
      </c>
      <c r="T148" s="448">
        <v>56.607142857142847</v>
      </c>
      <c r="U148" s="448">
        <v>11.170142854962995</v>
      </c>
      <c r="V148" s="448">
        <v>12.740178653172041</v>
      </c>
      <c r="W148" s="448">
        <v>1.7041428429739784</v>
      </c>
      <c r="X148" s="448">
        <v>49.475714547293492</v>
      </c>
      <c r="Y148" s="448">
        <v>10.943285942077617</v>
      </c>
    </row>
    <row r="149" spans="14:25">
      <c r="P149" s="447">
        <v>42</v>
      </c>
      <c r="Q149" s="448">
        <v>6.2732856614249064</v>
      </c>
      <c r="R149" s="448">
        <v>4.00314286776951</v>
      </c>
      <c r="S149" s="448">
        <v>73.976001194545148</v>
      </c>
      <c r="T149" s="448">
        <v>89.232285635811792</v>
      </c>
      <c r="U149" s="448">
        <v>19.282285690307582</v>
      </c>
      <c r="V149" s="448">
        <v>11.792381422860229</v>
      </c>
      <c r="W149" s="448">
        <v>1.5524285691124997</v>
      </c>
      <c r="X149" s="448">
        <v>72.350713457379968</v>
      </c>
      <c r="Y149" s="448">
        <v>17.972571236746628</v>
      </c>
    </row>
    <row r="150" spans="14:25">
      <c r="P150" s="447">
        <v>43</v>
      </c>
      <c r="Q150" s="448">
        <v>8.3208571161542526</v>
      </c>
      <c r="R150" s="448">
        <v>6.0481427737644662</v>
      </c>
      <c r="S150" s="448">
        <v>97.234427315848038</v>
      </c>
      <c r="T150" s="448">
        <v>125.70828465052978</v>
      </c>
      <c r="U150" s="448">
        <v>26.382142475673081</v>
      </c>
      <c r="V150" s="448">
        <v>12.0416071755545</v>
      </c>
      <c r="W150" s="448">
        <v>1.585428544453207</v>
      </c>
      <c r="X150" s="448">
        <v>82.484284537179079</v>
      </c>
      <c r="Y150" s="448">
        <v>19.552571432931028</v>
      </c>
    </row>
    <row r="151" spans="14:25">
      <c r="O151" s="446">
        <v>44</v>
      </c>
      <c r="P151" s="447">
        <v>44</v>
      </c>
      <c r="Q151" s="448">
        <v>9.2941429947142868</v>
      </c>
      <c r="R151" s="448">
        <v>7.6531428608571428</v>
      </c>
      <c r="S151" s="448">
        <v>120.62971387142855</v>
      </c>
      <c r="T151" s="448">
        <v>157.60714285714286</v>
      </c>
      <c r="U151" s="448">
        <v>33.364427840000005</v>
      </c>
      <c r="V151" s="448">
        <v>12.188929967142856</v>
      </c>
      <c r="W151" s="448">
        <v>1.6864285471428571</v>
      </c>
      <c r="X151" s="448">
        <v>110.40928649571428</v>
      </c>
      <c r="Y151" s="448">
        <v>33.081571032857141</v>
      </c>
    </row>
    <row r="152" spans="14:25">
      <c r="P152" s="447">
        <v>45</v>
      </c>
      <c r="Q152" s="448">
        <v>8.6642857274285721</v>
      </c>
      <c r="R152" s="448">
        <v>4.2061428341428568</v>
      </c>
      <c r="S152" s="448">
        <v>125.43157086857143</v>
      </c>
      <c r="T152" s="448">
        <v>105.63685608857143</v>
      </c>
      <c r="U152" s="448">
        <v>18.735571588571428</v>
      </c>
      <c r="V152" s="448">
        <v>13</v>
      </c>
      <c r="W152" s="448">
        <v>1.7397142818571427</v>
      </c>
      <c r="X152" s="448">
        <v>114.14357212285714</v>
      </c>
      <c r="Y152" s="448">
        <v>39.80185754</v>
      </c>
    </row>
    <row r="153" spans="14:25">
      <c r="P153" s="447">
        <v>46</v>
      </c>
      <c r="Q153" s="448">
        <v>8.5371428571428574</v>
      </c>
      <c r="R153" s="448">
        <v>5.9</v>
      </c>
      <c r="S153" s="448">
        <v>78.757142857142853</v>
      </c>
      <c r="T153" s="448">
        <v>79.304285714285712</v>
      </c>
      <c r="U153" s="448">
        <v>13.16</v>
      </c>
      <c r="V153" s="448">
        <v>13.001428571428571</v>
      </c>
      <c r="W153" s="448">
        <v>1.5</v>
      </c>
      <c r="X153" s="448">
        <v>93.457142857142841</v>
      </c>
      <c r="Y153" s="448">
        <v>37.212857142857146</v>
      </c>
    </row>
    <row r="154" spans="14:25">
      <c r="P154" s="447">
        <v>47</v>
      </c>
      <c r="Q154" s="448">
        <v>9.0094285692857135</v>
      </c>
      <c r="R154" s="448">
        <v>7.1015714912857133</v>
      </c>
      <c r="S154" s="448">
        <v>88.111712864285735</v>
      </c>
      <c r="T154" s="448">
        <v>74.684428622857141</v>
      </c>
      <c r="U154" s="448">
        <v>13.483142988571428</v>
      </c>
      <c r="V154" s="448">
        <v>12.142405645714286</v>
      </c>
      <c r="W154" s="448">
        <v>1.5</v>
      </c>
      <c r="X154" s="448">
        <v>104.10500007571429</v>
      </c>
      <c r="Y154" s="448">
        <v>35.055428368571434</v>
      </c>
    </row>
    <row r="155" spans="14:25">
      <c r="O155" s="446">
        <v>48</v>
      </c>
      <c r="P155" s="447">
        <v>48</v>
      </c>
      <c r="Q155" s="448">
        <v>8.5042856081428582</v>
      </c>
      <c r="R155" s="448">
        <v>4.3617142950000005</v>
      </c>
      <c r="S155" s="448">
        <v>80.151286534285717</v>
      </c>
      <c r="T155" s="448">
        <v>95.303570342857142</v>
      </c>
      <c r="U155" s="448">
        <v>12.543571337142859</v>
      </c>
      <c r="V155" s="448">
        <v>11.975262778571429</v>
      </c>
      <c r="W155" s="448">
        <v>1.5</v>
      </c>
      <c r="X155" s="448">
        <v>91.569999695714287</v>
      </c>
      <c r="Y155" s="448">
        <v>28.370000294285713</v>
      </c>
    </row>
    <row r="156" spans="14:25">
      <c r="P156" s="447">
        <v>49</v>
      </c>
      <c r="Q156" s="448">
        <v>8.27</v>
      </c>
      <c r="R156" s="448">
        <v>6.9099999999999993</v>
      </c>
      <c r="S156" s="448">
        <v>66.555714285714288</v>
      </c>
      <c r="T156" s="448">
        <v>54.31</v>
      </c>
      <c r="U156" s="448">
        <v>8.99</v>
      </c>
      <c r="V156" s="448">
        <v>12.26</v>
      </c>
      <c r="W156" s="448">
        <v>1.5</v>
      </c>
      <c r="X156" s="448">
        <v>62.974285714285706</v>
      </c>
      <c r="Y156" s="448">
        <v>22.919999999999998</v>
      </c>
    </row>
    <row r="157" spans="14:25">
      <c r="P157" s="447">
        <v>50</v>
      </c>
      <c r="Q157" s="448">
        <v>8.1765714374285707</v>
      </c>
      <c r="R157" s="448">
        <v>6.5639999597142857</v>
      </c>
      <c r="S157" s="448">
        <v>61.602715082857152</v>
      </c>
      <c r="T157" s="448">
        <v>52.47614288285714</v>
      </c>
      <c r="U157" s="448">
        <v>10.909571511285714</v>
      </c>
      <c r="V157" s="448">
        <v>13.001428604285715</v>
      </c>
      <c r="W157" s="448">
        <v>1.457142846857143</v>
      </c>
      <c r="X157" s="448">
        <v>52.244286674285718</v>
      </c>
      <c r="Y157" s="448">
        <v>17.695714271428571</v>
      </c>
    </row>
    <row r="158" spans="14:25">
      <c r="P158" s="447">
        <v>51</v>
      </c>
      <c r="Q158" s="448">
        <v>10.342857142857142</v>
      </c>
      <c r="R158" s="448">
        <v>7.3285714285714283</v>
      </c>
      <c r="S158" s="448">
        <v>53.9</v>
      </c>
      <c r="T158" s="448">
        <v>126.14285714285714</v>
      </c>
      <c r="U158" s="448">
        <v>16.8</v>
      </c>
      <c r="V158" s="448">
        <v>12.257142857142856</v>
      </c>
      <c r="W158" s="448">
        <v>1.3857142857142859</v>
      </c>
      <c r="X158" s="448">
        <v>86.528571428571439</v>
      </c>
      <c r="Y158" s="448">
        <v>33.51428571428572</v>
      </c>
    </row>
    <row r="159" spans="14:25">
      <c r="O159" s="446">
        <v>52</v>
      </c>
      <c r="P159" s="447">
        <v>52</v>
      </c>
      <c r="Q159" s="448">
        <v>10.661999840142856</v>
      </c>
      <c r="R159" s="448">
        <v>7.4820000789999996</v>
      </c>
      <c r="S159" s="448">
        <v>57.504999978571433</v>
      </c>
      <c r="T159" s="448">
        <v>100.38085719714286</v>
      </c>
      <c r="U159" s="448">
        <v>16.435142652857145</v>
      </c>
      <c r="V159" s="448">
        <v>12.222315514285714</v>
      </c>
      <c r="W159" s="448">
        <v>1.2999999520000001</v>
      </c>
      <c r="X159" s="448">
        <v>103.53357153142858</v>
      </c>
      <c r="Y159" s="448">
        <v>52.753143308571431</v>
      </c>
    </row>
    <row r="160" spans="14:25">
      <c r="N160" s="446">
        <v>2019</v>
      </c>
      <c r="O160" s="446">
        <v>1</v>
      </c>
      <c r="P160" s="447">
        <v>1</v>
      </c>
      <c r="Q160" s="448">
        <v>8.992857251428573</v>
      </c>
      <c r="R160" s="448">
        <v>4.4642857141428571</v>
      </c>
      <c r="S160" s="448">
        <v>57.514999934285704</v>
      </c>
      <c r="T160" s="448">
        <v>79.871427261428579</v>
      </c>
      <c r="U160" s="448">
        <v>13.115714484285716</v>
      </c>
      <c r="V160" s="448">
        <v>11.571904317142856</v>
      </c>
      <c r="W160" s="448">
        <v>1.2999999520000001</v>
      </c>
      <c r="X160" s="448">
        <v>121.75642612857142</v>
      </c>
      <c r="Y160" s="448">
        <v>64.398429325714275</v>
      </c>
    </row>
    <row r="161" spans="15:25">
      <c r="P161" s="447">
        <v>2</v>
      </c>
      <c r="Q161" s="448">
        <v>7.4904285157142843</v>
      </c>
      <c r="R161" s="448">
        <v>3.3685714177142856</v>
      </c>
      <c r="S161" s="448">
        <v>63.363856724285711</v>
      </c>
      <c r="T161" s="448">
        <v>84.184571402857145</v>
      </c>
      <c r="U161" s="448">
        <v>16.11014284285714</v>
      </c>
      <c r="V161" s="448">
        <v>11.570298602857141</v>
      </c>
      <c r="W161" s="448">
        <v>1.2999999520000001</v>
      </c>
      <c r="X161" s="448">
        <v>180.32999965714288</v>
      </c>
      <c r="Y161" s="448">
        <v>70.997858864285703</v>
      </c>
    </row>
    <row r="162" spans="15:25">
      <c r="P162" s="447">
        <v>3</v>
      </c>
      <c r="Q162" s="448">
        <v>14.36</v>
      </c>
      <c r="R162" s="448">
        <v>10.74</v>
      </c>
      <c r="S162" s="448">
        <v>80.75</v>
      </c>
      <c r="T162" s="448">
        <v>149.30000000000001</v>
      </c>
      <c r="U162" s="448">
        <v>29.23</v>
      </c>
      <c r="V162" s="448">
        <v>11.28</v>
      </c>
      <c r="W162" s="448">
        <v>1.33</v>
      </c>
      <c r="X162" s="448">
        <v>167.22</v>
      </c>
      <c r="Y162" s="448">
        <v>68.83</v>
      </c>
    </row>
    <row r="163" spans="15:25">
      <c r="O163" s="446">
        <v>4</v>
      </c>
      <c r="P163" s="447">
        <v>4</v>
      </c>
      <c r="Q163" s="448">
        <v>17.131428719999999</v>
      </c>
      <c r="R163" s="448">
        <v>11.155714580142858</v>
      </c>
      <c r="S163" s="448">
        <v>85.689570837142853</v>
      </c>
      <c r="T163" s="448">
        <v>168.80999974285714</v>
      </c>
      <c r="U163" s="448">
        <v>36.200000218571425</v>
      </c>
      <c r="V163" s="448">
        <v>11.843988554285716</v>
      </c>
      <c r="W163" s="448">
        <v>3.0287143159999999</v>
      </c>
      <c r="X163" s="448">
        <v>185.51500375714286</v>
      </c>
      <c r="Y163" s="448">
        <v>70.089428494285713</v>
      </c>
    </row>
    <row r="164" spans="15:25">
      <c r="P164" s="447">
        <v>5</v>
      </c>
      <c r="Q164" s="448">
        <v>30.592286245714288</v>
      </c>
      <c r="R164" s="448">
        <v>16.463000024285716</v>
      </c>
      <c r="S164" s="448">
        <v>416.48700821428571</v>
      </c>
      <c r="T164" s="448">
        <v>195.24999782857142</v>
      </c>
      <c r="U164" s="448">
        <v>36.703999928571427</v>
      </c>
      <c r="V164" s="448">
        <v>12.496724401428571</v>
      </c>
      <c r="W164" s="448">
        <v>6.6928571292857146</v>
      </c>
      <c r="X164" s="448">
        <v>199.03571430000002</v>
      </c>
      <c r="Y164" s="448">
        <v>74.655428748571438</v>
      </c>
    </row>
    <row r="165" spans="15:25">
      <c r="P165" s="447">
        <v>6</v>
      </c>
      <c r="Q165" s="448">
        <v>20.372857142857146</v>
      </c>
      <c r="R165" s="448">
        <v>17.05857142857143</v>
      </c>
      <c r="S165" s="448">
        <v>426.67142857142863</v>
      </c>
      <c r="T165" s="448">
        <v>265.28000000000003</v>
      </c>
      <c r="U165" s="448">
        <v>51.29</v>
      </c>
      <c r="V165" s="448">
        <v>12.744285714285715</v>
      </c>
      <c r="W165" s="448">
        <v>14.464285714285714</v>
      </c>
      <c r="X165" s="448">
        <v>338.89857142857142</v>
      </c>
      <c r="Y165" s="448">
        <v>117.82857142857142</v>
      </c>
    </row>
    <row r="166" spans="15:25">
      <c r="P166" s="447">
        <v>7</v>
      </c>
      <c r="Q166" s="448">
        <v>28.837571554285717</v>
      </c>
      <c r="R166" s="448">
        <v>18.065285818571429</v>
      </c>
      <c r="S166" s="448">
        <v>581.62514822857145</v>
      </c>
      <c r="T166" s="448">
        <v>230.7322888857143</v>
      </c>
      <c r="U166" s="448">
        <v>46.224000658571427</v>
      </c>
      <c r="V166" s="448">
        <v>23.841369902857146</v>
      </c>
      <c r="W166" s="448">
        <v>21.059571402857141</v>
      </c>
      <c r="X166" s="448">
        <v>288.0957205571429</v>
      </c>
      <c r="Y166" s="448">
        <v>118.07871352857144</v>
      </c>
    </row>
    <row r="167" spans="15:25">
      <c r="O167" s="446">
        <v>8</v>
      </c>
      <c r="P167" s="447">
        <v>8</v>
      </c>
      <c r="Q167" s="448">
        <v>20.077857700000003</v>
      </c>
      <c r="R167" s="448">
        <v>14.531571660571432</v>
      </c>
      <c r="S167" s="448">
        <v>439.74099729999995</v>
      </c>
      <c r="T167" s="448">
        <v>219.37485614285717</v>
      </c>
      <c r="U167" s="448">
        <v>42.94585745571429</v>
      </c>
      <c r="V167" s="448">
        <v>23.894881112857146</v>
      </c>
      <c r="W167" s="448">
        <v>6.8928571428571432</v>
      </c>
      <c r="X167" s="448">
        <v>411.75142995714288</v>
      </c>
      <c r="Y167" s="448">
        <v>98.32</v>
      </c>
    </row>
    <row r="168" spans="15:25">
      <c r="P168" s="447">
        <v>9</v>
      </c>
      <c r="Q168" s="448">
        <v>26.317999977142858</v>
      </c>
      <c r="R168" s="448">
        <v>19.520428521428574</v>
      </c>
      <c r="S168" s="448">
        <v>316.26999772857147</v>
      </c>
      <c r="T168" s="448">
        <v>191.17842539999998</v>
      </c>
      <c r="U168" s="448">
        <v>34.696428571428569</v>
      </c>
      <c r="V168" s="448">
        <v>22.406962801428573</v>
      </c>
      <c r="W168" s="448">
        <v>3.3807143142857146</v>
      </c>
      <c r="X168" s="448">
        <v>249.46285358571427</v>
      </c>
      <c r="Y168" s="448">
        <v>120.90099988571428</v>
      </c>
    </row>
    <row r="169" spans="15:25">
      <c r="P169" s="447">
        <v>10</v>
      </c>
      <c r="Q169" s="448">
        <v>27.959571565714288</v>
      </c>
      <c r="R169" s="448">
        <v>20.831714628571426</v>
      </c>
      <c r="S169" s="448">
        <v>326.63642664285715</v>
      </c>
      <c r="T169" s="448">
        <v>184.08928571428572</v>
      </c>
      <c r="U169" s="448">
        <v>38.680999754285715</v>
      </c>
      <c r="V169" s="448">
        <v>23.828572680000001</v>
      </c>
      <c r="W169" s="448">
        <v>2.3840000118571427</v>
      </c>
      <c r="X169" s="448">
        <v>225.10000174285716</v>
      </c>
      <c r="Y169" s="448">
        <v>78.177285328571429</v>
      </c>
    </row>
    <row r="170" spans="15:25">
      <c r="P170" s="447">
        <v>11</v>
      </c>
      <c r="Q170" s="448">
        <v>27.959571565714288</v>
      </c>
      <c r="R170" s="448">
        <v>22.247142927987216</v>
      </c>
      <c r="S170" s="448">
        <v>416.08099801199745</v>
      </c>
      <c r="T170" s="448">
        <v>226.88085501534573</v>
      </c>
      <c r="U170" s="448">
        <v>42.633285522460888</v>
      </c>
      <c r="V170" s="448">
        <v>23.809881482805473</v>
      </c>
      <c r="W170" s="448">
        <v>1.9291428668158341</v>
      </c>
      <c r="X170" s="448">
        <v>217.45642525809117</v>
      </c>
      <c r="Y170" s="448">
        <v>44.638999938964801</v>
      </c>
    </row>
    <row r="171" spans="15:25">
      <c r="O171" s="446">
        <v>12</v>
      </c>
      <c r="P171" s="447">
        <v>12</v>
      </c>
      <c r="Q171" s="448">
        <v>28.476714270455457</v>
      </c>
      <c r="R171" s="448">
        <v>21.707857131428572</v>
      </c>
      <c r="S171" s="448">
        <v>394.13957431428571</v>
      </c>
      <c r="T171" s="448">
        <v>203.44642857142858</v>
      </c>
      <c r="U171" s="448">
        <v>43.529285431428569</v>
      </c>
      <c r="V171" s="448">
        <v>19.572964258571432</v>
      </c>
      <c r="W171" s="448">
        <v>1.7968571012857144</v>
      </c>
      <c r="X171" s="448">
        <v>327.82142857142861</v>
      </c>
      <c r="Y171" s="448">
        <v>98.4</v>
      </c>
    </row>
    <row r="172" spans="15:25">
      <c r="P172" s="447">
        <v>13</v>
      </c>
      <c r="Q172" s="448">
        <v>24.844714028571435</v>
      </c>
      <c r="R172" s="448">
        <v>20.569142751428576</v>
      </c>
      <c r="S172" s="448">
        <v>522.42285592857138</v>
      </c>
      <c r="T172" s="448">
        <v>225.26185825714285</v>
      </c>
      <c r="U172" s="448">
        <v>57.974427901428569</v>
      </c>
      <c r="V172" s="448">
        <v>12.582738467142859</v>
      </c>
      <c r="W172" s="448">
        <v>1.6904285634285714</v>
      </c>
      <c r="X172" s="448">
        <v>339.04356602857143</v>
      </c>
      <c r="Y172" s="448">
        <v>92.103571201428579</v>
      </c>
    </row>
    <row r="173" spans="15:25">
      <c r="P173" s="447">
        <v>14</v>
      </c>
      <c r="Q173" s="448">
        <v>29.483285902857141</v>
      </c>
      <c r="R173" s="448">
        <v>18.767857142857142</v>
      </c>
      <c r="S173" s="448">
        <v>316.33943394285717</v>
      </c>
      <c r="T173" s="448">
        <v>152.47643277142856</v>
      </c>
      <c r="U173" s="448">
        <v>55.119428907142868</v>
      </c>
      <c r="V173" s="448">
        <v>21.303751674285714</v>
      </c>
      <c r="W173" s="448">
        <v>1.6808571647142858</v>
      </c>
      <c r="X173" s="448">
        <v>250.08571298571431</v>
      </c>
      <c r="Y173" s="448">
        <v>65.665856497142855</v>
      </c>
    </row>
    <row r="174" spans="15:25">
      <c r="P174" s="447">
        <v>15</v>
      </c>
      <c r="Q174" s="448">
        <v>20.040428705714284</v>
      </c>
      <c r="R174" s="448">
        <v>14.275999887714287</v>
      </c>
      <c r="S174" s="448">
        <v>168.45457024285716</v>
      </c>
      <c r="T174" s="448">
        <v>98.160714291428576</v>
      </c>
      <c r="U174" s="448">
        <v>27.713714872857139</v>
      </c>
      <c r="V174" s="448">
        <v>17.810774395714287</v>
      </c>
      <c r="W174" s="448">
        <v>1.7205714498571432</v>
      </c>
      <c r="X174" s="448">
        <v>148.48785617142858</v>
      </c>
      <c r="Y174" s="448">
        <v>49.633285522857136</v>
      </c>
    </row>
    <row r="175" spans="15:25">
      <c r="O175" s="446">
        <v>16</v>
      </c>
      <c r="P175" s="447">
        <v>16</v>
      </c>
      <c r="Q175" s="448">
        <v>16.072142737142858</v>
      </c>
      <c r="R175" s="448">
        <v>10.180143014285713</v>
      </c>
      <c r="S175" s="448">
        <v>131.80142647142856</v>
      </c>
      <c r="T175" s="448">
        <v>98.279714314285712</v>
      </c>
      <c r="U175" s="448">
        <v>22.869143077142859</v>
      </c>
      <c r="V175" s="448">
        <v>12.210951395714286</v>
      </c>
      <c r="W175" s="448">
        <v>1.789857131857143</v>
      </c>
      <c r="X175" s="448">
        <v>105.47928511571429</v>
      </c>
      <c r="Y175" s="448">
        <v>31.291000095714285</v>
      </c>
    </row>
    <row r="176" spans="15:25">
      <c r="P176" s="447">
        <v>17</v>
      </c>
      <c r="Q176" s="448">
        <v>15.383999960000001</v>
      </c>
      <c r="R176" s="448">
        <v>12.121571608857142</v>
      </c>
      <c r="S176" s="448">
        <v>143.84128789999997</v>
      </c>
      <c r="T176" s="448">
        <v>83.547571454285716</v>
      </c>
      <c r="U176" s="448">
        <v>20.273857388571425</v>
      </c>
      <c r="V176" s="448">
        <v>12.949641501428573</v>
      </c>
      <c r="W176" s="448">
        <v>1.6648571664285714</v>
      </c>
      <c r="X176" s="448">
        <v>103.81928579571429</v>
      </c>
      <c r="Y176" s="448">
        <v>25.921857015714284</v>
      </c>
    </row>
    <row r="177" spans="15:25">
      <c r="P177" s="447">
        <v>18</v>
      </c>
      <c r="Q177" s="448">
        <v>16.026142665714286</v>
      </c>
      <c r="R177" s="448">
        <v>11.996285711571428</v>
      </c>
      <c r="S177" s="448">
        <v>111.12314277285714</v>
      </c>
      <c r="T177" s="448">
        <v>74.392857142857139</v>
      </c>
      <c r="U177" s="448">
        <v>18.103142875714287</v>
      </c>
      <c r="V177" s="448">
        <v>11.493274145714285</v>
      </c>
      <c r="W177" s="448">
        <v>1.55</v>
      </c>
      <c r="X177" s="448">
        <v>91.532855442857141</v>
      </c>
      <c r="Y177" s="448">
        <v>22.190428595714284</v>
      </c>
    </row>
    <row r="178" spans="15:25">
      <c r="P178" s="447">
        <v>19</v>
      </c>
      <c r="Q178" s="448">
        <v>14.769714355714287</v>
      </c>
      <c r="R178" s="448">
        <v>10.123285769857144</v>
      </c>
      <c r="S178" s="448">
        <v>89.41828482428572</v>
      </c>
      <c r="T178" s="448">
        <v>60.613000051428571</v>
      </c>
      <c r="U178" s="448">
        <v>15.728999954285714</v>
      </c>
      <c r="V178" s="448">
        <v>10.883738517142858</v>
      </c>
      <c r="W178" s="448">
        <v>1.5914285865714286</v>
      </c>
      <c r="X178" s="448">
        <v>82.45500183</v>
      </c>
      <c r="Y178" s="448">
        <v>20.991285870000006</v>
      </c>
    </row>
    <row r="179" spans="15:25">
      <c r="P179" s="447">
        <v>20</v>
      </c>
      <c r="Q179" s="448">
        <v>13.81242861</v>
      </c>
      <c r="R179" s="448">
        <v>9.3731427190000005</v>
      </c>
      <c r="S179" s="448">
        <v>79.212427410000004</v>
      </c>
      <c r="T179" s="448">
        <v>72.321428569999995</v>
      </c>
      <c r="U179" s="448">
        <v>20.647571429999999</v>
      </c>
      <c r="V179" s="448">
        <v>11.153748650000001</v>
      </c>
      <c r="W179" s="448">
        <v>1.5371428389999999</v>
      </c>
      <c r="X179" s="448">
        <v>76.857142859999996</v>
      </c>
      <c r="Y179" s="448">
        <v>23.085714070000002</v>
      </c>
    </row>
    <row r="180" spans="15:25">
      <c r="P180" s="447">
        <v>21</v>
      </c>
      <c r="Q180" s="448">
        <v>12.849714414285714</v>
      </c>
      <c r="R180" s="448">
        <v>7.085428442285715</v>
      </c>
      <c r="S180" s="448">
        <v>62.717000688571432</v>
      </c>
      <c r="T180" s="448">
        <v>52.565571377142859</v>
      </c>
      <c r="U180" s="448">
        <v>14.46171447</v>
      </c>
      <c r="V180" s="448">
        <v>12</v>
      </c>
      <c r="W180" s="448">
        <v>1.5128571304285714</v>
      </c>
      <c r="X180" s="448">
        <v>58.057856968571436</v>
      </c>
      <c r="Y180" s="448">
        <v>17.858285902857144</v>
      </c>
    </row>
    <row r="181" spans="15:25">
      <c r="O181" s="446">
        <v>22</v>
      </c>
      <c r="P181" s="447">
        <v>22</v>
      </c>
      <c r="Q181" s="448">
        <v>12.105428559999998</v>
      </c>
      <c r="R181" s="448">
        <v>7.3308571058571435</v>
      </c>
      <c r="S181" s="448">
        <v>41.633143151428598</v>
      </c>
      <c r="T181" s="448">
        <v>49.261999948571429</v>
      </c>
      <c r="U181" s="448">
        <v>12.621714454285712</v>
      </c>
      <c r="V181" s="448">
        <v>10.442797251571431</v>
      </c>
      <c r="W181" s="448">
        <v>1.5</v>
      </c>
      <c r="X181" s="448">
        <v>51.520714895714285</v>
      </c>
      <c r="Y181" s="448">
        <v>15.324571202857143</v>
      </c>
    </row>
    <row r="182" spans="15:25">
      <c r="P182" s="447">
        <v>23</v>
      </c>
      <c r="Q182" s="448">
        <v>11.272714207142856</v>
      </c>
      <c r="R182" s="448">
        <v>7.7242857718571427</v>
      </c>
      <c r="S182" s="448">
        <v>41.633143151428598</v>
      </c>
      <c r="T182" s="448">
        <v>40.500142779999997</v>
      </c>
      <c r="U182" s="448">
        <v>10.571857179142857</v>
      </c>
      <c r="V182" s="448">
        <v>10.979225701428572</v>
      </c>
      <c r="W182" s="448">
        <v>1.5</v>
      </c>
      <c r="X182" s="448">
        <v>46.520714351428573</v>
      </c>
      <c r="Y182" s="448">
        <v>13.868142808571431</v>
      </c>
    </row>
    <row r="183" spans="15:25">
      <c r="P183" s="447">
        <v>24</v>
      </c>
      <c r="Q183" s="448">
        <v>10.867999894285715</v>
      </c>
      <c r="R183" s="448">
        <v>8.8337143495714301</v>
      </c>
      <c r="S183" s="448">
        <v>78.434000150000003</v>
      </c>
      <c r="T183" s="448">
        <v>35.785857065714289</v>
      </c>
      <c r="U183" s="448">
        <v>9.2180000031428584</v>
      </c>
      <c r="V183" s="448">
        <v>11.096784181428571</v>
      </c>
      <c r="W183" s="448">
        <v>1.5</v>
      </c>
      <c r="X183" s="448">
        <v>42.473571777142858</v>
      </c>
      <c r="Y183" s="448">
        <v>12.512571334285715</v>
      </c>
    </row>
    <row r="184" spans="15:25">
      <c r="P184" s="447">
        <v>25</v>
      </c>
      <c r="Q184" s="448">
        <v>10.167285918857143</v>
      </c>
      <c r="R184" s="448">
        <v>7.6592858184285708</v>
      </c>
      <c r="S184" s="448">
        <v>77.872000559999989</v>
      </c>
      <c r="T184" s="448">
        <v>33.357000077142857</v>
      </c>
      <c r="U184" s="448">
        <v>8.9321429390000002</v>
      </c>
      <c r="V184" s="448">
        <v>10.461965969999998</v>
      </c>
      <c r="W184" s="448">
        <v>1.5</v>
      </c>
      <c r="X184" s="448">
        <v>43.729285104285715</v>
      </c>
      <c r="Y184" s="448">
        <v>11.450428658571429</v>
      </c>
    </row>
    <row r="185" spans="15:25">
      <c r="O185" s="446">
        <v>26</v>
      </c>
      <c r="P185" s="447">
        <v>26</v>
      </c>
      <c r="Q185" s="448">
        <v>9.3535717554285718</v>
      </c>
      <c r="R185" s="448">
        <v>6.2751428064285708</v>
      </c>
      <c r="S185" s="448">
        <v>76.447856358571428</v>
      </c>
      <c r="T185" s="448">
        <v>29.154571531428569</v>
      </c>
      <c r="U185" s="448">
        <v>8.3007144928571428</v>
      </c>
      <c r="V185" s="448">
        <v>11.259941372857144</v>
      </c>
      <c r="W185" s="448">
        <v>1.5</v>
      </c>
      <c r="X185" s="448">
        <v>44.616428919999997</v>
      </c>
      <c r="Y185" s="448">
        <v>9.6660000944285702</v>
      </c>
    </row>
    <row r="186" spans="15:25">
      <c r="P186" s="447">
        <v>27</v>
      </c>
      <c r="Q186" s="448">
        <v>8.86</v>
      </c>
      <c r="R186" s="448">
        <v>7.15</v>
      </c>
      <c r="S186" s="799">
        <v>77.430000000000007</v>
      </c>
      <c r="T186" s="448">
        <v>30.35</v>
      </c>
      <c r="U186" s="448">
        <v>8.59</v>
      </c>
      <c r="V186" s="448">
        <v>10.758154460361988</v>
      </c>
      <c r="W186" s="448">
        <v>1.59</v>
      </c>
      <c r="X186" s="448">
        <v>43.84</v>
      </c>
      <c r="Y186" s="448">
        <v>8.27</v>
      </c>
    </row>
    <row r="187" spans="15:25">
      <c r="P187" s="447">
        <v>28</v>
      </c>
      <c r="Q187" s="448">
        <v>8.9135712215714289</v>
      </c>
      <c r="R187" s="448">
        <v>5.7058570728571425</v>
      </c>
      <c r="S187" s="799">
        <v>76.24514443428572</v>
      </c>
      <c r="T187" s="448">
        <v>27.702285765714286</v>
      </c>
      <c r="U187" s="448">
        <v>7.8261427880000003</v>
      </c>
      <c r="V187" s="448">
        <v>11.139168601428571</v>
      </c>
      <c r="W187" s="448">
        <v>1.6000000240000001</v>
      </c>
      <c r="X187" s="448">
        <v>39.995714458571435</v>
      </c>
      <c r="Y187" s="448">
        <v>7.4899999752857136</v>
      </c>
    </row>
    <row r="188" spans="15:25">
      <c r="P188" s="447">
        <v>29</v>
      </c>
      <c r="Q188" s="448">
        <v>9.1244284766060932</v>
      </c>
      <c r="R188" s="448">
        <v>6.4564285959516052</v>
      </c>
      <c r="S188" s="799">
        <v>66.31271307809007</v>
      </c>
      <c r="T188" s="448">
        <v>29.940428597586454</v>
      </c>
      <c r="U188" s="448">
        <v>7.6488569804600273</v>
      </c>
      <c r="V188" s="448">
        <v>10.810358456202879</v>
      </c>
      <c r="W188" s="448">
        <v>1.6000000238418504</v>
      </c>
      <c r="X188" s="448">
        <v>42.704285757882197</v>
      </c>
      <c r="Y188" s="448">
        <v>6.46428571428571</v>
      </c>
    </row>
    <row r="189" spans="15:25">
      <c r="O189" s="446">
        <v>30</v>
      </c>
      <c r="P189" s="447">
        <v>30</v>
      </c>
      <c r="Q189" s="448">
        <v>8.5528571428571407</v>
      </c>
      <c r="R189" s="448">
        <v>4.6828571428571433</v>
      </c>
      <c r="S189" s="799">
        <v>72.048571428571435</v>
      </c>
      <c r="T189" s="448">
        <v>36.729999999999997</v>
      </c>
      <c r="U189" s="448">
        <v>8.18</v>
      </c>
      <c r="V189" s="448">
        <v>12.61</v>
      </c>
      <c r="W189" s="448">
        <v>1.6285714285714283</v>
      </c>
      <c r="X189" s="448">
        <v>44.611428571428576</v>
      </c>
      <c r="Y189" s="448">
        <v>8.2285714285714295</v>
      </c>
    </row>
    <row r="190" spans="15:25">
      <c r="P190" s="447">
        <v>31</v>
      </c>
      <c r="Q190" s="448">
        <v>8.6655714172857152</v>
      </c>
      <c r="R190" s="448">
        <v>6.0697142064285714</v>
      </c>
      <c r="S190" s="799">
        <v>71.543143134285714</v>
      </c>
      <c r="T190" s="448">
        <v>31.720428468571431</v>
      </c>
      <c r="U190" s="448">
        <v>7.0618571554285712</v>
      </c>
      <c r="V190" s="448">
        <v>12.322975702857141</v>
      </c>
      <c r="W190" s="448">
        <v>1.7000000479999999</v>
      </c>
      <c r="X190" s="448">
        <v>43.444999694285706</v>
      </c>
      <c r="Y190" s="448">
        <v>6.7562857354285706</v>
      </c>
    </row>
    <row r="191" spans="15:25">
      <c r="P191" s="447">
        <v>32</v>
      </c>
      <c r="Q191" s="448">
        <v>8.8231430052857132</v>
      </c>
      <c r="R191" s="448">
        <v>7.5088570807142858</v>
      </c>
      <c r="S191" s="448">
        <v>73.754999434285722</v>
      </c>
      <c r="T191" s="448">
        <v>23.255857194285714</v>
      </c>
      <c r="U191" s="448">
        <v>6.2595714159999991</v>
      </c>
      <c r="V191" s="448">
        <v>12.551451548571427</v>
      </c>
      <c r="W191" s="448">
        <v>1.7214285988571427</v>
      </c>
      <c r="X191" s="448">
        <v>38.432857512857147</v>
      </c>
      <c r="Y191" s="448">
        <v>6.4201429230000002</v>
      </c>
    </row>
    <row r="192" spans="15:25">
      <c r="P192" s="447">
        <v>33</v>
      </c>
      <c r="Q192" s="448">
        <v>7.5077142715714285</v>
      </c>
      <c r="R192" s="448">
        <v>3.2121428764285715</v>
      </c>
      <c r="S192" s="448">
        <v>68.878572191428574</v>
      </c>
      <c r="T192" s="448">
        <v>21.297428674285715</v>
      </c>
      <c r="U192" s="448">
        <v>6.3691428730000004</v>
      </c>
      <c r="V192" s="448">
        <v>12.137084417142857</v>
      </c>
      <c r="W192" s="448">
        <v>1.7482857022857143</v>
      </c>
      <c r="X192" s="448">
        <v>36.690713608571421</v>
      </c>
      <c r="Y192" s="448">
        <v>4.7154285567142855</v>
      </c>
    </row>
    <row r="193" spans="15:25">
      <c r="P193" s="447">
        <v>34</v>
      </c>
      <c r="Q193" s="448">
        <v>7.6147142817142859</v>
      </c>
      <c r="R193" s="448">
        <v>3.3949999810000002</v>
      </c>
      <c r="S193" s="448">
        <v>65.663999831428569</v>
      </c>
      <c r="T193" s="448">
        <v>20.922428674285715</v>
      </c>
      <c r="U193" s="448">
        <v>6.115428584</v>
      </c>
      <c r="V193" s="448">
        <v>12.034524235714285</v>
      </c>
      <c r="W193" s="448">
        <v>1.7482857022857143</v>
      </c>
      <c r="X193" s="448">
        <v>34.872856138571429</v>
      </c>
      <c r="Y193" s="448">
        <v>5.7421428814285713</v>
      </c>
    </row>
    <row r="194" spans="15:25">
      <c r="P194" s="447">
        <v>35</v>
      </c>
      <c r="Q194" s="448">
        <v>8.7815715245714294</v>
      </c>
      <c r="R194" s="448">
        <v>7.1025714534285722</v>
      </c>
      <c r="S194" s="448">
        <v>65.224427905714279</v>
      </c>
      <c r="T194" s="448">
        <v>19.458285740000001</v>
      </c>
      <c r="U194" s="448">
        <v>6.3137143680000003</v>
      </c>
      <c r="V194" s="448">
        <v>12.041607177142856</v>
      </c>
      <c r="W194" s="448">
        <v>1.75</v>
      </c>
      <c r="X194" s="448">
        <v>34.16142872428572</v>
      </c>
      <c r="Y194" s="448">
        <v>6.5945714541428577</v>
      </c>
    </row>
    <row r="195" spans="15:25">
      <c r="O195" s="446">
        <v>36</v>
      </c>
      <c r="P195" s="447">
        <v>36</v>
      </c>
      <c r="Q195" s="448">
        <v>8.2851428302857144</v>
      </c>
      <c r="R195" s="448">
        <v>6.7619999824285708</v>
      </c>
      <c r="S195" s="448">
        <v>60.719142914285719</v>
      </c>
      <c r="T195" s="448">
        <v>25.369000025714286</v>
      </c>
      <c r="U195" s="448">
        <v>5.8737142427142857</v>
      </c>
      <c r="V195" s="448">
        <v>12.055594308571429</v>
      </c>
      <c r="W195" s="448">
        <v>1.6425714154285713</v>
      </c>
      <c r="X195" s="448">
        <v>35.968571799999999</v>
      </c>
      <c r="Y195" s="448">
        <v>4.9847143037142851</v>
      </c>
    </row>
    <row r="196" spans="15:25">
      <c r="P196" s="447">
        <v>37</v>
      </c>
      <c r="Q196" s="448">
        <v>7.6475714954285712</v>
      </c>
      <c r="R196" s="448">
        <v>6.5272856442857137</v>
      </c>
      <c r="S196" s="448">
        <v>62.679428645714289</v>
      </c>
      <c r="T196" s="448">
        <v>28.136857168571428</v>
      </c>
      <c r="U196" s="448">
        <v>6.1154285838571436</v>
      </c>
      <c r="V196" s="448">
        <v>12.130952835714286</v>
      </c>
      <c r="W196" s="448">
        <v>1.6457142658571429</v>
      </c>
      <c r="X196" s="448">
        <v>34.324999674285714</v>
      </c>
      <c r="Y196" s="448">
        <v>5.502714293285714</v>
      </c>
    </row>
    <row r="197" spans="15:25">
      <c r="P197" s="447">
        <v>38</v>
      </c>
      <c r="Q197" s="448">
        <v>7.6971428571428575</v>
      </c>
      <c r="R197" s="448">
        <v>5.444285714285714</v>
      </c>
      <c r="S197" s="448">
        <v>65.47</v>
      </c>
      <c r="T197" s="448">
        <v>29.351428571428567</v>
      </c>
      <c r="U197" s="448">
        <v>6.8328571428571419</v>
      </c>
      <c r="V197" s="448">
        <v>12.194285714285716</v>
      </c>
      <c r="W197" s="448">
        <v>1.6014285714285712</v>
      </c>
      <c r="X197" s="448">
        <v>33.131428571428572</v>
      </c>
      <c r="Y197" s="448">
        <v>6.8414285714285716</v>
      </c>
    </row>
    <row r="198" spans="15:25">
      <c r="P198" s="447">
        <v>39</v>
      </c>
      <c r="Q198" s="448">
        <v>7.6702859061104887</v>
      </c>
      <c r="R198" s="448">
        <v>5.896142857415323</v>
      </c>
      <c r="S198" s="448">
        <v>72.930715288434641</v>
      </c>
      <c r="T198" s="448">
        <v>26.470285688127774</v>
      </c>
      <c r="U198" s="448">
        <v>9.2337144442966927</v>
      </c>
      <c r="V198" s="448">
        <v>12.167024339948341</v>
      </c>
      <c r="W198" s="448">
        <v>1.4285714115415273</v>
      </c>
      <c r="X198" s="448">
        <v>32.532142911638481</v>
      </c>
      <c r="Y198" s="448">
        <v>5.5879999569484111</v>
      </c>
    </row>
    <row r="199" spans="15:25">
      <c r="O199" s="446">
        <v>40</v>
      </c>
      <c r="P199" s="447">
        <v>40</v>
      </c>
      <c r="Q199" s="448">
        <v>6.5494285314285721</v>
      </c>
      <c r="R199" s="448">
        <v>3.8238571030000004</v>
      </c>
      <c r="S199" s="448">
        <v>70.661287578571418</v>
      </c>
      <c r="T199" s="448">
        <v>28.190571377142856</v>
      </c>
      <c r="U199" s="448">
        <v>9.6928569934285722</v>
      </c>
      <c r="V199" s="448">
        <v>12.594642775714282</v>
      </c>
      <c r="W199" s="448">
        <v>1.3999999759999999</v>
      </c>
      <c r="X199" s="448">
        <v>36.384999957142853</v>
      </c>
      <c r="Y199" s="448">
        <v>8.0550000327142861</v>
      </c>
    </row>
    <row r="200" spans="15:25">
      <c r="P200" s="447">
        <v>41</v>
      </c>
      <c r="Q200" s="448">
        <v>8.096428529999999</v>
      </c>
      <c r="R200" s="448">
        <v>4.0404286040000006</v>
      </c>
      <c r="S200" s="448">
        <v>65.047571455714291</v>
      </c>
      <c r="T200" s="448">
        <v>47.010571615714284</v>
      </c>
      <c r="U200" s="448">
        <v>10.709857054714286</v>
      </c>
      <c r="V200" s="448">
        <v>13.274107117142858</v>
      </c>
      <c r="W200" s="448">
        <v>1.3785714251428571</v>
      </c>
      <c r="X200" s="448">
        <v>40.987143380000006</v>
      </c>
      <c r="Y200" s="448">
        <v>6.9969999451428562</v>
      </c>
    </row>
    <row r="201" spans="15:25">
      <c r="P201" s="447">
        <v>42</v>
      </c>
      <c r="Q201" s="448">
        <v>7.4685714285714289</v>
      </c>
      <c r="R201" s="448">
        <v>4.8257142857142856</v>
      </c>
      <c r="S201" s="448">
        <v>67.597142857142856</v>
      </c>
      <c r="T201" s="448">
        <v>47.291428571428575</v>
      </c>
      <c r="U201" s="448">
        <v>8.5642857142857132</v>
      </c>
      <c r="V201" s="448">
        <v>13.001428571428571</v>
      </c>
      <c r="W201" s="448">
        <v>1.3499999999999999</v>
      </c>
      <c r="X201" s="448">
        <v>37.554285714285712</v>
      </c>
      <c r="Y201" s="448">
        <v>6.2985714285714289</v>
      </c>
    </row>
    <row r="202" spans="15:25">
      <c r="P202" s="447">
        <v>43</v>
      </c>
      <c r="Q202" s="448">
        <v>8.9041427881428579</v>
      </c>
      <c r="R202" s="448">
        <v>7.354714223857143</v>
      </c>
      <c r="S202" s="448">
        <v>80.445570807142857</v>
      </c>
      <c r="T202" s="448">
        <v>71.934570317142857</v>
      </c>
      <c r="U202" s="448">
        <v>12.279142925142859</v>
      </c>
      <c r="V202" s="448">
        <v>13.139822822857143</v>
      </c>
      <c r="W202" s="448">
        <v>1.2642857177142857</v>
      </c>
      <c r="X202" s="448">
        <v>52.87071446142857</v>
      </c>
      <c r="Y202" s="448">
        <v>11.989999907285712</v>
      </c>
    </row>
    <row r="203" spans="15:25">
      <c r="O203" s="446">
        <v>44</v>
      </c>
      <c r="P203" s="447">
        <v>44</v>
      </c>
      <c r="Q203" s="448">
        <v>7.8245713370000001</v>
      </c>
      <c r="R203" s="448">
        <v>6.0929999348571409</v>
      </c>
      <c r="S203" s="448">
        <v>68.079284669999993</v>
      </c>
      <c r="T203" s="448">
        <v>33.011999948571429</v>
      </c>
      <c r="U203" s="448">
        <v>8.685571329857142</v>
      </c>
      <c r="V203" s="448">
        <v>13.275356975714287</v>
      </c>
      <c r="W203" s="448">
        <v>1.1857142621428574</v>
      </c>
      <c r="X203" s="448">
        <v>36.208572388571426</v>
      </c>
      <c r="Y203" s="448">
        <v>7.9394285338571438</v>
      </c>
    </row>
    <row r="204" spans="15:25">
      <c r="P204" s="447">
        <v>45</v>
      </c>
      <c r="Q204" s="448">
        <v>9.4607142031428566</v>
      </c>
      <c r="R204" s="448">
        <v>6.8107141777142859</v>
      </c>
      <c r="S204" s="448">
        <v>71.555715832857132</v>
      </c>
      <c r="T204" s="448">
        <v>77.119000028571435</v>
      </c>
      <c r="U204" s="448">
        <v>11.169571467285715</v>
      </c>
      <c r="V204" s="448">
        <v>14</v>
      </c>
      <c r="W204" s="448">
        <v>1.1200000049999999</v>
      </c>
      <c r="X204" s="448">
        <v>61.867856707142856</v>
      </c>
      <c r="Y204" s="448">
        <v>10.621285710571428</v>
      </c>
    </row>
    <row r="205" spans="15:25">
      <c r="P205" s="447">
        <v>46</v>
      </c>
      <c r="Q205" s="448">
        <v>9.3077141910000005</v>
      </c>
      <c r="R205" s="448">
        <v>7.0327142307142854</v>
      </c>
      <c r="S205" s="448">
        <v>91.077428547142858</v>
      </c>
      <c r="T205" s="448">
        <v>102.37485722571429</v>
      </c>
      <c r="U205" s="448">
        <v>13.601000102857142</v>
      </c>
      <c r="V205" s="448">
        <v>14.050535747142858</v>
      </c>
      <c r="W205" s="448">
        <v>1.1085714441428569</v>
      </c>
      <c r="X205" s="448">
        <v>108.26642826857143</v>
      </c>
      <c r="Y205" s="448">
        <v>19.484428541428574</v>
      </c>
    </row>
    <row r="206" spans="15:25">
      <c r="P206" s="447">
        <v>47</v>
      </c>
      <c r="Q206" s="448">
        <v>9.4625713492857138</v>
      </c>
      <c r="R206" s="448">
        <v>5.5844285494285719</v>
      </c>
      <c r="S206" s="448">
        <v>81.972856794285704</v>
      </c>
      <c r="T206" s="448">
        <v>82.511857174285723</v>
      </c>
      <c r="U206" s="448">
        <v>10.628571509714286</v>
      </c>
      <c r="V206" s="448">
        <v>13.985775811428573</v>
      </c>
      <c r="W206" s="448">
        <v>1.1000000240000001</v>
      </c>
      <c r="X206" s="448">
        <v>123.16000039999999</v>
      </c>
      <c r="Y206" s="448">
        <v>19.475428171428575</v>
      </c>
    </row>
    <row r="207" spans="15:25">
      <c r="O207" s="446">
        <v>48</v>
      </c>
      <c r="P207" s="447">
        <v>48</v>
      </c>
      <c r="Q207" s="448">
        <v>10.788142817999999</v>
      </c>
      <c r="R207" s="448">
        <v>7.5644286014285722</v>
      </c>
      <c r="S207" s="448">
        <v>84.626999989999987</v>
      </c>
      <c r="T207" s="448">
        <v>67.75</v>
      </c>
      <c r="U207" s="448">
        <v>8.4404285975714277</v>
      </c>
      <c r="V207" s="448">
        <v>13.781128474285714</v>
      </c>
      <c r="W207" s="448">
        <v>1.1000000240000001</v>
      </c>
      <c r="X207" s="448">
        <v>94.382143292857137</v>
      </c>
      <c r="Y207" s="448">
        <v>16.918428555714282</v>
      </c>
    </row>
    <row r="208" spans="15:25">
      <c r="P208" s="447">
        <v>49</v>
      </c>
      <c r="Q208" s="448">
        <v>12.195857184142856</v>
      </c>
      <c r="R208" s="448">
        <v>8.7971429828571424</v>
      </c>
      <c r="S208" s="448">
        <v>127.52371543</v>
      </c>
      <c r="T208" s="448">
        <v>92.821572431428564</v>
      </c>
      <c r="U208" s="448">
        <v>12.563142707428572</v>
      </c>
      <c r="V208" s="448">
        <v>13.148691448571428</v>
      </c>
      <c r="W208" s="448">
        <v>1.1000000000000001</v>
      </c>
      <c r="X208" s="448">
        <v>134.38285718142859</v>
      </c>
      <c r="Y208" s="448">
        <v>23.580285755714289</v>
      </c>
    </row>
    <row r="209" spans="15:25">
      <c r="P209" s="447">
        <v>50</v>
      </c>
      <c r="Q209" s="448">
        <v>12.195857184142856</v>
      </c>
      <c r="R209" s="448">
        <v>8.7971429828571424</v>
      </c>
      <c r="S209" s="448">
        <v>183.5428575857143</v>
      </c>
      <c r="T209" s="448">
        <v>117.73200008285714</v>
      </c>
      <c r="U209" s="448">
        <v>21.506999832857144</v>
      </c>
      <c r="V209" s="448">
        <v>12.61392865857143</v>
      </c>
      <c r="W209" s="448">
        <v>1.1014285939999999</v>
      </c>
      <c r="X209" s="448">
        <v>210.99928282857144</v>
      </c>
      <c r="Y209" s="448">
        <v>41.892142702857143</v>
      </c>
    </row>
    <row r="210" spans="15:25">
      <c r="P210" s="447">
        <v>51</v>
      </c>
      <c r="Q210" s="448">
        <v>18.622142792857144</v>
      </c>
      <c r="R210" s="448">
        <v>18.057571141428571</v>
      </c>
      <c r="S210" s="448">
        <v>292.95071844285718</v>
      </c>
      <c r="T210" s="448">
        <v>180.44057028571427</v>
      </c>
      <c r="U210" s="448">
        <v>47.032857078571432</v>
      </c>
      <c r="V210" s="448">
        <v>12.600475584285714</v>
      </c>
      <c r="W210" s="448">
        <v>1.1000000240000001</v>
      </c>
      <c r="X210" s="448">
        <v>166.85428727142857</v>
      </c>
      <c r="Y210" s="448">
        <v>39.827428544285716</v>
      </c>
    </row>
    <row r="211" spans="15:25">
      <c r="P211" s="447">
        <v>52</v>
      </c>
      <c r="Q211" s="448">
        <v>29.98</v>
      </c>
      <c r="R211" s="448">
        <v>19.592142921428572</v>
      </c>
      <c r="S211" s="448">
        <v>381.11599999999993</v>
      </c>
      <c r="T211" s="448">
        <v>222.82728794285717</v>
      </c>
      <c r="U211" s="448">
        <v>45.963714052857135</v>
      </c>
      <c r="V211" s="448">
        <v>12.617798667142859</v>
      </c>
      <c r="W211" s="448">
        <v>1.4000000274285713</v>
      </c>
      <c r="X211" s="448">
        <v>293.28928701428578</v>
      </c>
      <c r="Y211" s="448">
        <v>62.57285690285714</v>
      </c>
    </row>
    <row r="212" spans="15:25">
      <c r="O212" s="446">
        <v>53</v>
      </c>
      <c r="P212" s="447">
        <v>53</v>
      </c>
      <c r="Q212" s="446">
        <v>16.182714325714286</v>
      </c>
      <c r="R212" s="446">
        <v>8.7855713015714283</v>
      </c>
      <c r="S212" s="446">
        <v>271.83385794285715</v>
      </c>
      <c r="T212" s="446">
        <v>172.15485925714285</v>
      </c>
      <c r="U212" s="446">
        <v>29.933428355714284</v>
      </c>
      <c r="V212" s="446">
        <v>12.85226127</v>
      </c>
      <c r="W212" s="446">
        <v>1.4571428811428571</v>
      </c>
      <c r="X212" s="446">
        <v>278.16286141428571</v>
      </c>
      <c r="Y212" s="446">
        <v>97.806430279999987</v>
      </c>
    </row>
    <row r="214" spans="15:25">
      <c r="Q214" s="842" t="s">
        <v>277</v>
      </c>
      <c r="R214" s="842" t="s">
        <v>278</v>
      </c>
      <c r="S214" s="842" t="s">
        <v>279</v>
      </c>
      <c r="T214" s="842" t="s">
        <v>280</v>
      </c>
      <c r="U214" s="842" t="s">
        <v>281</v>
      </c>
      <c r="V214" s="842" t="s">
        <v>282</v>
      </c>
      <c r="W214" s="842" t="s">
        <v>283</v>
      </c>
      <c r="X214" s="842" t="s">
        <v>284</v>
      </c>
      <c r="Y214" s="842" t="s">
        <v>285</v>
      </c>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008FC8"/>
  </sheetPr>
  <dimension ref="A1:T59"/>
  <sheetViews>
    <sheetView showGridLines="0" view="pageBreakPreview" zoomScale="115" zoomScaleNormal="100" zoomScaleSheetLayoutView="115" zoomScalePageLayoutView="160" workbookViewId="0"/>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684" customWidth="1"/>
    <col min="12" max="12" width="9.33203125" style="684"/>
    <col min="13" max="13" width="20.5" style="726" customWidth="1"/>
    <col min="14" max="14" width="9.33203125" style="608"/>
    <col min="15" max="15" width="9.33203125" style="305"/>
    <col min="16" max="20" width="9.33203125" style="684"/>
  </cols>
  <sheetData>
    <row r="1" spans="1:15" ht="11.25" customHeight="1"/>
    <row r="2" spans="1:15" ht="11.25" customHeight="1">
      <c r="A2" s="902" t="s">
        <v>604</v>
      </c>
      <c r="B2" s="902"/>
      <c r="C2" s="902"/>
      <c r="D2" s="902"/>
      <c r="E2" s="902"/>
      <c r="F2" s="902"/>
      <c r="G2" s="902"/>
      <c r="H2" s="902"/>
      <c r="I2" s="902"/>
      <c r="J2" s="902"/>
      <c r="K2" s="902"/>
    </row>
    <row r="3" spans="1:15" ht="11.25" customHeight="1">
      <c r="A3" s="18"/>
      <c r="B3" s="18"/>
      <c r="C3" s="18"/>
      <c r="D3" s="18"/>
      <c r="E3" s="18"/>
      <c r="F3" s="18"/>
      <c r="G3" s="18"/>
      <c r="H3" s="18"/>
      <c r="I3" s="18"/>
      <c r="J3" s="709"/>
      <c r="K3" s="709"/>
      <c r="L3" s="349"/>
    </row>
    <row r="4" spans="1:15" ht="11.25" customHeight="1">
      <c r="A4" s="886" t="s">
        <v>445</v>
      </c>
      <c r="B4" s="886"/>
      <c r="C4" s="886"/>
      <c r="D4" s="886"/>
      <c r="E4" s="886"/>
      <c r="F4" s="886"/>
      <c r="G4" s="886"/>
      <c r="H4" s="886"/>
      <c r="I4" s="183"/>
      <c r="J4" s="710"/>
      <c r="L4" s="349"/>
    </row>
    <row r="5" spans="1:15" ht="7.5" customHeight="1">
      <c r="A5" s="184"/>
      <c r="B5" s="184"/>
      <c r="C5" s="184"/>
      <c r="D5" s="184"/>
      <c r="E5" s="184"/>
      <c r="F5" s="184"/>
      <c r="G5" s="184"/>
      <c r="H5" s="184"/>
      <c r="I5" s="184"/>
      <c r="J5" s="711"/>
      <c r="L5" s="712"/>
    </row>
    <row r="6" spans="1:15" ht="11.25" customHeight="1">
      <c r="A6" s="184"/>
      <c r="B6" s="188" t="s">
        <v>446</v>
      </c>
      <c r="C6" s="184"/>
      <c r="D6" s="184"/>
      <c r="E6" s="184"/>
      <c r="F6" s="184"/>
      <c r="G6" s="184"/>
      <c r="H6" s="184"/>
      <c r="I6" s="184"/>
      <c r="J6" s="711"/>
      <c r="L6" s="713"/>
    </row>
    <row r="7" spans="1:15" ht="7.5" customHeight="1">
      <c r="A7" s="184"/>
      <c r="B7" s="185"/>
      <c r="C7" s="184"/>
      <c r="D7" s="184"/>
      <c r="E7" s="184"/>
      <c r="F7" s="184"/>
      <c r="G7" s="184"/>
      <c r="H7" s="184"/>
      <c r="I7" s="184"/>
      <c r="J7" s="711"/>
      <c r="L7" s="714"/>
    </row>
    <row r="8" spans="1:15" ht="21" customHeight="1">
      <c r="A8" s="184"/>
      <c r="B8" s="531" t="s">
        <v>167</v>
      </c>
      <c r="C8" s="532" t="s">
        <v>168</v>
      </c>
      <c r="D8" s="532" t="s">
        <v>169</v>
      </c>
      <c r="E8" s="532" t="s">
        <v>171</v>
      </c>
      <c r="F8" s="532" t="s">
        <v>170</v>
      </c>
      <c r="G8" s="533" t="s">
        <v>172</v>
      </c>
      <c r="H8" s="180"/>
      <c r="I8" s="180"/>
      <c r="J8" s="715"/>
      <c r="L8" s="716"/>
      <c r="M8" s="727" t="s">
        <v>168</v>
      </c>
      <c r="N8" s="843" t="str">
        <f>M8&amp;"
 ("&amp;ROUND(HLOOKUP(M8,$C$8:$G$9,2,0),2)&amp;" USD/MWh)"</f>
        <v>PIURA OESTE 220
 (8 USD/MWh)</v>
      </c>
    </row>
    <row r="9" spans="1:15" ht="18" customHeight="1">
      <c r="A9" s="184"/>
      <c r="B9" s="534" t="s">
        <v>173</v>
      </c>
      <c r="C9" s="275">
        <v>8.0039734475137685</v>
      </c>
      <c r="D9" s="275">
        <v>7.8625888016604071</v>
      </c>
      <c r="E9" s="275">
        <v>7.7936516527760205</v>
      </c>
      <c r="F9" s="275">
        <v>7.7296415540989356</v>
      </c>
      <c r="G9" s="275">
        <v>7.6742693729516631</v>
      </c>
      <c r="H9" s="180"/>
      <c r="I9" s="180"/>
      <c r="J9" s="715"/>
      <c r="K9" s="715"/>
      <c r="L9" s="716"/>
      <c r="M9" s="727" t="s">
        <v>169</v>
      </c>
      <c r="N9" s="843" t="str">
        <f>M9&amp;"
("&amp;ROUND(HLOOKUP(M9,$C$8:$G$9,2,0),2)&amp;" USD/MWh)"</f>
        <v>CHICLAYO 220
(7,86 USD/MWh)</v>
      </c>
    </row>
    <row r="10" spans="1:15" ht="14.25" customHeight="1">
      <c r="A10" s="184"/>
      <c r="B10" s="926" t="str">
        <f>"Cuadro N°11: Valor de los costos marginales medios registrados en las principales barras del área norte durante el mes de "&amp;'1. Resumen'!Q4</f>
        <v>Cuadro N°11: Valor de los costos marginales medios registrados en las principales barras del área norte durante el mes de diciembre</v>
      </c>
      <c r="C10" s="926"/>
      <c r="D10" s="926"/>
      <c r="E10" s="926"/>
      <c r="F10" s="926"/>
      <c r="G10" s="926"/>
      <c r="H10" s="926"/>
      <c r="I10" s="926"/>
      <c r="J10" s="715"/>
      <c r="K10" s="715"/>
      <c r="L10" s="716"/>
      <c r="M10" s="727" t="s">
        <v>171</v>
      </c>
      <c r="N10" s="843" t="str">
        <f>M10&amp;"
("&amp;ROUND(HLOOKUP(M10,$C$8:$G$9,2,0),2)&amp;" USD/MWh)"</f>
        <v>TRUJILLO 220
(7,79 USD/MWh)</v>
      </c>
    </row>
    <row r="11" spans="1:15" ht="11.25" customHeight="1">
      <c r="A11" s="184"/>
      <c r="B11" s="191"/>
      <c r="C11" s="180"/>
      <c r="D11" s="180"/>
      <c r="E11" s="180"/>
      <c r="F11" s="180"/>
      <c r="G11" s="180"/>
      <c r="H11" s="180"/>
      <c r="I11" s="180"/>
      <c r="J11" s="715"/>
      <c r="K11" s="715"/>
      <c r="L11" s="716"/>
      <c r="M11" s="727" t="s">
        <v>170</v>
      </c>
      <c r="N11" s="843" t="str">
        <f>M11&amp;"
("&amp;ROUND(HLOOKUP(M11,$C$8:$G$9,2,0),2)&amp;" USD/MWh)"</f>
        <v>CHIMBOTE1 138
(7,73 USD/MWh)</v>
      </c>
    </row>
    <row r="12" spans="1:15" ht="11.25" customHeight="1">
      <c r="A12" s="184"/>
      <c r="B12" s="180"/>
      <c r="C12" s="180"/>
      <c r="D12" s="180"/>
      <c r="E12" s="180"/>
      <c r="F12" s="180"/>
      <c r="G12" s="180"/>
      <c r="H12" s="180"/>
      <c r="I12" s="180"/>
      <c r="J12" s="715"/>
      <c r="K12" s="715"/>
      <c r="L12" s="717"/>
      <c r="M12" s="727" t="s">
        <v>172</v>
      </c>
      <c r="N12" s="843" t="str">
        <f>M12&amp;"
("&amp;ROUND(HLOOKUP(M12,$C$8:$G$9,2,0),2)&amp;" USD/MWh)"</f>
        <v>CAJAMARCA 220
(7,67 USD/MWh)</v>
      </c>
    </row>
    <row r="13" spans="1:15" ht="11.25" customHeight="1">
      <c r="A13" s="184"/>
      <c r="B13" s="180"/>
      <c r="C13" s="180"/>
      <c r="D13" s="180"/>
      <c r="E13" s="180"/>
      <c r="F13" s="180"/>
      <c r="G13" s="180"/>
      <c r="H13" s="180"/>
      <c r="I13" s="180"/>
      <c r="J13" s="715"/>
      <c r="K13" s="715"/>
      <c r="L13" s="716"/>
      <c r="M13" s="727"/>
      <c r="N13" s="843"/>
      <c r="O13" s="727"/>
    </row>
    <row r="14" spans="1:15" ht="11.25" customHeight="1">
      <c r="A14" s="184"/>
      <c r="B14" s="180"/>
      <c r="C14" s="180"/>
      <c r="D14" s="180"/>
      <c r="E14" s="180"/>
      <c r="F14" s="180"/>
      <c r="G14" s="180"/>
      <c r="H14" s="180"/>
      <c r="I14" s="180"/>
      <c r="J14" s="715"/>
      <c r="K14" s="715"/>
      <c r="L14" s="716"/>
      <c r="M14" s="727" t="s">
        <v>557</v>
      </c>
      <c r="N14" s="843" t="str">
        <f>M14&amp;"
("&amp;ROUND(HLOOKUP(M14,$C$26:$I$27,2,0),2)&amp;" USD/MWh)"</f>
        <v>CHAVARRIA 220
(7,66 USD/MWh)</v>
      </c>
    </row>
    <row r="15" spans="1:15" ht="11.25" customHeight="1">
      <c r="A15" s="184"/>
      <c r="B15" s="180"/>
      <c r="C15" s="180"/>
      <c r="D15" s="180"/>
      <c r="E15" s="180"/>
      <c r="F15" s="180"/>
      <c r="G15" s="180"/>
      <c r="H15" s="180"/>
      <c r="I15" s="180"/>
      <c r="J15" s="715"/>
      <c r="K15" s="715"/>
      <c r="L15" s="716"/>
      <c r="M15" s="727" t="s">
        <v>176</v>
      </c>
      <c r="N15" s="843" t="str">
        <f t="shared" ref="N15:N20" si="0">M15&amp;"
("&amp;ROUND(HLOOKUP(M15,$C$26:$I$27,2,0),2)&amp;" USD/MWh)"</f>
        <v>INDEPENDENCIA 220
(7,68 USD/MWh)</v>
      </c>
    </row>
    <row r="16" spans="1:15" ht="11.25" customHeight="1">
      <c r="A16" s="184"/>
      <c r="B16" s="180"/>
      <c r="C16" s="180"/>
      <c r="D16" s="180"/>
      <c r="E16" s="180"/>
      <c r="F16" s="180"/>
      <c r="G16" s="180"/>
      <c r="H16" s="180"/>
      <c r="I16" s="180"/>
      <c r="J16" s="715"/>
      <c r="K16" s="715"/>
      <c r="L16" s="716"/>
      <c r="M16" s="727" t="s">
        <v>177</v>
      </c>
      <c r="N16" s="843" t="str">
        <f t="shared" si="0"/>
        <v>CARABAYLLO 220
(7,64 USD/MWh)</v>
      </c>
    </row>
    <row r="17" spans="1:14" ht="11.25" customHeight="1">
      <c r="A17" s="184"/>
      <c r="B17" s="180"/>
      <c r="C17" s="180"/>
      <c r="D17" s="180"/>
      <c r="E17" s="180"/>
      <c r="F17" s="180"/>
      <c r="G17" s="180"/>
      <c r="H17" s="180"/>
      <c r="I17" s="180"/>
      <c r="J17" s="715"/>
      <c r="K17" s="715"/>
      <c r="L17" s="716"/>
      <c r="M17" s="727" t="s">
        <v>174</v>
      </c>
      <c r="N17" s="843" t="str">
        <f t="shared" si="0"/>
        <v>SANTA ROSA 220
(7,65 USD/MWh)</v>
      </c>
    </row>
    <row r="18" spans="1:14" ht="11.25" customHeight="1">
      <c r="A18" s="184"/>
      <c r="B18" s="180"/>
      <c r="C18" s="180"/>
      <c r="D18" s="180"/>
      <c r="E18" s="180"/>
      <c r="F18" s="180"/>
      <c r="G18" s="180"/>
      <c r="H18" s="180"/>
      <c r="I18" s="180"/>
      <c r="J18" s="715"/>
      <c r="K18" s="715"/>
      <c r="L18" s="716"/>
      <c r="M18" s="727" t="s">
        <v>175</v>
      </c>
      <c r="N18" s="843" t="str">
        <f t="shared" si="0"/>
        <v>SAN JUAN 220
(7,61 USD/MWh)</v>
      </c>
    </row>
    <row r="19" spans="1:14" ht="11.25" customHeight="1">
      <c r="A19" s="184"/>
      <c r="B19" s="180"/>
      <c r="C19" s="180"/>
      <c r="D19" s="180"/>
      <c r="E19" s="180"/>
      <c r="F19" s="180"/>
      <c r="G19" s="180"/>
      <c r="H19" s="180"/>
      <c r="I19" s="180"/>
      <c r="J19" s="715"/>
      <c r="K19" s="715"/>
      <c r="L19" s="718"/>
      <c r="M19" s="727" t="s">
        <v>178</v>
      </c>
      <c r="N19" s="843" t="str">
        <f t="shared" si="0"/>
        <v>POMACOCHA 220
(7,37 USD/MWh)</v>
      </c>
    </row>
    <row r="20" spans="1:14" ht="11.25" customHeight="1">
      <c r="A20" s="184"/>
      <c r="B20" s="190"/>
      <c r="C20" s="190"/>
      <c r="D20" s="190"/>
      <c r="E20" s="190"/>
      <c r="F20" s="190"/>
      <c r="G20" s="180"/>
      <c r="H20" s="180"/>
      <c r="I20" s="180"/>
      <c r="J20" s="715"/>
      <c r="K20" s="715"/>
      <c r="L20" s="716"/>
      <c r="M20" s="727" t="s">
        <v>179</v>
      </c>
      <c r="N20" s="843" t="str">
        <f t="shared" si="0"/>
        <v>OROYA NUEVA 50
(7,25 USD/MWh)</v>
      </c>
    </row>
    <row r="21" spans="1:14" ht="11.25" customHeight="1">
      <c r="A21" s="184"/>
      <c r="B21" s="927" t="str">
        <f>"Gráfico N°20: Costos marginales medios registrados en las principales barras del área norte durante el mes de "&amp;'1. Resumen'!Q4</f>
        <v>Gráfico N°20: Costos marginales medios registrados en las principales barras del área norte durante el mes de diciembre</v>
      </c>
      <c r="C21" s="927"/>
      <c r="D21" s="927"/>
      <c r="E21" s="927"/>
      <c r="F21" s="927"/>
      <c r="G21" s="927"/>
      <c r="H21" s="927"/>
      <c r="I21" s="927"/>
      <c r="J21" s="715"/>
      <c r="K21" s="715"/>
      <c r="L21" s="716"/>
      <c r="M21" s="727"/>
      <c r="N21" s="843"/>
    </row>
    <row r="22" spans="1:14" ht="7.5" customHeight="1">
      <c r="A22" s="184"/>
      <c r="B22" s="186"/>
      <c r="C22" s="186"/>
      <c r="D22" s="186"/>
      <c r="E22" s="186"/>
      <c r="F22" s="186"/>
      <c r="G22" s="184"/>
      <c r="H22" s="184"/>
      <c r="I22" s="184"/>
      <c r="J22" s="711"/>
      <c r="K22" s="711"/>
      <c r="L22" s="713"/>
      <c r="M22" s="727"/>
      <c r="N22" s="843"/>
    </row>
    <row r="23" spans="1:14" ht="11.25" customHeight="1">
      <c r="A23" s="184"/>
      <c r="B23" s="186"/>
      <c r="C23" s="186"/>
      <c r="D23" s="186"/>
      <c r="E23" s="186"/>
      <c r="F23" s="186"/>
      <c r="G23" s="184"/>
      <c r="H23" s="184"/>
      <c r="I23" s="184"/>
      <c r="J23" s="711"/>
      <c r="K23" s="711"/>
      <c r="L23" s="719"/>
      <c r="M23" s="727" t="s">
        <v>180</v>
      </c>
      <c r="N23" s="843" t="str">
        <f t="shared" ref="N23:N29" si="1">M23&amp;"
("&amp;ROUND(HLOOKUP(M23,$C$45:$I$46,2,0),2)&amp;" USD/MWh)"</f>
        <v>TINTAYA NUEVA 220
(8,24 USD/MWh)</v>
      </c>
    </row>
    <row r="24" spans="1:14" ht="11.25" customHeight="1">
      <c r="A24" s="184"/>
      <c r="B24" s="189" t="s">
        <v>447</v>
      </c>
      <c r="C24" s="186"/>
      <c r="D24" s="186"/>
      <c r="E24" s="186"/>
      <c r="F24" s="186"/>
      <c r="G24" s="184"/>
      <c r="H24" s="184"/>
      <c r="I24" s="184"/>
      <c r="J24" s="711"/>
      <c r="K24" s="711"/>
      <c r="L24" s="713"/>
      <c r="M24" s="727" t="s">
        <v>181</v>
      </c>
      <c r="N24" s="843" t="str">
        <f t="shared" si="1"/>
        <v>PUNO 138
(7,82 USD/MWh)</v>
      </c>
    </row>
    <row r="25" spans="1:14" ht="6.75" customHeight="1">
      <c r="A25" s="184"/>
      <c r="B25" s="186"/>
      <c r="C25" s="186"/>
      <c r="D25" s="186"/>
      <c r="E25" s="186"/>
      <c r="F25" s="186"/>
      <c r="G25" s="184"/>
      <c r="H25" s="184"/>
      <c r="I25" s="184"/>
      <c r="J25" s="711"/>
      <c r="K25" s="711"/>
      <c r="L25" s="713"/>
      <c r="M25" s="727" t="s">
        <v>182</v>
      </c>
      <c r="N25" s="843" t="str">
        <f t="shared" si="1"/>
        <v>SOCABAYA 220
(7,98 USD/MWh)</v>
      </c>
    </row>
    <row r="26" spans="1:14" ht="25.5" customHeight="1">
      <c r="A26" s="184"/>
      <c r="B26" s="535" t="s">
        <v>167</v>
      </c>
      <c r="C26" s="532" t="s">
        <v>176</v>
      </c>
      <c r="D26" s="532" t="s">
        <v>557</v>
      </c>
      <c r="E26" s="532" t="s">
        <v>174</v>
      </c>
      <c r="F26" s="532" t="s">
        <v>177</v>
      </c>
      <c r="G26" s="532" t="s">
        <v>175</v>
      </c>
      <c r="H26" s="532" t="s">
        <v>178</v>
      </c>
      <c r="I26" s="533" t="s">
        <v>179</v>
      </c>
      <c r="J26" s="720"/>
      <c r="K26" s="715"/>
      <c r="L26" s="716"/>
      <c r="M26" s="727" t="s">
        <v>183</v>
      </c>
      <c r="N26" s="843" t="str">
        <f t="shared" si="1"/>
        <v>MOQUEGUA 138
(7,96 USD/MWh)</v>
      </c>
    </row>
    <row r="27" spans="1:14" ht="18" customHeight="1">
      <c r="A27" s="184"/>
      <c r="B27" s="536" t="s">
        <v>173</v>
      </c>
      <c r="C27" s="275">
        <v>7.6815328946515331</v>
      </c>
      <c r="D27" s="275">
        <v>7.6608016745763878</v>
      </c>
      <c r="E27" s="275">
        <v>7.6497304337625502</v>
      </c>
      <c r="F27" s="275">
        <v>7.6382146576693364</v>
      </c>
      <c r="G27" s="275">
        <v>7.6088020773564784</v>
      </c>
      <c r="H27" s="275">
        <v>7.368002403105856</v>
      </c>
      <c r="I27" s="275">
        <v>7.2541767539978306</v>
      </c>
      <c r="J27" s="721"/>
      <c r="K27" s="715"/>
      <c r="L27" s="716"/>
      <c r="M27" s="727" t="s">
        <v>184</v>
      </c>
      <c r="N27" s="843" t="str">
        <f t="shared" si="1"/>
        <v>DOLORESPATA 138
(7,69 USD/MWh)</v>
      </c>
    </row>
    <row r="28" spans="1:14" ht="19.5" customHeight="1">
      <c r="A28" s="184"/>
      <c r="B28" s="928" t="str">
        <f>"Cuadro N°12: Valor de los costos marginales medios registrados en las principales barras del área centro durante el mes de "&amp;'1. Resumen'!Q4</f>
        <v>Cuadro N°12: Valor de los costos marginales medios registrados en las principales barras del área centro durante el mes de diciembre</v>
      </c>
      <c r="C28" s="928"/>
      <c r="D28" s="928"/>
      <c r="E28" s="928"/>
      <c r="F28" s="928"/>
      <c r="G28" s="928"/>
      <c r="H28" s="928"/>
      <c r="I28" s="928"/>
      <c r="J28" s="715"/>
      <c r="K28" s="715"/>
      <c r="L28" s="716"/>
      <c r="M28" s="727" t="s">
        <v>185</v>
      </c>
      <c r="N28" s="843" t="str">
        <f t="shared" si="1"/>
        <v>COTARUSE 220
(7,63 USD/MWh)</v>
      </c>
    </row>
    <row r="29" spans="1:14" ht="11.25" customHeight="1">
      <c r="A29" s="184"/>
      <c r="B29" s="190"/>
      <c r="C29" s="190"/>
      <c r="D29" s="190"/>
      <c r="E29" s="190"/>
      <c r="F29" s="190"/>
      <c r="G29" s="190"/>
      <c r="H29" s="190"/>
      <c r="I29" s="190"/>
      <c r="J29" s="722"/>
      <c r="K29" s="722"/>
      <c r="L29" s="716"/>
      <c r="M29" s="727" t="s">
        <v>186</v>
      </c>
      <c r="N29" s="843" t="str">
        <f t="shared" si="1"/>
        <v>SAN GABAN 138
(6,77 USD/MWh)</v>
      </c>
    </row>
    <row r="30" spans="1:14" ht="11.25" customHeight="1">
      <c r="A30" s="184"/>
      <c r="B30" s="190"/>
      <c r="C30" s="190"/>
      <c r="D30" s="190"/>
      <c r="E30" s="190"/>
      <c r="F30" s="190"/>
      <c r="G30" s="190"/>
      <c r="H30" s="190"/>
      <c r="I30" s="190"/>
      <c r="J30" s="722"/>
      <c r="K30" s="722"/>
      <c r="L30" s="716"/>
      <c r="M30" s="727"/>
      <c r="N30" s="798"/>
    </row>
    <row r="31" spans="1:14" ht="11.25" customHeight="1">
      <c r="A31" s="184"/>
      <c r="B31" s="190"/>
      <c r="C31" s="190"/>
      <c r="D31" s="190"/>
      <c r="E31" s="190"/>
      <c r="F31" s="190"/>
      <c r="G31" s="190"/>
      <c r="H31" s="190"/>
      <c r="I31" s="190"/>
      <c r="J31" s="722"/>
      <c r="K31" s="722"/>
      <c r="L31" s="716"/>
      <c r="M31" s="727"/>
      <c r="N31" s="798"/>
    </row>
    <row r="32" spans="1:14" ht="11.25" customHeight="1">
      <c r="A32" s="184"/>
      <c r="B32" s="190"/>
      <c r="C32" s="190"/>
      <c r="D32" s="190"/>
      <c r="E32" s="190"/>
      <c r="F32" s="190"/>
      <c r="G32" s="190"/>
      <c r="H32" s="190"/>
      <c r="I32" s="190"/>
      <c r="J32" s="722"/>
      <c r="K32" s="722"/>
      <c r="L32" s="716"/>
      <c r="M32" s="727"/>
    </row>
    <row r="33" spans="1:12" ht="11.25" customHeight="1">
      <c r="A33" s="184"/>
      <c r="B33" s="190"/>
      <c r="C33" s="190"/>
      <c r="D33" s="190"/>
      <c r="E33" s="190"/>
      <c r="F33" s="190"/>
      <c r="G33" s="190"/>
      <c r="H33" s="190"/>
      <c r="I33" s="190"/>
      <c r="J33" s="722"/>
      <c r="K33" s="722"/>
      <c r="L33" s="716"/>
    </row>
    <row r="34" spans="1:12" ht="11.25" customHeight="1">
      <c r="A34" s="184"/>
      <c r="B34" s="190"/>
      <c r="C34" s="190"/>
      <c r="D34" s="190"/>
      <c r="E34" s="190"/>
      <c r="F34" s="190"/>
      <c r="G34" s="190"/>
      <c r="H34" s="190"/>
      <c r="I34" s="190"/>
      <c r="J34" s="722"/>
      <c r="K34" s="722"/>
      <c r="L34" s="716"/>
    </row>
    <row r="35" spans="1:12" ht="11.25" customHeight="1">
      <c r="A35" s="184"/>
      <c r="B35" s="190"/>
      <c r="C35" s="190"/>
      <c r="D35" s="190"/>
      <c r="E35" s="190"/>
      <c r="F35" s="190"/>
      <c r="G35" s="190"/>
      <c r="H35" s="190"/>
      <c r="I35" s="190"/>
      <c r="J35" s="722"/>
      <c r="K35" s="722"/>
      <c r="L35" s="723"/>
    </row>
    <row r="36" spans="1:12" ht="11.25" customHeight="1">
      <c r="A36" s="184"/>
      <c r="B36" s="190"/>
      <c r="C36" s="190"/>
      <c r="D36" s="190"/>
      <c r="E36" s="190"/>
      <c r="F36" s="190"/>
      <c r="G36" s="190"/>
      <c r="H36" s="190"/>
      <c r="I36" s="190"/>
      <c r="J36" s="722"/>
      <c r="K36" s="722"/>
      <c r="L36" s="716"/>
    </row>
    <row r="37" spans="1:12" ht="11.25" customHeight="1">
      <c r="A37" s="184"/>
      <c r="B37" s="190"/>
      <c r="C37" s="190"/>
      <c r="D37" s="190"/>
      <c r="E37" s="190"/>
      <c r="F37" s="190"/>
      <c r="G37" s="190"/>
      <c r="H37" s="190"/>
      <c r="I37" s="190"/>
      <c r="J37" s="722"/>
      <c r="K37" s="722"/>
      <c r="L37" s="716"/>
    </row>
    <row r="38" spans="1:12" ht="11.25" customHeight="1">
      <c r="A38" s="184"/>
      <c r="B38" s="190"/>
      <c r="C38" s="190"/>
      <c r="D38" s="190"/>
      <c r="E38" s="190"/>
      <c r="F38" s="190"/>
      <c r="G38" s="190"/>
      <c r="H38" s="190"/>
      <c r="I38" s="190"/>
      <c r="J38" s="722"/>
      <c r="K38" s="722"/>
      <c r="L38" s="716"/>
    </row>
    <row r="39" spans="1:12" ht="11.25" customHeight="1">
      <c r="A39" s="184"/>
      <c r="B39" s="190"/>
      <c r="C39" s="190"/>
      <c r="D39" s="190"/>
      <c r="E39" s="190"/>
      <c r="F39" s="190"/>
      <c r="G39" s="190"/>
      <c r="H39" s="190"/>
      <c r="I39" s="190"/>
      <c r="J39" s="722"/>
      <c r="K39" s="722"/>
      <c r="L39" s="716"/>
    </row>
    <row r="40" spans="1:12" ht="13.5" customHeight="1">
      <c r="A40" s="184"/>
      <c r="B40" s="926" t="str">
        <f>"Gráfico N°21: Costos marginales medios registrados en las principales barras del área centro durante el mes de "&amp;'1. Resumen'!Q4</f>
        <v>Gráfico N°21: Costos marginales medios registrados en las principales barras del área centro durante el mes de diciembre</v>
      </c>
      <c r="C40" s="926"/>
      <c r="D40" s="926"/>
      <c r="E40" s="926"/>
      <c r="F40" s="926"/>
      <c r="G40" s="926"/>
      <c r="H40" s="926"/>
      <c r="I40" s="926"/>
      <c r="J40" s="722"/>
      <c r="K40" s="722"/>
      <c r="L40" s="716"/>
    </row>
    <row r="41" spans="1:12" ht="6.75" customHeight="1">
      <c r="A41" s="184"/>
      <c r="B41" s="190"/>
      <c r="C41" s="190"/>
      <c r="D41" s="190"/>
      <c r="E41" s="190"/>
      <c r="F41" s="190"/>
      <c r="G41" s="190"/>
      <c r="H41" s="190"/>
      <c r="I41" s="190"/>
      <c r="J41" s="722"/>
      <c r="K41" s="722"/>
      <c r="L41" s="716"/>
    </row>
    <row r="42" spans="1:12" ht="8.25" customHeight="1">
      <c r="A42" s="184"/>
      <c r="B42" s="186"/>
      <c r="C42" s="186"/>
      <c r="D42" s="186"/>
      <c r="E42" s="186"/>
      <c r="F42" s="186"/>
      <c r="G42" s="186"/>
      <c r="H42" s="186"/>
      <c r="I42" s="186"/>
      <c r="J42" s="724"/>
      <c r="K42" s="724"/>
      <c r="L42" s="11"/>
    </row>
    <row r="43" spans="1:12" ht="11.25" customHeight="1">
      <c r="A43" s="184"/>
      <c r="B43" s="189" t="s">
        <v>448</v>
      </c>
      <c r="C43" s="186"/>
      <c r="D43" s="186"/>
      <c r="E43" s="186"/>
      <c r="F43" s="186"/>
      <c r="G43" s="186"/>
      <c r="H43" s="186"/>
      <c r="I43" s="186"/>
      <c r="J43" s="724"/>
      <c r="K43" s="724"/>
      <c r="L43" s="11"/>
    </row>
    <row r="44" spans="1:12" ht="6.75" customHeight="1">
      <c r="A44" s="184"/>
      <c r="B44" s="186"/>
      <c r="C44" s="186"/>
      <c r="D44" s="186"/>
      <c r="E44" s="186"/>
      <c r="F44" s="186"/>
      <c r="G44" s="186"/>
      <c r="H44" s="186"/>
      <c r="I44" s="186"/>
      <c r="J44" s="724"/>
      <c r="K44" s="724"/>
      <c r="L44" s="11"/>
    </row>
    <row r="45" spans="1:12" ht="27" customHeight="1">
      <c r="A45" s="184"/>
      <c r="B45" s="535" t="s">
        <v>167</v>
      </c>
      <c r="C45" s="532" t="s">
        <v>180</v>
      </c>
      <c r="D45" s="532" t="s">
        <v>182</v>
      </c>
      <c r="E45" s="532" t="s">
        <v>183</v>
      </c>
      <c r="F45" s="532" t="s">
        <v>181</v>
      </c>
      <c r="G45" s="532" t="s">
        <v>184</v>
      </c>
      <c r="H45" s="532" t="s">
        <v>185</v>
      </c>
      <c r="I45" s="533" t="s">
        <v>186</v>
      </c>
      <c r="J45" s="720"/>
      <c r="K45" s="722"/>
    </row>
    <row r="46" spans="1:12" ht="18.75" customHeight="1">
      <c r="A46" s="184"/>
      <c r="B46" s="536" t="s">
        <v>173</v>
      </c>
      <c r="C46" s="275">
        <v>8.2362400413234695</v>
      </c>
      <c r="D46" s="275">
        <v>7.9841345398906238</v>
      </c>
      <c r="E46" s="275">
        <v>7.9631053030818579</v>
      </c>
      <c r="F46" s="275">
        <v>7.8201396423118466</v>
      </c>
      <c r="G46" s="275">
        <v>7.6896645510582333</v>
      </c>
      <c r="H46" s="275">
        <v>7.6264188519714473</v>
      </c>
      <c r="I46" s="275">
        <v>6.7726134137921026</v>
      </c>
      <c r="J46" s="721"/>
      <c r="K46" s="722"/>
    </row>
    <row r="47" spans="1:12" ht="18" customHeight="1">
      <c r="A47" s="184"/>
      <c r="B47" s="928" t="str">
        <f>"Cuadro N°13: Valor de los costos marginales medios registrados en las principales barras del área sur durante el mes de "&amp;'1. Resumen'!Q4</f>
        <v>Cuadro N°13: Valor de los costos marginales medios registrados en las principales barras del área sur durante el mes de diciembre</v>
      </c>
      <c r="C47" s="928"/>
      <c r="D47" s="928"/>
      <c r="E47" s="928"/>
      <c r="F47" s="928"/>
      <c r="G47" s="928"/>
      <c r="H47" s="928"/>
      <c r="I47" s="928"/>
      <c r="J47" s="721"/>
      <c r="K47" s="722"/>
    </row>
    <row r="48" spans="1:12" ht="12.75">
      <c r="A48" s="184"/>
      <c r="B48" s="190"/>
      <c r="C48" s="190"/>
      <c r="D48" s="190"/>
      <c r="E48" s="190"/>
      <c r="F48" s="190"/>
      <c r="G48" s="180"/>
      <c r="H48" s="180"/>
      <c r="I48" s="180"/>
      <c r="J48" s="715"/>
      <c r="K48" s="722"/>
    </row>
    <row r="49" spans="1:11" ht="12.75">
      <c r="A49" s="184"/>
      <c r="B49" s="180"/>
      <c r="C49" s="180"/>
      <c r="D49" s="180"/>
      <c r="E49" s="180"/>
      <c r="F49" s="180"/>
      <c r="G49" s="180"/>
      <c r="H49" s="180"/>
      <c r="I49" s="180"/>
      <c r="J49" s="715"/>
      <c r="K49" s="722"/>
    </row>
    <row r="50" spans="1:11" ht="12.75">
      <c r="A50" s="184"/>
      <c r="B50" s="111"/>
      <c r="C50" s="111"/>
      <c r="D50" s="111"/>
      <c r="E50" s="111"/>
      <c r="F50" s="111"/>
      <c r="G50" s="111"/>
      <c r="H50" s="111"/>
      <c r="I50" s="111"/>
      <c r="J50" s="725"/>
      <c r="K50" s="722"/>
    </row>
    <row r="51" spans="1:11" ht="12.75">
      <c r="A51" s="184"/>
      <c r="B51" s="111"/>
      <c r="C51" s="111"/>
      <c r="D51" s="111"/>
      <c r="E51" s="111"/>
      <c r="F51" s="111"/>
      <c r="G51" s="111"/>
      <c r="H51" s="111"/>
      <c r="I51" s="111"/>
      <c r="J51" s="725"/>
      <c r="K51" s="722"/>
    </row>
    <row r="52" spans="1:11" ht="12.75">
      <c r="A52" s="184"/>
      <c r="B52" s="111"/>
      <c r="C52" s="111"/>
      <c r="D52" s="111"/>
      <c r="E52" s="111"/>
      <c r="F52" s="111"/>
      <c r="G52" s="111"/>
      <c r="H52" s="111"/>
      <c r="I52" s="111"/>
      <c r="J52" s="725"/>
      <c r="K52" s="722"/>
    </row>
    <row r="53" spans="1:11" ht="12.75">
      <c r="A53" s="184"/>
      <c r="B53" s="111"/>
      <c r="C53" s="111"/>
      <c r="D53" s="111"/>
      <c r="E53" s="111"/>
      <c r="F53" s="111"/>
      <c r="G53" s="111"/>
      <c r="H53" s="111"/>
      <c r="I53" s="111"/>
      <c r="J53" s="725"/>
      <c r="K53" s="722"/>
    </row>
    <row r="54" spans="1:11" ht="12.75">
      <c r="A54" s="184"/>
      <c r="B54" s="111"/>
      <c r="C54" s="111"/>
      <c r="D54" s="111"/>
      <c r="E54" s="111"/>
      <c r="F54" s="111"/>
      <c r="G54" s="111"/>
      <c r="H54" s="111"/>
      <c r="I54" s="111"/>
      <c r="J54" s="725"/>
      <c r="K54" s="722"/>
    </row>
    <row r="55" spans="1:11" ht="12.75">
      <c r="A55" s="184"/>
      <c r="B55" s="111"/>
      <c r="C55" s="111"/>
      <c r="D55" s="111"/>
      <c r="E55" s="111"/>
      <c r="F55" s="111"/>
      <c r="G55" s="111"/>
      <c r="H55" s="111"/>
      <c r="I55" s="111"/>
      <c r="J55" s="725"/>
      <c r="K55" s="722"/>
    </row>
    <row r="56" spans="1:11" ht="12.75">
      <c r="A56" s="184"/>
      <c r="B56" s="180"/>
      <c r="C56" s="180"/>
      <c r="D56" s="180"/>
      <c r="E56" s="180"/>
      <c r="F56" s="180"/>
      <c r="G56" s="180"/>
      <c r="H56" s="180"/>
      <c r="I56" s="180"/>
      <c r="J56" s="715"/>
      <c r="K56" s="722"/>
    </row>
    <row r="57" spans="1:11" ht="12.75">
      <c r="A57" s="184"/>
      <c r="B57" s="180"/>
      <c r="C57" s="180"/>
      <c r="D57" s="180"/>
      <c r="E57" s="180"/>
      <c r="F57" s="180"/>
      <c r="G57" s="180"/>
      <c r="H57" s="180"/>
      <c r="I57" s="180"/>
      <c r="J57" s="715"/>
      <c r="K57" s="722"/>
    </row>
    <row r="58" spans="1:11" ht="12.75">
      <c r="A58" s="184"/>
      <c r="B58" s="926" t="str">
        <f>"Gráfico N°22: Costos marginales medios registrados en las principales barras del área sur durante el mes de "&amp;'1. Resumen'!Q4</f>
        <v>Gráfico N°22: Costos marginales medios registrados en las principales barras del área sur durante el mes de diciembre</v>
      </c>
      <c r="C58" s="926"/>
      <c r="D58" s="926"/>
      <c r="E58" s="926"/>
      <c r="F58" s="926"/>
      <c r="G58" s="926"/>
      <c r="H58" s="926"/>
      <c r="I58" s="926"/>
      <c r="J58" s="715"/>
      <c r="K58" s="722"/>
    </row>
    <row r="59" spans="1:11" ht="12.75">
      <c r="A59" s="74"/>
      <c r="B59" s="136"/>
      <c r="C59" s="136"/>
      <c r="D59" s="136"/>
      <c r="E59" s="136"/>
      <c r="F59" s="136"/>
      <c r="G59" s="136"/>
      <c r="H59" s="180"/>
      <c r="I59" s="180"/>
      <c r="J59" s="715"/>
      <c r="K59" s="722"/>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008FC8"/>
  </sheetPr>
  <dimension ref="A1:L71"/>
  <sheetViews>
    <sheetView showGridLines="0" view="pageBreakPreview" topLeftCell="A7" zoomScale="160" zoomScaleNormal="100" zoomScaleSheetLayoutView="160" zoomScalePageLayoutView="145" workbookViewId="0"/>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886" t="s">
        <v>450</v>
      </c>
      <c r="B2" s="886"/>
      <c r="C2" s="886"/>
      <c r="D2" s="886"/>
      <c r="E2" s="886"/>
      <c r="F2" s="886"/>
      <c r="G2" s="886"/>
      <c r="H2" s="886"/>
      <c r="I2" s="886"/>
      <c r="J2" s="886"/>
      <c r="K2" s="886"/>
      <c r="L2" s="886"/>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008FC8"/>
  </sheetPr>
  <dimension ref="A1:L60"/>
  <sheetViews>
    <sheetView showGridLines="0" view="pageBreakPreview" topLeftCell="A25" zoomScale="130" zoomScaleNormal="100" zoomScaleSheetLayoutView="130" zoomScalePageLayoutView="115" workbookViewId="0"/>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29" t="s">
        <v>449</v>
      </c>
      <c r="B2" s="929"/>
      <c r="C2" s="929"/>
      <c r="D2" s="929"/>
      <c r="E2" s="929"/>
      <c r="F2" s="929"/>
      <c r="G2" s="929"/>
      <c r="H2" s="929"/>
      <c r="I2" s="203"/>
      <c r="J2" s="203"/>
      <c r="K2" s="203"/>
    </row>
    <row r="3" spans="1:12" ht="3" customHeight="1">
      <c r="A3" s="77"/>
      <c r="B3" s="77"/>
      <c r="C3" s="77"/>
      <c r="D3" s="77"/>
      <c r="E3" s="77"/>
      <c r="F3" s="77"/>
      <c r="G3" s="77"/>
      <c r="H3" s="77"/>
      <c r="I3" s="204"/>
      <c r="J3" s="204"/>
      <c r="K3" s="204"/>
      <c r="L3" s="36"/>
    </row>
    <row r="4" spans="1:12" ht="15" customHeight="1">
      <c r="A4" s="920" t="s">
        <v>545</v>
      </c>
      <c r="B4" s="920"/>
      <c r="C4" s="920"/>
      <c r="D4" s="920"/>
      <c r="E4" s="920"/>
      <c r="F4" s="920"/>
      <c r="G4" s="920"/>
      <c r="H4" s="920"/>
      <c r="I4" s="195"/>
      <c r="J4" s="195"/>
      <c r="K4" s="195"/>
      <c r="L4" s="36"/>
    </row>
    <row r="5" spans="1:12" ht="11.25" customHeight="1">
      <c r="A5" s="77"/>
      <c r="B5" s="164"/>
      <c r="C5" s="78"/>
      <c r="D5" s="79"/>
      <c r="E5" s="79"/>
      <c r="F5" s="80"/>
      <c r="G5" s="76"/>
      <c r="H5" s="76"/>
      <c r="I5" s="196"/>
      <c r="J5" s="196"/>
      <c r="K5" s="196"/>
      <c r="L5" s="205"/>
    </row>
    <row r="6" spans="1:12" ht="30.75" customHeight="1">
      <c r="A6" s="563" t="s">
        <v>187</v>
      </c>
      <c r="B6" s="561" t="s">
        <v>188</v>
      </c>
      <c r="C6" s="561" t="s">
        <v>189</v>
      </c>
      <c r="D6" s="560" t="str">
        <f>UPPER('1. Resumen'!Q4)&amp;"
 "&amp;'1. Resumen'!Q5</f>
        <v>DICIEMBRE
 2019</v>
      </c>
      <c r="E6" s="560" t="str">
        <f>UPPER('1. Resumen'!Q4)&amp;"
 "&amp;'1. Resumen'!Q5-1</f>
        <v>DICIEMBRE
 2018</v>
      </c>
      <c r="F6" s="560" t="str">
        <f>UPPER('1. Resumen'!Q4)&amp;"
 "&amp;'1. Resumen'!Q5-2</f>
        <v>DICIEMBRE
 2017</v>
      </c>
      <c r="G6" s="561" t="s">
        <v>525</v>
      </c>
      <c r="H6" s="562" t="s">
        <v>461</v>
      </c>
      <c r="I6" s="196"/>
      <c r="J6" s="196"/>
      <c r="K6" s="196"/>
      <c r="L6" s="166"/>
    </row>
    <row r="7" spans="1:12" ht="14.25" customHeight="1">
      <c r="A7" s="930" t="s">
        <v>191</v>
      </c>
      <c r="B7" s="756" t="s">
        <v>750</v>
      </c>
      <c r="C7" s="757" t="s">
        <v>748</v>
      </c>
      <c r="D7" s="758"/>
      <c r="E7" s="758"/>
      <c r="F7" s="758">
        <v>5.0333333333333341</v>
      </c>
      <c r="G7" s="759"/>
      <c r="H7" s="759">
        <f t="shared" ref="H7:H13" si="0">+E7/F7-1</f>
        <v>-1</v>
      </c>
      <c r="I7" s="196"/>
      <c r="J7" s="196"/>
      <c r="K7" s="196"/>
      <c r="L7" s="58"/>
    </row>
    <row r="8" spans="1:12" ht="14.25" customHeight="1">
      <c r="A8" s="931"/>
      <c r="B8" s="756" t="s">
        <v>751</v>
      </c>
      <c r="C8" s="757" t="s">
        <v>749</v>
      </c>
      <c r="D8" s="758"/>
      <c r="E8" s="758"/>
      <c r="F8" s="758">
        <v>4.2999999999999989</v>
      </c>
      <c r="G8" s="759"/>
      <c r="H8" s="759">
        <f t="shared" si="0"/>
        <v>-1</v>
      </c>
      <c r="I8" s="196"/>
      <c r="J8" s="196"/>
      <c r="K8" s="196"/>
      <c r="L8" s="58"/>
    </row>
    <row r="9" spans="1:12" ht="14.25" customHeight="1">
      <c r="A9" s="931"/>
      <c r="B9" s="756" t="s">
        <v>624</v>
      </c>
      <c r="C9" s="757" t="s">
        <v>627</v>
      </c>
      <c r="D9" s="758"/>
      <c r="E9" s="758"/>
      <c r="F9" s="758">
        <v>9.7666666666666675</v>
      </c>
      <c r="G9" s="759"/>
      <c r="H9" s="759">
        <f t="shared" si="0"/>
        <v>-1</v>
      </c>
      <c r="I9" s="196"/>
      <c r="J9" s="196"/>
      <c r="K9" s="196"/>
      <c r="L9" s="58"/>
    </row>
    <row r="10" spans="1:12" ht="14.25" customHeight="1">
      <c r="A10" s="931"/>
      <c r="B10" s="756" t="s">
        <v>610</v>
      </c>
      <c r="C10" s="757" t="s">
        <v>628</v>
      </c>
      <c r="D10" s="758">
        <v>5.6333333333333329</v>
      </c>
      <c r="E10" s="758"/>
      <c r="F10" s="758"/>
      <c r="G10" s="759"/>
      <c r="H10" s="759"/>
      <c r="I10" s="196"/>
      <c r="J10" s="196"/>
      <c r="K10" s="196"/>
      <c r="L10" s="58"/>
    </row>
    <row r="11" spans="1:12" ht="14.25" customHeight="1">
      <c r="A11" s="931"/>
      <c r="B11" s="756" t="s">
        <v>625</v>
      </c>
      <c r="C11" s="757" t="s">
        <v>629</v>
      </c>
      <c r="D11" s="758">
        <v>1.8666666666666654</v>
      </c>
      <c r="E11" s="758">
        <v>56.2</v>
      </c>
      <c r="F11" s="758"/>
      <c r="G11" s="759">
        <f t="shared" ref="G11" si="1">+D11/E11-1</f>
        <v>-0.96678529062870699</v>
      </c>
      <c r="H11" s="759"/>
      <c r="I11" s="196"/>
      <c r="J11" s="196"/>
      <c r="K11" s="196"/>
      <c r="L11" s="58"/>
    </row>
    <row r="12" spans="1:12" ht="14.25" customHeight="1">
      <c r="A12" s="931"/>
      <c r="B12" s="756" t="s">
        <v>626</v>
      </c>
      <c r="C12" s="757" t="s">
        <v>630</v>
      </c>
      <c r="D12" s="758"/>
      <c r="E12" s="758">
        <v>39.833333333333329</v>
      </c>
      <c r="F12" s="758"/>
      <c r="G12" s="759">
        <f t="shared" ref="G12:H16" si="2">+D12/E12-1</f>
        <v>-1</v>
      </c>
      <c r="H12" s="759"/>
      <c r="I12" s="196"/>
      <c r="J12" s="196"/>
      <c r="K12" s="196"/>
      <c r="L12" s="58"/>
    </row>
    <row r="13" spans="1:12" ht="14.25" customHeight="1">
      <c r="A13" s="931"/>
      <c r="B13" s="756" t="s">
        <v>594</v>
      </c>
      <c r="C13" s="757" t="s">
        <v>595</v>
      </c>
      <c r="D13" s="758">
        <v>62.733333333333334</v>
      </c>
      <c r="E13" s="758">
        <v>295.13333333333327</v>
      </c>
      <c r="F13" s="758">
        <v>13.5</v>
      </c>
      <c r="G13" s="759">
        <f t="shared" si="2"/>
        <v>-0.78744070476620731</v>
      </c>
      <c r="H13" s="759">
        <f t="shared" si="0"/>
        <v>20.861728395061725</v>
      </c>
      <c r="I13" s="196"/>
      <c r="J13" s="196"/>
      <c r="K13" s="196"/>
      <c r="L13" s="58"/>
    </row>
    <row r="14" spans="1:12" ht="14.25" customHeight="1">
      <c r="A14" s="932"/>
      <c r="B14" s="815" t="s">
        <v>753</v>
      </c>
      <c r="C14" s="816" t="s">
        <v>752</v>
      </c>
      <c r="D14" s="771">
        <v>247.36666666666662</v>
      </c>
      <c r="E14" s="771"/>
      <c r="F14" s="771"/>
      <c r="G14" s="759"/>
      <c r="H14" s="759"/>
      <c r="I14" s="196"/>
      <c r="J14" s="196"/>
      <c r="K14" s="196"/>
      <c r="L14" s="58"/>
    </row>
    <row r="15" spans="1:12" ht="12.75">
      <c r="A15" s="835" t="s">
        <v>190</v>
      </c>
      <c r="B15" s="756" t="s">
        <v>755</v>
      </c>
      <c r="C15" s="757" t="s">
        <v>754</v>
      </c>
      <c r="D15" s="758"/>
      <c r="E15" s="758">
        <v>33.466666666666669</v>
      </c>
      <c r="F15" s="758"/>
      <c r="G15" s="759">
        <f t="shared" si="2"/>
        <v>-1</v>
      </c>
      <c r="H15" s="759"/>
      <c r="I15" s="196"/>
      <c r="J15" s="196"/>
      <c r="K15" s="196"/>
      <c r="L15" s="58"/>
    </row>
    <row r="16" spans="1:12" ht="18.75" customHeight="1">
      <c r="A16" s="553" t="s">
        <v>192</v>
      </c>
      <c r="B16" s="554"/>
      <c r="C16" s="555"/>
      <c r="D16" s="556">
        <f>SUM(D7:D15)</f>
        <v>317.59999999999997</v>
      </c>
      <c r="E16" s="556">
        <f>SUM(E7:E15)</f>
        <v>424.63333333333333</v>
      </c>
      <c r="F16" s="556">
        <f>SUM(F7:F15)</f>
        <v>32.6</v>
      </c>
      <c r="G16" s="834">
        <f t="shared" si="2"/>
        <v>-0.25206060130308505</v>
      </c>
      <c r="H16" s="834">
        <f t="shared" si="2"/>
        <v>12.025562372188139</v>
      </c>
      <c r="I16" s="196"/>
      <c r="J16" s="196"/>
      <c r="K16" s="197"/>
      <c r="L16" s="206"/>
    </row>
    <row r="17" spans="1:12" ht="11.25" customHeight="1">
      <c r="A17" s="273" t="str">
        <f>"Cuadro N° 14: Horas de operación de los principales equipos de congestión en "&amp;'1. Resumen'!Q4</f>
        <v>Cuadro N° 14: Horas de operación de los principales equipos de congestión en diciembre</v>
      </c>
      <c r="B17" s="209"/>
      <c r="C17" s="210"/>
      <c r="D17" s="211"/>
      <c r="E17" s="211"/>
      <c r="F17" s="212"/>
      <c r="G17" s="76"/>
      <c r="H17" s="82"/>
      <c r="I17" s="196"/>
      <c r="J17" s="196"/>
      <c r="K17" s="197"/>
      <c r="L17" s="206"/>
    </row>
    <row r="18" spans="1:12" ht="11.25" customHeight="1">
      <c r="A18" s="137"/>
      <c r="B18" s="209"/>
      <c r="C18" s="210"/>
      <c r="D18" s="211"/>
      <c r="E18" s="211"/>
      <c r="F18" s="212"/>
      <c r="G18" s="76"/>
      <c r="H18" s="76"/>
      <c r="I18" s="196"/>
      <c r="J18" s="196"/>
      <c r="K18" s="197"/>
      <c r="L18" s="206"/>
    </row>
    <row r="19" spans="1:12" ht="11.25" customHeight="1">
      <c r="A19" s="137"/>
      <c r="B19" s="209"/>
      <c r="C19" s="210"/>
      <c r="D19" s="211"/>
      <c r="E19" s="211"/>
      <c r="F19" s="212"/>
      <c r="G19" s="76"/>
      <c r="H19" s="76"/>
      <c r="I19" s="196"/>
      <c r="J19" s="196"/>
      <c r="K19" s="197"/>
      <c r="L19" s="206"/>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7"/>
      <c r="L22" s="207"/>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6"/>
      <c r="L25" s="58"/>
    </row>
    <row r="26" spans="1:12" ht="11.25" customHeight="1">
      <c r="A26" s="77"/>
      <c r="B26" s="164"/>
      <c r="C26" s="78"/>
      <c r="D26" s="79"/>
      <c r="E26" s="79"/>
      <c r="F26" s="80"/>
      <c r="G26" s="76"/>
      <c r="H26" s="76"/>
      <c r="I26" s="196"/>
      <c r="J26" s="196"/>
      <c r="K26" s="197"/>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9"/>
      <c r="L34" s="59"/>
    </row>
    <row r="35" spans="1:12" ht="11.25"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8.25" customHeight="1">
      <c r="A38" s="77"/>
      <c r="B38" s="77"/>
      <c r="C38" s="77"/>
      <c r="D38" s="77"/>
      <c r="E38" s="77"/>
      <c r="F38" s="77"/>
      <c r="G38" s="77"/>
      <c r="H38" s="77"/>
      <c r="I38" s="196"/>
      <c r="J38" s="196"/>
      <c r="K38" s="199"/>
      <c r="L38" s="59"/>
    </row>
    <row r="39" spans="1:12" ht="24.7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8"/>
    </row>
    <row r="44" spans="1:12" ht="11.25" customHeight="1">
      <c r="A44" s="77"/>
      <c r="B44" s="77"/>
      <c r="C44" s="77"/>
      <c r="D44" s="77"/>
      <c r="E44" s="77"/>
      <c r="F44" s="77"/>
      <c r="G44" s="77"/>
      <c r="H44" s="77"/>
      <c r="I44" s="196"/>
      <c r="J44" s="196"/>
      <c r="K44" s="198"/>
    </row>
    <row r="45" spans="1:12" ht="12.75">
      <c r="A45" s="54"/>
      <c r="B45" s="77"/>
      <c r="C45" s="77"/>
      <c r="D45" s="77"/>
      <c r="E45" s="77"/>
      <c r="F45" s="77"/>
      <c r="G45" s="77"/>
      <c r="H45" s="77"/>
      <c r="I45" s="196"/>
      <c r="J45" s="196"/>
      <c r="K45" s="198"/>
    </row>
    <row r="46" spans="1:12" ht="12.75">
      <c r="A46" s="77"/>
      <c r="B46" s="77"/>
      <c r="C46" s="77"/>
      <c r="D46" s="77"/>
      <c r="E46" s="77"/>
      <c r="F46" s="77"/>
      <c r="G46" s="77"/>
      <c r="H46" s="77"/>
      <c r="I46" s="196"/>
      <c r="J46" s="196"/>
      <c r="K46" s="198"/>
    </row>
    <row r="47" spans="1:12" ht="12.75">
      <c r="A47" s="77"/>
      <c r="B47" s="77"/>
      <c r="C47" s="77"/>
      <c r="D47" s="77"/>
      <c r="E47" s="77"/>
      <c r="F47" s="77"/>
      <c r="G47" s="77"/>
      <c r="H47" s="77"/>
      <c r="I47" s="196"/>
      <c r="J47" s="196"/>
      <c r="K47" s="198"/>
    </row>
    <row r="48" spans="1:12" ht="12.75">
      <c r="A48" s="77"/>
      <c r="B48" s="77"/>
      <c r="C48" s="77"/>
      <c r="D48" s="77"/>
      <c r="E48" s="77"/>
      <c r="F48" s="77"/>
      <c r="G48" s="77"/>
      <c r="H48" s="77"/>
      <c r="I48" s="196"/>
      <c r="J48" s="196"/>
      <c r="K48" s="198"/>
    </row>
    <row r="49" spans="1:11" ht="12.75">
      <c r="A49" s="77"/>
      <c r="B49" s="77"/>
      <c r="C49" s="77"/>
      <c r="D49" s="77"/>
      <c r="E49" s="77"/>
      <c r="F49" s="77"/>
      <c r="G49" s="77"/>
      <c r="H49" s="77"/>
      <c r="I49" s="196"/>
      <c r="J49" s="196"/>
      <c r="K49" s="198"/>
    </row>
    <row r="50" spans="1:11" ht="12.75">
      <c r="A50" s="77"/>
      <c r="B50" s="77"/>
      <c r="C50" s="77"/>
      <c r="D50" s="77"/>
      <c r="E50" s="77"/>
      <c r="F50" s="77"/>
      <c r="G50" s="77"/>
      <c r="H50" s="77"/>
      <c r="I50" s="111"/>
      <c r="J50" s="111"/>
      <c r="K50" s="198"/>
    </row>
    <row r="51" spans="1:11" ht="12.75">
      <c r="A51" s="77"/>
      <c r="B51" s="77"/>
      <c r="C51" s="77"/>
      <c r="D51" s="77"/>
      <c r="E51" s="77"/>
      <c r="F51" s="77"/>
      <c r="G51" s="77"/>
      <c r="H51" s="77"/>
      <c r="I51" s="111"/>
      <c r="J51" s="111"/>
      <c r="K51" s="198"/>
    </row>
    <row r="52" spans="1:11" ht="12.75">
      <c r="A52" s="77"/>
      <c r="B52" s="77"/>
      <c r="C52" s="77"/>
      <c r="D52" s="77"/>
      <c r="E52" s="77"/>
      <c r="F52" s="77"/>
      <c r="G52" s="77"/>
      <c r="H52" s="77"/>
      <c r="I52" s="111"/>
      <c r="J52" s="111"/>
      <c r="K52" s="198"/>
    </row>
    <row r="53" spans="1:11" ht="12.75">
      <c r="B53" s="77"/>
      <c r="C53" s="77"/>
      <c r="D53" s="77"/>
      <c r="E53" s="77"/>
      <c r="F53" s="77"/>
      <c r="G53" s="77"/>
      <c r="H53" s="77"/>
      <c r="I53" s="111"/>
      <c r="J53" s="111"/>
      <c r="K53" s="198"/>
    </row>
    <row r="54" spans="1:11" ht="12.75">
      <c r="A54" s="273" t="str">
        <f>"Gráfico N° 23: Comparación de las horas de operación de los principales equipos de congestión en "&amp;'1. Resumen'!Q4&amp;"."</f>
        <v>Gráfico N° 23: Comparación de las horas de operación de los principales equipos de congestión en diciembre.</v>
      </c>
      <c r="B54" s="77"/>
      <c r="C54" s="77"/>
      <c r="D54" s="77"/>
      <c r="E54" s="77"/>
      <c r="F54" s="77"/>
      <c r="G54" s="77"/>
      <c r="H54" s="77"/>
      <c r="I54" s="111"/>
      <c r="J54" s="111"/>
      <c r="K54" s="198"/>
    </row>
    <row r="55" spans="1:11" ht="12.75">
      <c r="A55" s="77"/>
      <c r="B55" s="77"/>
      <c r="C55" s="77"/>
      <c r="D55" s="77"/>
      <c r="E55" s="77"/>
      <c r="F55" s="77"/>
      <c r="G55" s="77"/>
      <c r="H55" s="77"/>
      <c r="I55" s="197"/>
      <c r="J55" s="197"/>
      <c r="K55" s="198"/>
    </row>
    <row r="56" spans="1:11" ht="12.75">
      <c r="A56" s="196"/>
      <c r="B56" s="197"/>
      <c r="C56" s="197"/>
      <c r="D56" s="197"/>
      <c r="E56" s="197"/>
      <c r="F56" s="197"/>
      <c r="G56" s="197"/>
      <c r="H56" s="197"/>
      <c r="I56" s="197"/>
      <c r="J56" s="197"/>
      <c r="K56" s="198"/>
    </row>
    <row r="57" spans="1:11" ht="12.75">
      <c r="A57" s="196"/>
      <c r="B57" s="208"/>
      <c r="C57" s="198"/>
      <c r="D57" s="198"/>
      <c r="E57" s="198"/>
      <c r="F57" s="198"/>
      <c r="G57" s="197"/>
      <c r="H57" s="197"/>
      <c r="I57" s="197"/>
      <c r="J57" s="197"/>
      <c r="K57" s="198"/>
    </row>
    <row r="58" spans="1:11" ht="12.75">
      <c r="A58" s="1"/>
      <c r="B58" s="31"/>
      <c r="C58" s="31"/>
      <c r="D58" s="31"/>
      <c r="E58" s="31"/>
      <c r="F58" s="31"/>
      <c r="G58" s="31"/>
      <c r="H58" s="197"/>
      <c r="I58" s="197"/>
      <c r="J58" s="197"/>
      <c r="K58" s="198"/>
    </row>
    <row r="59" spans="1:11" ht="12.75">
      <c r="A59" s="1"/>
      <c r="B59" s="31"/>
      <c r="C59" s="31"/>
      <c r="D59" s="31"/>
      <c r="E59" s="31"/>
      <c r="F59" s="31"/>
      <c r="G59" s="31"/>
      <c r="H59" s="197"/>
      <c r="I59" s="197"/>
      <c r="J59" s="197"/>
      <c r="K59" s="197"/>
    </row>
    <row r="60" spans="1:11" ht="12.75">
      <c r="A60" s="1"/>
      <c r="B60" s="31"/>
      <c r="C60" s="31"/>
      <c r="D60" s="31"/>
      <c r="E60" s="31"/>
      <c r="F60" s="31"/>
      <c r="G60" s="31"/>
      <c r="H60" s="197"/>
      <c r="I60" s="197"/>
      <c r="J60" s="197"/>
      <c r="K60" s="197"/>
    </row>
  </sheetData>
  <mergeCells count="3">
    <mergeCell ref="A4:H4"/>
    <mergeCell ref="A2:H2"/>
    <mergeCell ref="A7:A14"/>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008FC8"/>
  </sheetPr>
  <dimension ref="A1:L251"/>
  <sheetViews>
    <sheetView showGridLines="0" view="pageBreakPreview" topLeftCell="A12" zoomScale="145" zoomScaleNormal="160" zoomScaleSheetLayoutView="145" zoomScalePageLayoutView="160" workbookViewId="0"/>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40" t="s">
        <v>490</v>
      </c>
      <c r="B2" s="940"/>
      <c r="C2" s="940"/>
      <c r="D2" s="940"/>
      <c r="E2" s="940"/>
      <c r="F2" s="940"/>
      <c r="G2" s="940"/>
      <c r="H2" s="940"/>
      <c r="I2" s="940"/>
      <c r="J2" s="940"/>
      <c r="K2" s="163"/>
    </row>
    <row r="3" spans="1:12" ht="6.75" customHeight="1">
      <c r="A3" s="17"/>
      <c r="B3" s="159"/>
      <c r="C3" s="213"/>
      <c r="D3" s="18"/>
      <c r="E3" s="18"/>
      <c r="F3" s="192"/>
      <c r="G3" s="66"/>
      <c r="H3" s="66"/>
      <c r="I3" s="71"/>
      <c r="J3" s="163"/>
      <c r="K3" s="163"/>
      <c r="L3" s="36"/>
    </row>
    <row r="4" spans="1:12" ht="15" customHeight="1">
      <c r="A4" s="941" t="s">
        <v>544</v>
      </c>
      <c r="B4" s="941"/>
      <c r="C4" s="941"/>
      <c r="D4" s="941"/>
      <c r="E4" s="941"/>
      <c r="F4" s="941"/>
      <c r="G4" s="941"/>
      <c r="H4" s="941"/>
      <c r="I4" s="941"/>
      <c r="J4" s="941"/>
      <c r="K4" s="163"/>
      <c r="L4" s="36"/>
    </row>
    <row r="5" spans="1:12" ht="38.25" customHeight="1">
      <c r="A5" s="938" t="s">
        <v>193</v>
      </c>
      <c r="B5" s="565" t="s">
        <v>194</v>
      </c>
      <c r="C5" s="566" t="s">
        <v>195</v>
      </c>
      <c r="D5" s="566" t="s">
        <v>196</v>
      </c>
      <c r="E5" s="566" t="s">
        <v>197</v>
      </c>
      <c r="F5" s="566" t="s">
        <v>198</v>
      </c>
      <c r="G5" s="566" t="s">
        <v>199</v>
      </c>
      <c r="H5" s="566" t="s">
        <v>200</v>
      </c>
      <c r="I5" s="567" t="s">
        <v>201</v>
      </c>
      <c r="J5" s="568" t="s">
        <v>202</v>
      </c>
      <c r="K5" s="131"/>
    </row>
    <row r="6" spans="1:12" ht="11.25" customHeight="1">
      <c r="A6" s="939"/>
      <c r="B6" s="760" t="s">
        <v>203</v>
      </c>
      <c r="C6" s="567" t="s">
        <v>204</v>
      </c>
      <c r="D6" s="567" t="s">
        <v>205</v>
      </c>
      <c r="E6" s="567" t="s">
        <v>206</v>
      </c>
      <c r="F6" s="567" t="s">
        <v>207</v>
      </c>
      <c r="G6" s="567" t="s">
        <v>208</v>
      </c>
      <c r="H6" s="567" t="s">
        <v>209</v>
      </c>
      <c r="I6" s="761"/>
      <c r="J6" s="762" t="s">
        <v>210</v>
      </c>
      <c r="K6" s="19"/>
    </row>
    <row r="7" spans="1:12" ht="12" customHeight="1">
      <c r="A7" s="772" t="s">
        <v>459</v>
      </c>
      <c r="B7" s="773">
        <v>11</v>
      </c>
      <c r="C7" s="773">
        <v>4</v>
      </c>
      <c r="D7" s="773">
        <v>3</v>
      </c>
      <c r="E7" s="773">
        <v>1</v>
      </c>
      <c r="F7" s="773">
        <v>6</v>
      </c>
      <c r="G7" s="773"/>
      <c r="H7" s="773"/>
      <c r="I7" s="775">
        <f>+SUM(B7:H7)</f>
        <v>25</v>
      </c>
      <c r="J7" s="776">
        <v>270.28999999999996</v>
      </c>
      <c r="K7" s="22"/>
    </row>
    <row r="8" spans="1:12" s="797" customFormat="1" ht="12" customHeight="1">
      <c r="A8" s="772" t="s">
        <v>747</v>
      </c>
      <c r="B8" s="773"/>
      <c r="C8" s="773"/>
      <c r="D8" s="773"/>
      <c r="E8" s="773"/>
      <c r="F8" s="773">
        <v>1</v>
      </c>
      <c r="G8" s="773"/>
      <c r="H8" s="773"/>
      <c r="I8" s="775">
        <f t="shared" ref="I8:I12" si="0">+SUM(B8:H8)</f>
        <v>1</v>
      </c>
      <c r="J8" s="776">
        <v>20</v>
      </c>
      <c r="K8" s="22"/>
    </row>
    <row r="9" spans="1:12" ht="16.5" customHeight="1">
      <c r="A9" s="772" t="s">
        <v>566</v>
      </c>
      <c r="B9" s="773"/>
      <c r="C9" s="773"/>
      <c r="D9" s="773"/>
      <c r="E9" s="773"/>
      <c r="F9" s="773">
        <v>1</v>
      </c>
      <c r="G9" s="773"/>
      <c r="H9" s="773"/>
      <c r="I9" s="775">
        <f t="shared" si="0"/>
        <v>1</v>
      </c>
      <c r="J9" s="776">
        <v>84</v>
      </c>
      <c r="K9" s="22"/>
    </row>
    <row r="10" spans="1:12" ht="12" customHeight="1">
      <c r="A10" s="778" t="s">
        <v>167</v>
      </c>
      <c r="B10" s="773"/>
      <c r="C10" s="773"/>
      <c r="D10" s="773"/>
      <c r="E10" s="774"/>
      <c r="F10" s="773">
        <v>1</v>
      </c>
      <c r="G10" s="773"/>
      <c r="H10" s="773"/>
      <c r="I10" s="775">
        <f t="shared" si="0"/>
        <v>1</v>
      </c>
      <c r="J10" s="776">
        <v>76.5</v>
      </c>
      <c r="K10" s="22"/>
    </row>
    <row r="11" spans="1:12" ht="12" customHeight="1">
      <c r="A11" s="778" t="s">
        <v>513</v>
      </c>
      <c r="B11" s="773"/>
      <c r="C11" s="773"/>
      <c r="D11" s="773"/>
      <c r="E11" s="774"/>
      <c r="F11" s="773"/>
      <c r="G11" s="773"/>
      <c r="H11" s="773"/>
      <c r="I11" s="775">
        <f t="shared" si="0"/>
        <v>0</v>
      </c>
      <c r="J11" s="776"/>
      <c r="K11" s="22"/>
    </row>
    <row r="12" spans="1:12" ht="12" customHeight="1">
      <c r="A12" s="772" t="s">
        <v>611</v>
      </c>
      <c r="B12" s="777"/>
      <c r="C12" s="773"/>
      <c r="D12" s="773"/>
      <c r="E12" s="774"/>
      <c r="F12" s="773"/>
      <c r="G12" s="773"/>
      <c r="H12" s="773"/>
      <c r="I12" s="775">
        <f t="shared" si="0"/>
        <v>0</v>
      </c>
      <c r="J12" s="776"/>
      <c r="K12" s="22"/>
    </row>
    <row r="13" spans="1:12" ht="14.25" customHeight="1">
      <c r="A13" s="768" t="s">
        <v>201</v>
      </c>
      <c r="B13" s="763">
        <f t="shared" ref="B13:H13" si="1">+SUM(B7:B12)</f>
        <v>11</v>
      </c>
      <c r="C13" s="763">
        <f t="shared" si="1"/>
        <v>4</v>
      </c>
      <c r="D13" s="763">
        <f t="shared" si="1"/>
        <v>3</v>
      </c>
      <c r="E13" s="763">
        <f t="shared" si="1"/>
        <v>1</v>
      </c>
      <c r="F13" s="763">
        <f t="shared" si="1"/>
        <v>9</v>
      </c>
      <c r="G13" s="763">
        <f t="shared" si="1"/>
        <v>0</v>
      </c>
      <c r="H13" s="763">
        <f t="shared" si="1"/>
        <v>0</v>
      </c>
      <c r="I13" s="763">
        <f>SUM(I7:I12)</f>
        <v>28</v>
      </c>
      <c r="J13" s="764">
        <f>SUM(J7:J12)</f>
        <v>450.78999999999996</v>
      </c>
      <c r="K13" s="22"/>
    </row>
    <row r="14" spans="1:12" ht="11.25" customHeight="1">
      <c r="A14" s="942"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diciembre 2019</v>
      </c>
      <c r="B14" s="942"/>
      <c r="C14" s="942"/>
      <c r="D14" s="942"/>
      <c r="E14" s="942"/>
      <c r="F14" s="942"/>
      <c r="G14" s="942"/>
      <c r="H14" s="942"/>
      <c r="I14" s="942"/>
      <c r="J14" s="942"/>
      <c r="K14" s="22"/>
    </row>
    <row r="15" spans="1:12" ht="11.25" customHeight="1">
      <c r="K15" s="22"/>
    </row>
    <row r="16" spans="1:12" ht="11.25" customHeight="1">
      <c r="A16" s="17"/>
      <c r="B16" s="216"/>
      <c r="C16" s="215"/>
      <c r="D16" s="215"/>
      <c r="E16" s="215"/>
      <c r="F16" s="215"/>
      <c r="G16" s="178"/>
      <c r="H16" s="178"/>
      <c r="I16" s="138"/>
      <c r="J16" s="25"/>
      <c r="K16" s="25"/>
      <c r="L16" s="22"/>
    </row>
    <row r="17" spans="1:12" ht="11.25" customHeight="1">
      <c r="A17" s="935" t="str">
        <f>"FALLAS  POR TIPO DE CAUSA  -  "&amp;UPPER('1. Resumen'!Q4)&amp;" "&amp;'1. Resumen'!Q5</f>
        <v>FALLAS  POR TIPO DE CAUSA  -  DICIEMBRE 2019</v>
      </c>
      <c r="B17" s="935"/>
      <c r="C17" s="935"/>
      <c r="D17" s="935"/>
      <c r="E17" s="935" t="str">
        <f>"FALLAS  POR TIPO DE EQUIPO  -  "&amp;UPPER('1. Resumen'!Q4)&amp;" "&amp;'1. Resumen'!Q5</f>
        <v>FALLAS  POR TIPO DE EQUIPO  -  DICIEMBRE 2019</v>
      </c>
      <c r="F17" s="935"/>
      <c r="G17" s="935"/>
      <c r="H17" s="935"/>
      <c r="I17" s="935"/>
      <c r="J17" s="935"/>
      <c r="K17" s="25"/>
      <c r="L17" s="22"/>
    </row>
    <row r="18" spans="1:12" ht="11.25" customHeight="1">
      <c r="A18" s="17"/>
      <c r="E18" s="215"/>
      <c r="F18" s="215"/>
      <c r="G18" s="178"/>
      <c r="H18" s="178"/>
      <c r="I18" s="138"/>
      <c r="J18" s="111"/>
      <c r="K18" s="111"/>
      <c r="L18" s="22"/>
    </row>
    <row r="19" spans="1:12" ht="11.25" customHeight="1">
      <c r="A19" s="17"/>
      <c r="B19" s="216"/>
      <c r="C19" s="215"/>
      <c r="D19" s="215"/>
      <c r="E19" s="215"/>
      <c r="F19" s="215"/>
      <c r="G19" s="178"/>
      <c r="H19" s="178"/>
      <c r="I19" s="138"/>
      <c r="J19" s="111"/>
      <c r="K19" s="111"/>
      <c r="L19" s="30"/>
    </row>
    <row r="20" spans="1:12" ht="11.25" customHeight="1">
      <c r="A20" s="17"/>
      <c r="B20" s="216"/>
      <c r="C20" s="215"/>
      <c r="D20" s="215"/>
      <c r="E20" s="215"/>
      <c r="F20" s="215"/>
      <c r="G20" s="178"/>
      <c r="H20" s="178"/>
      <c r="I20" s="138"/>
      <c r="J20" s="111"/>
      <c r="K20" s="111"/>
      <c r="L20" s="22"/>
    </row>
    <row r="21" spans="1:12" ht="11.25" customHeight="1">
      <c r="A21" s="17"/>
      <c r="B21" s="216"/>
      <c r="C21" s="215"/>
      <c r="D21" s="215"/>
      <c r="E21" s="215"/>
      <c r="F21" s="215"/>
      <c r="G21" s="178"/>
      <c r="H21" s="178"/>
      <c r="I21" s="138"/>
      <c r="J21" s="111"/>
      <c r="K21" s="111"/>
      <c r="L21" s="22"/>
    </row>
    <row r="22" spans="1:12" ht="11.25" customHeight="1">
      <c r="A22" s="17"/>
      <c r="B22" s="216"/>
      <c r="C22" s="215"/>
      <c r="D22" s="215"/>
      <c r="E22" s="215"/>
      <c r="F22" s="215"/>
      <c r="G22" s="178"/>
      <c r="H22" s="178"/>
      <c r="I22" s="138"/>
      <c r="J22" s="111"/>
      <c r="K22" s="111"/>
      <c r="L22" s="22"/>
    </row>
    <row r="23" spans="1:12" ht="11.25" customHeight="1">
      <c r="A23" s="17"/>
      <c r="B23" s="216"/>
      <c r="C23" s="215"/>
      <c r="D23" s="215"/>
      <c r="E23" s="215"/>
      <c r="F23" s="215"/>
      <c r="G23" s="178"/>
      <c r="H23" s="178"/>
      <c r="I23" s="138"/>
      <c r="J23" s="111"/>
      <c r="K23" s="111"/>
      <c r="L23" s="30"/>
    </row>
    <row r="24" spans="1:12" ht="11.25" customHeight="1">
      <c r="A24" s="17"/>
      <c r="B24" s="216"/>
      <c r="C24" s="215"/>
      <c r="D24" s="215"/>
      <c r="E24" s="215"/>
      <c r="F24" s="215"/>
      <c r="G24" s="178"/>
      <c r="H24" s="178"/>
      <c r="I24" s="138"/>
      <c r="J24" s="111"/>
      <c r="K24" s="111"/>
      <c r="L24" s="22"/>
    </row>
    <row r="25" spans="1:12" ht="11.25" customHeight="1">
      <c r="A25" s="17"/>
      <c r="B25" s="216"/>
      <c r="C25" s="215"/>
      <c r="D25" s="215"/>
      <c r="E25" s="215"/>
      <c r="F25" s="215"/>
      <c r="G25" s="178"/>
      <c r="H25" s="178"/>
      <c r="I25" s="138"/>
      <c r="J25" s="111"/>
      <c r="K25" s="111"/>
      <c r="L25" s="22"/>
    </row>
    <row r="26" spans="1:12" ht="11.25" customHeight="1">
      <c r="A26" s="17"/>
      <c r="B26" s="216"/>
      <c r="C26" s="215"/>
      <c r="D26" s="215"/>
      <c r="E26" s="215"/>
      <c r="F26" s="215"/>
      <c r="G26" s="178"/>
      <c r="H26" s="178"/>
      <c r="I26" s="138"/>
      <c r="J26" s="111"/>
      <c r="K26" s="111"/>
      <c r="L26" s="22"/>
    </row>
    <row r="27" spans="1:12" ht="11.25" customHeight="1">
      <c r="A27" s="17"/>
      <c r="B27" s="216"/>
      <c r="C27" s="215"/>
      <c r="D27" s="215"/>
      <c r="E27" s="215"/>
      <c r="F27" s="215"/>
      <c r="G27" s="178"/>
      <c r="H27" s="178"/>
      <c r="I27" s="138"/>
      <c r="J27" s="111"/>
      <c r="K27" s="111"/>
      <c r="L27" s="22"/>
    </row>
    <row r="28" spans="1:12" ht="11.25" customHeight="1">
      <c r="A28" s="17"/>
      <c r="B28" s="216"/>
      <c r="C28" s="215"/>
      <c r="D28" s="215"/>
      <c r="E28" s="215"/>
      <c r="F28" s="215"/>
      <c r="G28" s="178"/>
      <c r="H28" s="178"/>
      <c r="I28" s="138"/>
      <c r="J28" s="111"/>
      <c r="K28" s="111"/>
      <c r="L28" s="22"/>
    </row>
    <row r="29" spans="1:12" ht="11.25" customHeight="1">
      <c r="A29" s="17"/>
      <c r="B29" s="216"/>
      <c r="C29" s="215"/>
      <c r="D29" s="215"/>
      <c r="E29" s="215"/>
      <c r="F29" s="215"/>
      <c r="G29" s="178"/>
      <c r="H29" s="178"/>
      <c r="I29" s="138"/>
      <c r="J29" s="111"/>
      <c r="K29" s="111"/>
      <c r="L29" s="22"/>
    </row>
    <row r="30" spans="1:12" ht="11.25" customHeight="1">
      <c r="A30" s="17"/>
      <c r="B30" s="216"/>
      <c r="C30" s="215"/>
      <c r="D30" s="215"/>
      <c r="E30" s="215"/>
      <c r="F30" s="215"/>
      <c r="G30" s="178"/>
      <c r="H30" s="178"/>
      <c r="I30" s="138"/>
      <c r="J30" s="111"/>
      <c r="K30" s="111"/>
      <c r="L30" s="22"/>
    </row>
    <row r="31" spans="1:12" ht="11.25" customHeight="1">
      <c r="A31" s="17"/>
      <c r="B31" s="216"/>
      <c r="C31" s="215"/>
      <c r="D31" s="215"/>
      <c r="E31" s="215"/>
      <c r="F31" s="215"/>
      <c r="G31" s="178"/>
      <c r="H31" s="178"/>
      <c r="I31" s="138"/>
      <c r="J31" s="111"/>
      <c r="K31" s="111"/>
      <c r="L31" s="22"/>
    </row>
    <row r="32" spans="1:12" ht="11.25" customHeight="1">
      <c r="A32" s="17"/>
      <c r="B32" s="216"/>
      <c r="C32" s="215"/>
      <c r="D32" s="215"/>
      <c r="E32" s="215"/>
      <c r="F32" s="215"/>
      <c r="G32" s="178"/>
      <c r="H32" s="178"/>
      <c r="I32" s="138"/>
      <c r="J32" s="111"/>
      <c r="K32" s="111"/>
      <c r="L32" s="22"/>
    </row>
    <row r="33" spans="1:12" ht="11.25" customHeight="1">
      <c r="A33" s="17"/>
      <c r="B33" s="216"/>
      <c r="C33" s="215"/>
      <c r="D33" s="215"/>
      <c r="E33" s="215"/>
      <c r="F33" s="215"/>
      <c r="G33" s="178"/>
      <c r="H33" s="178"/>
      <c r="I33" s="138"/>
      <c r="J33" s="111"/>
      <c r="K33" s="111"/>
      <c r="L33" s="22"/>
    </row>
    <row r="34" spans="1:12" ht="11.25" customHeight="1">
      <c r="A34" s="17"/>
      <c r="B34" s="216"/>
      <c r="C34" s="215"/>
      <c r="D34" s="215"/>
      <c r="E34" s="215"/>
      <c r="F34" s="215"/>
      <c r="G34" s="178"/>
      <c r="H34" s="178"/>
      <c r="I34" s="138"/>
      <c r="J34" s="111"/>
      <c r="K34" s="111"/>
      <c r="L34" s="22"/>
    </row>
    <row r="35" spans="1:12" ht="23.25" customHeight="1">
      <c r="A35" s="934" t="s">
        <v>472</v>
      </c>
      <c r="B35" s="934"/>
      <c r="C35" s="934"/>
      <c r="D35" s="276"/>
      <c r="E35" s="937" t="s">
        <v>473</v>
      </c>
      <c r="F35" s="937"/>
      <c r="G35" s="937"/>
      <c r="H35" s="937"/>
      <c r="I35" s="937"/>
      <c r="J35" s="937"/>
      <c r="K35" s="25"/>
      <c r="L35" s="22"/>
    </row>
    <row r="36" spans="1:12" ht="11.25" customHeight="1">
      <c r="A36" s="17"/>
      <c r="B36" s="132"/>
      <c r="C36" s="132"/>
      <c r="D36" s="132"/>
      <c r="E36" s="132"/>
      <c r="F36" s="132"/>
      <c r="G36" s="25"/>
      <c r="H36" s="25"/>
      <c r="I36" s="25"/>
      <c r="J36" s="25"/>
      <c r="K36" s="25"/>
      <c r="L36" s="22"/>
    </row>
    <row r="37" spans="1:12" ht="6.75" customHeight="1">
      <c r="A37" s="17"/>
      <c r="B37" s="132"/>
      <c r="C37" s="132"/>
      <c r="D37" s="132"/>
      <c r="E37" s="132"/>
      <c r="F37" s="132"/>
      <c r="G37" s="25"/>
      <c r="H37" s="25"/>
      <c r="I37" s="25"/>
      <c r="J37" s="25"/>
      <c r="K37" s="25"/>
      <c r="L37" s="217"/>
    </row>
    <row r="38" spans="1:12" ht="11.25" customHeight="1">
      <c r="A38" s="936" t="str">
        <f>"ENERGÍA INTERRUMPIDA APROXIMADA POR TIPO DE EQUIPO (MWh)  -  "&amp;UPPER('1. Resumen'!Q4)&amp;" "&amp;'1. Resumen'!Q5</f>
        <v>ENERGÍA INTERRUMPIDA APROXIMADA POR TIPO DE EQUIPO (MWh)  -  DICIEMBRE 2019</v>
      </c>
      <c r="B38" s="936"/>
      <c r="C38" s="936"/>
      <c r="D38" s="936"/>
      <c r="E38" s="936"/>
      <c r="F38" s="936"/>
      <c r="G38" s="936"/>
      <c r="H38" s="936"/>
      <c r="I38" s="936"/>
      <c r="J38" s="936"/>
      <c r="K38" s="25"/>
      <c r="L38" s="217"/>
    </row>
    <row r="39" spans="1:12" ht="11.25" customHeight="1">
      <c r="A39" s="17"/>
      <c r="B39" s="132"/>
      <c r="C39" s="132"/>
      <c r="D39" s="132"/>
      <c r="E39" s="132"/>
      <c r="F39" s="132"/>
      <c r="G39" s="25"/>
      <c r="H39" s="25"/>
      <c r="I39" s="25"/>
      <c r="J39" s="25"/>
      <c r="K39" s="25"/>
      <c r="L39" s="217"/>
    </row>
    <row r="40" spans="1:12" ht="11.25" customHeight="1">
      <c r="A40" s="17"/>
      <c r="B40" s="132"/>
      <c r="C40" s="25"/>
      <c r="D40" s="25"/>
      <c r="E40" s="25"/>
      <c r="F40" s="25"/>
      <c r="G40" s="25"/>
      <c r="H40" s="25"/>
      <c r="I40" s="25"/>
      <c r="J40" s="25"/>
      <c r="K40" s="25"/>
      <c r="L40" s="217"/>
    </row>
    <row r="41" spans="1:12" ht="11.25" customHeight="1">
      <c r="A41" s="17"/>
      <c r="B41" s="132"/>
      <c r="C41" s="25"/>
      <c r="D41" s="25"/>
      <c r="E41" s="25"/>
      <c r="F41" s="25"/>
      <c r="G41" s="25"/>
      <c r="H41" s="25"/>
    </row>
    <row r="42" spans="1:12" ht="12.75">
      <c r="A42" s="17"/>
      <c r="B42" s="132"/>
      <c r="J42" s="25"/>
      <c r="K42" s="25"/>
      <c r="L42" s="217"/>
    </row>
    <row r="43" spans="1:12" ht="12.75">
      <c r="A43" s="17"/>
      <c r="B43" s="132"/>
      <c r="C43" s="132"/>
      <c r="D43" s="132"/>
      <c r="E43" s="132"/>
      <c r="F43" s="132"/>
      <c r="G43" s="25"/>
      <c r="H43" s="25"/>
      <c r="I43" s="25"/>
      <c r="J43" s="25"/>
      <c r="K43" s="25"/>
      <c r="L43" s="217"/>
    </row>
    <row r="44" spans="1:12" ht="3" customHeight="1">
      <c r="A44" s="17"/>
      <c r="B44" s="132"/>
      <c r="C44" s="132"/>
      <c r="D44" s="132"/>
      <c r="E44" s="132"/>
      <c r="F44" s="132"/>
      <c r="G44" s="25"/>
      <c r="H44" s="25"/>
      <c r="I44" s="25"/>
      <c r="J44" s="25"/>
      <c r="K44" s="25"/>
      <c r="L44" s="217"/>
    </row>
    <row r="45" spans="1:12" ht="12.75">
      <c r="A45" s="17"/>
      <c r="B45" s="132"/>
      <c r="C45" s="132"/>
      <c r="D45" s="132"/>
      <c r="E45" s="132"/>
      <c r="F45" s="132"/>
      <c r="G45" s="25"/>
      <c r="H45" s="25"/>
      <c r="I45" s="25"/>
      <c r="J45" s="25"/>
      <c r="K45" s="25"/>
      <c r="L45" s="217"/>
    </row>
    <row r="46" spans="1:12" ht="12.75">
      <c r="A46" s="17"/>
      <c r="B46" s="132"/>
      <c r="C46" s="132"/>
      <c r="D46" s="132"/>
      <c r="E46" s="132"/>
      <c r="F46" s="132"/>
      <c r="G46" s="25"/>
      <c r="H46" s="25"/>
      <c r="I46" s="25"/>
      <c r="J46" s="25"/>
      <c r="K46" s="25"/>
      <c r="L46" s="217"/>
    </row>
    <row r="47" spans="1:12" ht="12.75">
      <c r="A47" s="17"/>
      <c r="B47" s="132"/>
      <c r="C47" s="132"/>
      <c r="D47" s="132"/>
      <c r="E47" s="132"/>
      <c r="F47" s="132"/>
      <c r="G47" s="25"/>
      <c r="H47" s="25"/>
      <c r="I47" s="25"/>
      <c r="J47" s="25"/>
      <c r="K47" s="25"/>
      <c r="L47" s="217"/>
    </row>
    <row r="48" spans="1:12" ht="12.75">
      <c r="A48" s="163"/>
      <c r="B48" s="25"/>
      <c r="C48" s="25"/>
      <c r="D48" s="25"/>
      <c r="E48" s="25"/>
      <c r="F48" s="25"/>
      <c r="G48" s="25"/>
      <c r="H48" s="25"/>
      <c r="I48" s="25"/>
      <c r="J48" s="25"/>
      <c r="K48" s="25"/>
      <c r="L48" s="217"/>
    </row>
    <row r="49" spans="1:12" ht="12.75">
      <c r="A49" s="163"/>
      <c r="B49" s="25"/>
      <c r="C49" s="25"/>
      <c r="D49" s="25"/>
      <c r="E49" s="25"/>
      <c r="F49" s="25"/>
      <c r="G49" s="25"/>
      <c r="H49" s="25"/>
      <c r="I49" s="25"/>
      <c r="J49" s="25"/>
      <c r="K49" s="25"/>
      <c r="L49" s="217"/>
    </row>
    <row r="50" spans="1:12" ht="12.75">
      <c r="A50" s="163"/>
      <c r="B50" s="25"/>
      <c r="C50" s="25"/>
      <c r="D50" s="25"/>
      <c r="E50" s="25"/>
      <c r="F50" s="25"/>
      <c r="G50" s="25"/>
      <c r="H50" s="25"/>
      <c r="I50" s="25"/>
      <c r="J50" s="25"/>
      <c r="K50" s="25"/>
      <c r="L50" s="217"/>
    </row>
    <row r="51" spans="1:12" ht="12.75">
      <c r="A51" s="163"/>
      <c r="B51" s="25"/>
      <c r="C51" s="25"/>
      <c r="D51" s="25"/>
      <c r="E51" s="25"/>
      <c r="F51" s="25"/>
      <c r="G51" s="25"/>
      <c r="H51" s="25"/>
      <c r="I51" s="25"/>
      <c r="J51" s="25"/>
      <c r="K51" s="25"/>
      <c r="L51" s="217"/>
    </row>
    <row r="52" spans="1:12" ht="12.75">
      <c r="A52" s="163"/>
      <c r="B52" s="25"/>
      <c r="C52" s="25"/>
      <c r="D52" s="25"/>
      <c r="E52" s="25"/>
      <c r="F52" s="25"/>
      <c r="G52" s="25"/>
      <c r="H52" s="25"/>
      <c r="I52" s="25"/>
      <c r="J52" s="25"/>
      <c r="K52" s="25"/>
      <c r="L52" s="217"/>
    </row>
    <row r="53" spans="1:12" ht="9" customHeight="1">
      <c r="A53" s="163"/>
      <c r="B53" s="25"/>
      <c r="C53" s="25"/>
      <c r="D53" s="25"/>
      <c r="E53" s="25"/>
      <c r="F53" s="25"/>
      <c r="G53" s="25"/>
      <c r="H53" s="25"/>
      <c r="I53" s="25"/>
      <c r="J53" s="25"/>
      <c r="K53" s="25"/>
      <c r="L53" s="217"/>
    </row>
    <row r="54" spans="1:12">
      <c r="A54" s="276" t="str">
        <f>"Gráfico N°26: Comparación de la energía interrumpida aproximada por tipo de equipo en "&amp;'1. Resumen'!Q4&amp;" "&amp;'1. Resumen'!Q5</f>
        <v>Gráfico N°26: Comparación de la energía interrumpida aproximada por tipo de equipo en diciembre 2019</v>
      </c>
      <c r="B54" s="25"/>
      <c r="C54" s="25"/>
      <c r="D54" s="25"/>
      <c r="E54" s="25"/>
      <c r="F54" s="25"/>
      <c r="G54" s="25"/>
      <c r="H54" s="25"/>
      <c r="I54" s="25"/>
      <c r="J54" s="25"/>
      <c r="K54" s="25"/>
      <c r="L54" s="217"/>
    </row>
    <row r="55" spans="1:12" ht="5.25" customHeight="1">
      <c r="B55" s="25"/>
      <c r="C55" s="25"/>
      <c r="D55" s="25"/>
      <c r="E55" s="25"/>
      <c r="F55" s="25"/>
      <c r="G55" s="25"/>
      <c r="H55" s="25"/>
      <c r="I55" s="25"/>
      <c r="J55" s="25"/>
      <c r="K55" s="25"/>
      <c r="L55" s="217"/>
    </row>
    <row r="56" spans="1:12" ht="24" customHeight="1">
      <c r="A56" s="943" t="s">
        <v>211</v>
      </c>
      <c r="B56" s="943"/>
      <c r="C56" s="943"/>
      <c r="D56" s="943"/>
      <c r="E56" s="943"/>
      <c r="F56" s="943"/>
      <c r="G56" s="943"/>
      <c r="H56" s="943"/>
      <c r="I56" s="943"/>
      <c r="J56" s="943"/>
      <c r="K56" s="25"/>
      <c r="L56" s="217"/>
    </row>
    <row r="57" spans="1:12" ht="11.25" customHeight="1">
      <c r="A57" s="933" t="s">
        <v>212</v>
      </c>
      <c r="B57" s="933"/>
      <c r="C57" s="933"/>
      <c r="D57" s="933"/>
      <c r="E57" s="933"/>
      <c r="F57" s="933"/>
      <c r="G57" s="933"/>
      <c r="H57" s="933"/>
      <c r="I57" s="933"/>
      <c r="J57" s="933"/>
      <c r="K57" s="25"/>
      <c r="L57" s="217"/>
    </row>
    <row r="58" spans="1:12" ht="12.75">
      <c r="A58" s="163"/>
      <c r="B58" s="25"/>
      <c r="C58" s="25"/>
      <c r="D58" s="25"/>
      <c r="E58" s="25"/>
      <c r="F58" s="25"/>
      <c r="G58" s="25"/>
      <c r="H58" s="25"/>
      <c r="I58" s="25"/>
      <c r="J58" s="25"/>
      <c r="K58" s="25"/>
      <c r="L58" s="217"/>
    </row>
    <row r="59" spans="1:12" ht="12.75">
      <c r="A59" s="163"/>
      <c r="B59" s="25"/>
      <c r="C59" s="25"/>
      <c r="D59" s="25"/>
      <c r="E59" s="25"/>
      <c r="F59" s="25"/>
      <c r="G59" s="25"/>
      <c r="H59" s="25"/>
      <c r="I59" s="25"/>
      <c r="J59" s="25"/>
      <c r="K59" s="25"/>
      <c r="L59" s="217"/>
    </row>
    <row r="60" spans="1:12" ht="12.75">
      <c r="A60" s="163"/>
      <c r="B60" s="25"/>
      <c r="C60" s="25"/>
      <c r="D60" s="25"/>
      <c r="E60" s="25"/>
      <c r="F60" s="25"/>
      <c r="G60" s="25"/>
      <c r="H60" s="25"/>
      <c r="I60" s="25"/>
      <c r="J60" s="25"/>
      <c r="K60" s="25"/>
      <c r="L60" s="217"/>
    </row>
    <row r="61" spans="1:12" ht="12.75">
      <c r="A61" s="163"/>
      <c r="B61" s="25"/>
      <c r="C61" s="25"/>
      <c r="D61" s="25"/>
      <c r="E61" s="25"/>
      <c r="F61" s="25"/>
      <c r="G61" s="25"/>
      <c r="H61" s="25"/>
      <c r="I61" s="25"/>
      <c r="J61" s="25"/>
      <c r="K61" s="25"/>
      <c r="L61" s="217"/>
    </row>
    <row r="62" spans="1:12" ht="12.75">
      <c r="A62" s="163"/>
      <c r="B62" s="25"/>
      <c r="C62" s="25"/>
      <c r="D62" s="25"/>
      <c r="E62" s="25"/>
      <c r="F62" s="25"/>
      <c r="G62" s="25"/>
      <c r="H62" s="25"/>
      <c r="I62" s="25"/>
      <c r="J62" s="25"/>
      <c r="K62" s="25"/>
      <c r="L62" s="217"/>
    </row>
    <row r="63" spans="1:12" ht="12.75">
      <c r="A63" s="163"/>
      <c r="B63" s="25"/>
      <c r="C63" s="25"/>
      <c r="D63" s="25"/>
      <c r="E63" s="25"/>
      <c r="F63" s="25"/>
      <c r="G63" s="25"/>
      <c r="H63" s="25"/>
      <c r="I63" s="25"/>
      <c r="J63" s="25"/>
      <c r="K63" s="25"/>
      <c r="L63" s="217"/>
    </row>
    <row r="64" spans="1:12" ht="12.75">
      <c r="A64" s="163"/>
      <c r="B64" s="25"/>
      <c r="C64" s="25"/>
      <c r="D64" s="25"/>
      <c r="E64" s="25"/>
      <c r="F64" s="25"/>
      <c r="G64" s="25"/>
      <c r="H64" s="25"/>
      <c r="I64" s="25"/>
      <c r="J64" s="25"/>
      <c r="K64" s="25"/>
      <c r="L64" s="217"/>
    </row>
    <row r="65" spans="1:12" ht="12.75">
      <c r="A65" s="163"/>
      <c r="B65" s="25"/>
      <c r="C65" s="25"/>
      <c r="D65" s="25"/>
      <c r="E65" s="25"/>
      <c r="F65" s="25"/>
      <c r="G65" s="25"/>
      <c r="H65" s="25"/>
      <c r="I65" s="25"/>
      <c r="J65" s="25"/>
      <c r="K65" s="25"/>
      <c r="L65" s="217"/>
    </row>
    <row r="66" spans="1:12" ht="12.75">
      <c r="A66" s="163"/>
      <c r="B66" s="25"/>
      <c r="C66" s="25"/>
      <c r="D66" s="25"/>
      <c r="E66" s="25"/>
      <c r="F66" s="25"/>
      <c r="G66" s="25"/>
      <c r="H66" s="25"/>
      <c r="I66" s="25"/>
      <c r="J66" s="25"/>
      <c r="K66" s="25"/>
      <c r="L66" s="217"/>
    </row>
    <row r="67" spans="1:12" ht="12.75">
      <c r="A67" s="163"/>
      <c r="B67" s="25"/>
      <c r="C67" s="25"/>
      <c r="D67" s="25"/>
      <c r="E67" s="25"/>
      <c r="F67" s="25"/>
      <c r="G67" s="25"/>
      <c r="H67" s="25"/>
      <c r="I67" s="25"/>
      <c r="J67" s="25"/>
      <c r="K67" s="25"/>
      <c r="L67" s="217"/>
    </row>
    <row r="68" spans="1:12" ht="12.75">
      <c r="A68" s="163"/>
      <c r="B68" s="25"/>
      <c r="J68" s="25"/>
      <c r="K68" s="25"/>
      <c r="L68" s="217"/>
    </row>
    <row r="69" spans="1:12" ht="12.75">
      <c r="A69" s="163"/>
      <c r="B69" s="25"/>
      <c r="J69" s="25"/>
      <c r="K69" s="25"/>
      <c r="L69" s="217"/>
    </row>
    <row r="70" spans="1:12" ht="12.75">
      <c r="A70" s="163"/>
      <c r="B70" s="25"/>
      <c r="J70" s="25"/>
      <c r="K70" s="25"/>
      <c r="L70" s="217"/>
    </row>
    <row r="71" spans="1:12" ht="12.75">
      <c r="A71" s="163"/>
      <c r="B71" s="25"/>
      <c r="J71" s="25"/>
      <c r="K71" s="25"/>
      <c r="L71" s="217"/>
    </row>
    <row r="72" spans="1:12">
      <c r="B72" s="217"/>
      <c r="C72" s="217"/>
      <c r="D72" s="217"/>
      <c r="E72" s="217"/>
      <c r="F72" s="217"/>
      <c r="G72" s="217"/>
      <c r="H72" s="217"/>
      <c r="I72" s="217"/>
      <c r="J72" s="217"/>
      <c r="K72" s="217"/>
      <c r="L72" s="217"/>
    </row>
    <row r="73" spans="1:12">
      <c r="B73" s="217"/>
      <c r="C73" s="217"/>
      <c r="D73" s="217"/>
      <c r="E73" s="217"/>
      <c r="F73" s="217"/>
      <c r="G73" s="217"/>
      <c r="H73" s="217"/>
      <c r="I73" s="217"/>
      <c r="J73" s="217"/>
      <c r="K73" s="217"/>
      <c r="L73" s="217"/>
    </row>
    <row r="74" spans="1:12">
      <c r="B74" s="217"/>
      <c r="C74" s="217"/>
      <c r="D74" s="217"/>
      <c r="E74" s="217"/>
      <c r="F74" s="217"/>
      <c r="G74" s="217"/>
      <c r="H74" s="217"/>
      <c r="I74" s="217"/>
      <c r="J74" s="217"/>
      <c r="K74" s="217"/>
      <c r="L74" s="217"/>
    </row>
    <row r="75" spans="1:12">
      <c r="B75" s="217"/>
      <c r="C75" s="217"/>
      <c r="D75" s="217"/>
      <c r="E75" s="217"/>
      <c r="F75" s="217"/>
      <c r="G75" s="217"/>
      <c r="H75" s="217"/>
      <c r="I75" s="217"/>
      <c r="J75" s="217"/>
      <c r="K75" s="217"/>
      <c r="L75" s="217"/>
    </row>
    <row r="76" spans="1:12">
      <c r="B76" s="217"/>
      <c r="C76" s="217"/>
      <c r="D76" s="217"/>
      <c r="E76" s="217"/>
      <c r="F76" s="217"/>
      <c r="G76" s="217"/>
      <c r="H76" s="217"/>
      <c r="I76" s="217"/>
      <c r="J76" s="217"/>
      <c r="K76" s="217"/>
      <c r="L76" s="217"/>
    </row>
    <row r="77" spans="1:12">
      <c r="B77" s="217"/>
      <c r="C77" s="217"/>
      <c r="D77" s="217"/>
      <c r="E77" s="217"/>
      <c r="F77" s="217"/>
      <c r="G77" s="217"/>
      <c r="H77" s="217"/>
      <c r="I77" s="217"/>
      <c r="J77" s="217"/>
      <c r="K77" s="217"/>
      <c r="L77" s="217"/>
    </row>
    <row r="78" spans="1:12">
      <c r="B78" s="217"/>
      <c r="C78" s="217"/>
      <c r="D78" s="217"/>
      <c r="E78" s="217"/>
      <c r="F78" s="217"/>
      <c r="G78" s="217"/>
      <c r="H78" s="217"/>
      <c r="I78" s="217"/>
      <c r="J78" s="217"/>
      <c r="K78" s="217"/>
      <c r="L78" s="217"/>
    </row>
    <row r="79" spans="1:12">
      <c r="B79" s="217"/>
      <c r="C79" s="217"/>
      <c r="D79" s="217"/>
      <c r="E79" s="217"/>
      <c r="F79" s="217"/>
      <c r="G79" s="217"/>
      <c r="H79" s="217"/>
      <c r="I79" s="217"/>
      <c r="J79" s="217"/>
      <c r="K79" s="217"/>
      <c r="L79" s="217"/>
    </row>
    <row r="80" spans="1:12">
      <c r="B80" s="217"/>
      <c r="C80" s="217"/>
      <c r="D80" s="217"/>
      <c r="E80" s="217"/>
      <c r="F80" s="217"/>
      <c r="G80" s="217"/>
      <c r="H80" s="217"/>
      <c r="I80" s="217"/>
      <c r="J80" s="217"/>
      <c r="K80" s="217"/>
      <c r="L80" s="217"/>
    </row>
    <row r="81" spans="2:12">
      <c r="B81" s="217"/>
      <c r="C81" s="217"/>
      <c r="D81" s="217"/>
      <c r="E81" s="217"/>
      <c r="F81" s="217"/>
      <c r="G81" s="217"/>
      <c r="H81" s="217"/>
      <c r="I81" s="217"/>
      <c r="J81" s="217"/>
      <c r="K81" s="217"/>
      <c r="L81" s="217"/>
    </row>
    <row r="82" spans="2:12">
      <c r="B82" s="217"/>
      <c r="C82" s="217"/>
      <c r="D82" s="217"/>
      <c r="E82" s="217"/>
      <c r="F82" s="217"/>
      <c r="G82" s="217"/>
      <c r="H82" s="217"/>
      <c r="I82" s="217"/>
      <c r="J82" s="217"/>
      <c r="K82" s="217"/>
      <c r="L82" s="217"/>
    </row>
    <row r="83" spans="2:12">
      <c r="B83" s="217"/>
      <c r="C83" s="217"/>
      <c r="D83" s="217"/>
      <c r="E83" s="217"/>
      <c r="F83" s="217"/>
      <c r="G83" s="217"/>
      <c r="H83" s="217"/>
      <c r="I83" s="217"/>
      <c r="J83" s="217"/>
      <c r="K83" s="217"/>
      <c r="L83" s="217"/>
    </row>
    <row r="84" spans="2:12">
      <c r="B84" s="217"/>
      <c r="C84" s="217"/>
      <c r="D84" s="217"/>
      <c r="E84" s="217"/>
      <c r="F84" s="217"/>
      <c r="G84" s="217"/>
      <c r="H84" s="217"/>
      <c r="I84" s="217"/>
      <c r="J84" s="217"/>
      <c r="K84" s="217"/>
      <c r="L84" s="217"/>
    </row>
    <row r="85" spans="2:12">
      <c r="B85" s="217"/>
      <c r="C85" s="217"/>
      <c r="D85" s="217"/>
      <c r="E85" s="217"/>
      <c r="F85" s="217"/>
      <c r="G85" s="217"/>
      <c r="H85" s="217"/>
      <c r="I85" s="217"/>
      <c r="J85" s="217"/>
      <c r="K85" s="217"/>
      <c r="L85" s="217"/>
    </row>
    <row r="86" spans="2:12">
      <c r="B86" s="217"/>
      <c r="C86" s="217"/>
      <c r="D86" s="217"/>
      <c r="E86" s="217"/>
      <c r="F86" s="217"/>
      <c r="G86" s="217"/>
      <c r="H86" s="217"/>
      <c r="I86" s="217"/>
      <c r="J86" s="217"/>
      <c r="K86" s="217"/>
      <c r="L86" s="217"/>
    </row>
    <row r="87" spans="2:12">
      <c r="B87" s="217"/>
      <c r="C87" s="217"/>
      <c r="D87" s="217"/>
      <c r="E87" s="217"/>
      <c r="F87" s="217"/>
      <c r="G87" s="217"/>
      <c r="H87" s="217"/>
      <c r="I87" s="217"/>
      <c r="J87" s="217"/>
      <c r="K87" s="217"/>
      <c r="L87" s="217"/>
    </row>
    <row r="88" spans="2:12">
      <c r="B88" s="217"/>
      <c r="C88" s="217"/>
      <c r="D88" s="217"/>
      <c r="E88" s="217"/>
      <c r="F88" s="217"/>
      <c r="G88" s="217"/>
      <c r="H88" s="217"/>
      <c r="I88" s="217"/>
      <c r="J88" s="217"/>
      <c r="K88" s="217"/>
      <c r="L88" s="217"/>
    </row>
    <row r="89" spans="2:12">
      <c r="B89" s="217"/>
      <c r="C89" s="217"/>
      <c r="D89" s="217"/>
      <c r="E89" s="217"/>
      <c r="F89" s="217"/>
      <c r="G89" s="217"/>
      <c r="H89" s="217"/>
      <c r="I89" s="217"/>
      <c r="J89" s="217"/>
      <c r="K89" s="217"/>
      <c r="L89" s="217"/>
    </row>
    <row r="90" spans="2:12">
      <c r="B90" s="217"/>
      <c r="C90" s="217"/>
      <c r="D90" s="217"/>
      <c r="E90" s="217"/>
      <c r="F90" s="217"/>
      <c r="G90" s="217"/>
      <c r="H90" s="217"/>
      <c r="I90" s="217"/>
      <c r="J90" s="217"/>
      <c r="K90" s="217"/>
      <c r="L90" s="217"/>
    </row>
    <row r="91" spans="2:12">
      <c r="B91" s="217"/>
      <c r="C91" s="217"/>
      <c r="D91" s="217"/>
      <c r="E91" s="217"/>
      <c r="F91" s="217"/>
      <c r="G91" s="217"/>
      <c r="H91" s="217"/>
      <c r="I91" s="217"/>
      <c r="J91" s="217"/>
      <c r="K91" s="217"/>
      <c r="L91" s="217"/>
    </row>
    <row r="92" spans="2:12">
      <c r="B92" s="217"/>
      <c r="C92" s="217"/>
      <c r="D92" s="217"/>
      <c r="E92" s="217"/>
      <c r="F92" s="217"/>
      <c r="G92" s="217"/>
      <c r="H92" s="217"/>
      <c r="I92" s="217"/>
      <c r="J92" s="217"/>
      <c r="K92" s="217"/>
      <c r="L92" s="217"/>
    </row>
    <row r="93" spans="2:12">
      <c r="B93" s="217"/>
      <c r="C93" s="217"/>
      <c r="D93" s="217"/>
      <c r="E93" s="217"/>
      <c r="F93" s="217"/>
      <c r="G93" s="217"/>
      <c r="H93" s="217"/>
      <c r="I93" s="217"/>
      <c r="J93" s="217"/>
      <c r="K93" s="217"/>
      <c r="L93" s="217"/>
    </row>
    <row r="94" spans="2:12">
      <c r="B94" s="217"/>
      <c r="C94" s="217"/>
      <c r="D94" s="217"/>
      <c r="E94" s="217"/>
      <c r="F94" s="217"/>
      <c r="G94" s="217"/>
      <c r="H94" s="217"/>
      <c r="I94" s="217"/>
      <c r="J94" s="217"/>
      <c r="K94" s="217"/>
      <c r="L94" s="217"/>
    </row>
    <row r="95" spans="2:12">
      <c r="B95" s="217"/>
      <c r="C95" s="217"/>
      <c r="D95" s="217"/>
      <c r="E95" s="217"/>
      <c r="F95" s="217"/>
      <c r="G95" s="217"/>
      <c r="H95" s="217"/>
      <c r="I95" s="217"/>
      <c r="J95" s="217"/>
      <c r="K95" s="217"/>
      <c r="L95" s="217"/>
    </row>
    <row r="96" spans="2:12">
      <c r="B96" s="217"/>
      <c r="C96" s="217"/>
      <c r="D96" s="217"/>
      <c r="E96" s="217"/>
      <c r="F96" s="217"/>
      <c r="G96" s="217"/>
      <c r="H96" s="217"/>
      <c r="I96" s="217"/>
      <c r="J96" s="217"/>
      <c r="K96" s="217"/>
      <c r="L96" s="217"/>
    </row>
    <row r="97" spans="2:12">
      <c r="B97" s="217"/>
      <c r="C97" s="217"/>
      <c r="D97" s="217"/>
      <c r="E97" s="217"/>
      <c r="F97" s="217"/>
      <c r="G97" s="217"/>
      <c r="H97" s="217"/>
      <c r="I97" s="217"/>
      <c r="J97" s="217"/>
      <c r="K97" s="217"/>
      <c r="L97" s="217"/>
    </row>
    <row r="98" spans="2:12">
      <c r="B98" s="217"/>
      <c r="C98" s="217"/>
      <c r="D98" s="217"/>
      <c r="E98" s="217"/>
      <c r="F98" s="217"/>
      <c r="G98" s="217"/>
      <c r="H98" s="217"/>
      <c r="I98" s="217"/>
      <c r="J98" s="217"/>
      <c r="K98" s="217"/>
      <c r="L98" s="217"/>
    </row>
    <row r="99" spans="2:12">
      <c r="B99" s="217"/>
      <c r="C99" s="217"/>
      <c r="D99" s="217"/>
      <c r="E99" s="217"/>
      <c r="F99" s="217"/>
      <c r="G99" s="217"/>
      <c r="H99" s="217"/>
      <c r="I99" s="217"/>
      <c r="J99" s="217"/>
      <c r="K99" s="217"/>
      <c r="L99" s="217"/>
    </row>
    <row r="100" spans="2:12">
      <c r="B100" s="217"/>
      <c r="C100" s="217"/>
      <c r="D100" s="217"/>
      <c r="E100" s="217"/>
      <c r="F100" s="217"/>
      <c r="G100" s="217"/>
      <c r="H100" s="217"/>
      <c r="I100" s="217"/>
      <c r="J100" s="217"/>
      <c r="K100" s="217"/>
      <c r="L100" s="217"/>
    </row>
    <row r="101" spans="2:12">
      <c r="B101" s="217"/>
      <c r="C101" s="217"/>
      <c r="D101" s="217"/>
      <c r="E101" s="217"/>
      <c r="F101" s="217"/>
      <c r="G101" s="217"/>
      <c r="H101" s="217"/>
      <c r="I101" s="217"/>
      <c r="J101" s="217"/>
      <c r="K101" s="217"/>
      <c r="L101" s="217"/>
    </row>
    <row r="102" spans="2:12">
      <c r="B102" s="217"/>
      <c r="C102" s="217"/>
      <c r="D102" s="217"/>
      <c r="E102" s="217"/>
      <c r="F102" s="217"/>
      <c r="G102" s="217"/>
      <c r="H102" s="217"/>
      <c r="I102" s="217"/>
      <c r="J102" s="217"/>
      <c r="K102" s="217"/>
      <c r="L102" s="217"/>
    </row>
    <row r="103" spans="2:12">
      <c r="B103" s="217"/>
      <c r="C103" s="217"/>
      <c r="D103" s="217"/>
      <c r="E103" s="217"/>
      <c r="F103" s="217"/>
      <c r="G103" s="217"/>
      <c r="H103" s="217"/>
      <c r="I103" s="217"/>
      <c r="J103" s="217"/>
      <c r="K103" s="217"/>
      <c r="L103" s="217"/>
    </row>
    <row r="104" spans="2:12">
      <c r="B104" s="217"/>
      <c r="C104" s="217"/>
      <c r="D104" s="217"/>
      <c r="E104" s="217"/>
      <c r="F104" s="217"/>
      <c r="G104" s="217"/>
      <c r="H104" s="217"/>
      <c r="I104" s="217"/>
      <c r="J104" s="217"/>
      <c r="K104" s="217"/>
      <c r="L104" s="217"/>
    </row>
    <row r="105" spans="2:12">
      <c r="B105" s="217"/>
      <c r="C105" s="217"/>
      <c r="D105" s="217"/>
      <c r="E105" s="217"/>
      <c r="F105" s="217"/>
      <c r="G105" s="217"/>
      <c r="H105" s="217"/>
      <c r="I105" s="217"/>
      <c r="J105" s="217"/>
      <c r="K105" s="217"/>
      <c r="L105" s="217"/>
    </row>
    <row r="106" spans="2:12">
      <c r="B106" s="217"/>
      <c r="C106" s="217"/>
      <c r="D106" s="217"/>
      <c r="E106" s="217"/>
      <c r="F106" s="217"/>
      <c r="G106" s="217"/>
      <c r="H106" s="217"/>
      <c r="I106" s="217"/>
      <c r="J106" s="217"/>
      <c r="K106" s="217"/>
      <c r="L106" s="217"/>
    </row>
    <row r="107" spans="2:12">
      <c r="B107" s="217"/>
      <c r="C107" s="217"/>
      <c r="D107" s="217"/>
      <c r="E107" s="217"/>
      <c r="F107" s="217"/>
      <c r="G107" s="217"/>
      <c r="H107" s="217"/>
      <c r="I107" s="217"/>
      <c r="J107" s="217"/>
      <c r="K107" s="217"/>
      <c r="L107" s="217"/>
    </row>
    <row r="108" spans="2:12">
      <c r="B108" s="217"/>
      <c r="C108" s="217"/>
      <c r="D108" s="217"/>
      <c r="E108" s="217"/>
      <c r="F108" s="217"/>
      <c r="G108" s="217"/>
      <c r="H108" s="217"/>
      <c r="I108" s="217"/>
      <c r="J108" s="217"/>
      <c r="K108" s="217"/>
      <c r="L108" s="217"/>
    </row>
    <row r="109" spans="2:12">
      <c r="B109" s="217"/>
      <c r="C109" s="217"/>
      <c r="D109" s="217"/>
      <c r="E109" s="217"/>
      <c r="F109" s="217"/>
      <c r="G109" s="217"/>
      <c r="H109" s="217"/>
      <c r="I109" s="217"/>
      <c r="J109" s="217"/>
      <c r="K109" s="217"/>
      <c r="L109" s="217"/>
    </row>
    <row r="110" spans="2:12">
      <c r="B110" s="217"/>
      <c r="C110" s="217"/>
      <c r="D110" s="217"/>
      <c r="E110" s="217"/>
      <c r="F110" s="217"/>
      <c r="G110" s="217"/>
      <c r="H110" s="217"/>
      <c r="I110" s="217"/>
      <c r="J110" s="217"/>
      <c r="K110" s="217"/>
      <c r="L110" s="217"/>
    </row>
    <row r="111" spans="2:12">
      <c r="B111" s="217"/>
      <c r="C111" s="217"/>
      <c r="D111" s="217"/>
      <c r="E111" s="217"/>
      <c r="F111" s="217"/>
      <c r="G111" s="217"/>
      <c r="H111" s="217"/>
      <c r="I111" s="217"/>
      <c r="J111" s="217"/>
      <c r="K111" s="217"/>
      <c r="L111" s="217"/>
    </row>
    <row r="112" spans="2:12">
      <c r="B112" s="217"/>
      <c r="C112" s="217"/>
      <c r="D112" s="217"/>
      <c r="E112" s="217"/>
      <c r="F112" s="217"/>
      <c r="G112" s="217"/>
      <c r="H112" s="217"/>
      <c r="I112" s="217"/>
      <c r="J112" s="217"/>
      <c r="K112" s="217"/>
      <c r="L112" s="217"/>
    </row>
    <row r="113" spans="2:12">
      <c r="B113" s="217"/>
      <c r="C113" s="217"/>
      <c r="D113" s="217"/>
      <c r="E113" s="217"/>
      <c r="F113" s="217"/>
      <c r="G113" s="217"/>
      <c r="H113" s="217"/>
      <c r="I113" s="217"/>
      <c r="J113" s="217"/>
      <c r="K113" s="217"/>
      <c r="L113" s="217"/>
    </row>
    <row r="114" spans="2:12">
      <c r="B114" s="217"/>
      <c r="C114" s="217"/>
      <c r="D114" s="217"/>
      <c r="E114" s="217"/>
      <c r="F114" s="217"/>
      <c r="G114" s="217"/>
      <c r="H114" s="217"/>
      <c r="I114" s="217"/>
      <c r="J114" s="217"/>
      <c r="K114" s="217"/>
      <c r="L114" s="217"/>
    </row>
    <row r="115" spans="2:12">
      <c r="B115" s="217"/>
      <c r="C115" s="217"/>
      <c r="D115" s="217"/>
      <c r="E115" s="217"/>
      <c r="F115" s="217"/>
      <c r="G115" s="217"/>
      <c r="H115" s="217"/>
      <c r="I115" s="217"/>
      <c r="J115" s="217"/>
      <c r="K115" s="217"/>
      <c r="L115" s="217"/>
    </row>
    <row r="116" spans="2:12">
      <c r="B116" s="217"/>
      <c r="C116" s="217"/>
      <c r="D116" s="217"/>
      <c r="E116" s="217"/>
      <c r="F116" s="217"/>
      <c r="G116" s="217"/>
      <c r="H116" s="217"/>
      <c r="I116" s="217"/>
      <c r="J116" s="217"/>
      <c r="K116" s="217"/>
      <c r="L116" s="217"/>
    </row>
    <row r="117" spans="2:12">
      <c r="B117" s="217"/>
      <c r="C117" s="217"/>
      <c r="D117" s="217"/>
      <c r="E117" s="217"/>
      <c r="F117" s="217"/>
      <c r="G117" s="217"/>
      <c r="H117" s="217"/>
      <c r="I117" s="217"/>
      <c r="J117" s="217"/>
      <c r="K117" s="217"/>
      <c r="L117" s="217"/>
    </row>
    <row r="118" spans="2:12">
      <c r="B118" s="217"/>
      <c r="C118" s="217"/>
      <c r="D118" s="217"/>
      <c r="E118" s="217"/>
      <c r="F118" s="217"/>
      <c r="G118" s="217"/>
      <c r="H118" s="217"/>
      <c r="I118" s="217"/>
      <c r="J118" s="217"/>
      <c r="K118" s="217"/>
      <c r="L118" s="217"/>
    </row>
    <row r="119" spans="2:12">
      <c r="B119" s="217"/>
      <c r="C119" s="217"/>
      <c r="D119" s="217"/>
      <c r="E119" s="217"/>
      <c r="F119" s="217"/>
      <c r="G119" s="217"/>
      <c r="H119" s="217"/>
      <c r="I119" s="217"/>
      <c r="J119" s="217"/>
      <c r="K119" s="217"/>
      <c r="L119" s="217"/>
    </row>
    <row r="120" spans="2:12">
      <c r="B120" s="217"/>
      <c r="C120" s="217"/>
      <c r="D120" s="217"/>
      <c r="E120" s="217"/>
      <c r="F120" s="217"/>
      <c r="G120" s="217"/>
      <c r="H120" s="217"/>
      <c r="I120" s="217"/>
      <c r="J120" s="217"/>
      <c r="K120" s="217"/>
      <c r="L120" s="217"/>
    </row>
    <row r="121" spans="2:12">
      <c r="B121" s="217"/>
      <c r="C121" s="217"/>
      <c r="D121" s="217"/>
      <c r="E121" s="217"/>
      <c r="F121" s="217"/>
      <c r="G121" s="217"/>
      <c r="H121" s="217"/>
      <c r="I121" s="217"/>
      <c r="J121" s="217"/>
      <c r="K121" s="217"/>
      <c r="L121" s="217"/>
    </row>
    <row r="122" spans="2:12">
      <c r="B122" s="217"/>
      <c r="C122" s="217"/>
      <c r="D122" s="217"/>
      <c r="E122" s="217"/>
      <c r="F122" s="217"/>
      <c r="G122" s="217"/>
      <c r="H122" s="217"/>
      <c r="I122" s="217"/>
      <c r="J122" s="217"/>
      <c r="K122" s="217"/>
      <c r="L122" s="217"/>
    </row>
    <row r="123" spans="2:12">
      <c r="B123" s="217"/>
      <c r="C123" s="217"/>
      <c r="D123" s="217"/>
      <c r="E123" s="217"/>
      <c r="F123" s="217"/>
      <c r="G123" s="217"/>
      <c r="H123" s="217"/>
      <c r="I123" s="217"/>
      <c r="J123" s="217"/>
      <c r="K123" s="217"/>
      <c r="L123" s="217"/>
    </row>
    <row r="124" spans="2:12">
      <c r="B124" s="217"/>
      <c r="C124" s="217"/>
      <c r="D124" s="217"/>
      <c r="E124" s="217"/>
      <c r="F124" s="217"/>
      <c r="G124" s="217"/>
      <c r="H124" s="217"/>
      <c r="I124" s="217"/>
      <c r="J124" s="217"/>
      <c r="K124" s="217"/>
      <c r="L124" s="217"/>
    </row>
    <row r="125" spans="2:12">
      <c r="B125" s="217"/>
      <c r="C125" s="217"/>
      <c r="D125" s="217"/>
      <c r="E125" s="217"/>
      <c r="F125" s="217"/>
      <c r="G125" s="217"/>
      <c r="H125" s="217"/>
      <c r="I125" s="217"/>
      <c r="J125" s="217"/>
      <c r="K125" s="217"/>
      <c r="L125" s="217"/>
    </row>
    <row r="126" spans="2:12">
      <c r="B126" s="217"/>
      <c r="C126" s="217"/>
      <c r="D126" s="217"/>
      <c r="E126" s="217"/>
      <c r="F126" s="217"/>
      <c r="G126" s="217"/>
      <c r="H126" s="217"/>
      <c r="I126" s="217"/>
      <c r="J126" s="217"/>
      <c r="K126" s="217"/>
      <c r="L126" s="217"/>
    </row>
    <row r="127" spans="2:12">
      <c r="B127" s="217"/>
      <c r="C127" s="217"/>
      <c r="D127" s="217"/>
      <c r="E127" s="217"/>
      <c r="F127" s="217"/>
      <c r="G127" s="217"/>
      <c r="H127" s="217"/>
      <c r="I127" s="217"/>
      <c r="J127" s="217"/>
      <c r="K127" s="217"/>
      <c r="L127" s="217"/>
    </row>
    <row r="128" spans="2:12">
      <c r="B128" s="217"/>
      <c r="C128" s="217"/>
      <c r="D128" s="217"/>
      <c r="E128" s="217"/>
      <c r="F128" s="217"/>
      <c r="G128" s="217"/>
      <c r="H128" s="217"/>
      <c r="I128" s="217"/>
      <c r="J128" s="217"/>
      <c r="K128" s="217"/>
      <c r="L128" s="217"/>
    </row>
    <row r="129" spans="2:12">
      <c r="B129" s="217"/>
      <c r="C129" s="217"/>
      <c r="D129" s="217"/>
      <c r="E129" s="217"/>
      <c r="F129" s="217"/>
      <c r="G129" s="217"/>
      <c r="H129" s="217"/>
      <c r="I129" s="217"/>
      <c r="J129" s="217"/>
      <c r="K129" s="217"/>
      <c r="L129" s="217"/>
    </row>
    <row r="130" spans="2:12">
      <c r="B130" s="217"/>
      <c r="C130" s="217"/>
      <c r="D130" s="217"/>
      <c r="E130" s="217"/>
      <c r="F130" s="217"/>
      <c r="G130" s="217"/>
      <c r="H130" s="217"/>
      <c r="I130" s="217"/>
      <c r="J130" s="217"/>
      <c r="K130" s="217"/>
      <c r="L130" s="217"/>
    </row>
    <row r="131" spans="2:12">
      <c r="B131" s="217"/>
      <c r="C131" s="217"/>
      <c r="D131" s="217"/>
      <c r="E131" s="217"/>
      <c r="F131" s="217"/>
      <c r="G131" s="217"/>
      <c r="H131" s="217"/>
      <c r="I131" s="217"/>
      <c r="J131" s="217"/>
      <c r="K131" s="217"/>
      <c r="L131" s="217"/>
    </row>
    <row r="132" spans="2:12">
      <c r="B132" s="217"/>
      <c r="C132" s="217"/>
      <c r="D132" s="217"/>
      <c r="E132" s="217"/>
      <c r="F132" s="217"/>
      <c r="G132" s="217"/>
      <c r="H132" s="217"/>
      <c r="I132" s="217"/>
      <c r="J132" s="217"/>
      <c r="K132" s="217"/>
      <c r="L132" s="217"/>
    </row>
    <row r="133" spans="2:12">
      <c r="B133" s="217"/>
      <c r="C133" s="217"/>
      <c r="D133" s="217"/>
      <c r="E133" s="217"/>
      <c r="F133" s="217"/>
      <c r="G133" s="217"/>
      <c r="H133" s="217"/>
      <c r="I133" s="217"/>
      <c r="J133" s="217"/>
      <c r="K133" s="217"/>
      <c r="L133" s="217"/>
    </row>
    <row r="134" spans="2:12">
      <c r="B134" s="217"/>
      <c r="C134" s="217"/>
      <c r="D134" s="217"/>
      <c r="E134" s="217"/>
      <c r="F134" s="217"/>
      <c r="G134" s="217"/>
      <c r="H134" s="217"/>
      <c r="I134" s="217"/>
      <c r="J134" s="217"/>
      <c r="K134" s="217"/>
      <c r="L134" s="217"/>
    </row>
    <row r="135" spans="2:12">
      <c r="B135" s="217"/>
      <c r="C135" s="217"/>
      <c r="D135" s="217"/>
      <c r="E135" s="217"/>
      <c r="F135" s="217"/>
      <c r="G135" s="217"/>
      <c r="H135" s="217"/>
      <c r="I135" s="217"/>
      <c r="J135" s="217"/>
      <c r="K135" s="217"/>
      <c r="L135" s="217"/>
    </row>
    <row r="136" spans="2:12">
      <c r="B136" s="217"/>
      <c r="C136" s="217"/>
      <c r="D136" s="217"/>
      <c r="E136" s="217"/>
      <c r="F136" s="217"/>
      <c r="G136" s="217"/>
      <c r="H136" s="217"/>
      <c r="I136" s="217"/>
      <c r="J136" s="217"/>
      <c r="K136" s="217"/>
      <c r="L136" s="217"/>
    </row>
    <row r="137" spans="2:12">
      <c r="B137" s="217"/>
      <c r="C137" s="217"/>
      <c r="D137" s="217"/>
      <c r="E137" s="217"/>
      <c r="F137" s="217"/>
      <c r="G137" s="217"/>
      <c r="H137" s="217"/>
      <c r="I137" s="217"/>
      <c r="J137" s="217"/>
      <c r="K137" s="217"/>
      <c r="L137" s="217"/>
    </row>
    <row r="138" spans="2:12">
      <c r="B138" s="217"/>
      <c r="C138" s="217"/>
      <c r="D138" s="217"/>
      <c r="E138" s="217"/>
      <c r="F138" s="217"/>
      <c r="G138" s="217"/>
      <c r="H138" s="217"/>
      <c r="I138" s="217"/>
      <c r="J138" s="217"/>
      <c r="K138" s="217"/>
      <c r="L138" s="217"/>
    </row>
    <row r="139" spans="2:12">
      <c r="B139" s="217"/>
      <c r="C139" s="217"/>
      <c r="D139" s="217"/>
      <c r="E139" s="217"/>
      <c r="F139" s="217"/>
      <c r="G139" s="217"/>
      <c r="H139" s="217"/>
      <c r="I139" s="217"/>
      <c r="J139" s="217"/>
      <c r="K139" s="217"/>
      <c r="L139" s="217"/>
    </row>
    <row r="140" spans="2:12">
      <c r="B140" s="217"/>
      <c r="C140" s="217"/>
      <c r="D140" s="217"/>
      <c r="E140" s="217"/>
      <c r="F140" s="217"/>
      <c r="G140" s="217"/>
      <c r="H140" s="217"/>
      <c r="I140" s="217"/>
      <c r="J140" s="217"/>
      <c r="K140" s="217"/>
      <c r="L140" s="217"/>
    </row>
    <row r="141" spans="2:12">
      <c r="B141" s="217"/>
      <c r="C141" s="217"/>
      <c r="D141" s="217"/>
      <c r="E141" s="217"/>
      <c r="F141" s="217"/>
      <c r="G141" s="217"/>
      <c r="H141" s="217"/>
      <c r="I141" s="217"/>
      <c r="J141" s="217"/>
      <c r="K141" s="217"/>
      <c r="L141" s="217"/>
    </row>
    <row r="142" spans="2:12">
      <c r="B142" s="217"/>
      <c r="C142" s="217"/>
      <c r="D142" s="217"/>
      <c r="E142" s="217"/>
      <c r="F142" s="217"/>
      <c r="G142" s="217"/>
      <c r="H142" s="217"/>
      <c r="I142" s="217"/>
      <c r="J142" s="217"/>
      <c r="K142" s="217"/>
      <c r="L142" s="217"/>
    </row>
    <row r="143" spans="2:12">
      <c r="B143" s="217"/>
      <c r="C143" s="217"/>
      <c r="D143" s="217"/>
      <c r="E143" s="217"/>
      <c r="F143" s="217"/>
      <c r="G143" s="217"/>
      <c r="H143" s="217"/>
      <c r="I143" s="217"/>
      <c r="J143" s="217"/>
      <c r="K143" s="217"/>
      <c r="L143" s="217"/>
    </row>
    <row r="144" spans="2:12">
      <c r="B144" s="217"/>
      <c r="C144" s="217"/>
      <c r="D144" s="217"/>
      <c r="E144" s="217"/>
      <c r="F144" s="217"/>
      <c r="G144" s="217"/>
      <c r="H144" s="217"/>
      <c r="I144" s="217"/>
      <c r="J144" s="217"/>
      <c r="K144" s="217"/>
      <c r="L144" s="217"/>
    </row>
    <row r="145" spans="2:12">
      <c r="B145" s="217"/>
      <c r="C145" s="217"/>
      <c r="D145" s="217"/>
      <c r="E145" s="217"/>
      <c r="F145" s="217"/>
      <c r="G145" s="217"/>
      <c r="H145" s="217"/>
      <c r="I145" s="217"/>
      <c r="J145" s="217"/>
      <c r="K145" s="217"/>
      <c r="L145" s="217"/>
    </row>
    <row r="146" spans="2:12">
      <c r="B146" s="217"/>
      <c r="C146" s="217"/>
      <c r="D146" s="217"/>
      <c r="E146" s="217"/>
      <c r="F146" s="217"/>
      <c r="G146" s="217"/>
      <c r="H146" s="217"/>
      <c r="I146" s="217"/>
      <c r="J146" s="217"/>
      <c r="K146" s="217"/>
      <c r="L146" s="217"/>
    </row>
    <row r="147" spans="2:12">
      <c r="B147" s="217"/>
      <c r="C147" s="217"/>
      <c r="D147" s="217"/>
      <c r="E147" s="217"/>
      <c r="F147" s="217"/>
      <c r="G147" s="217"/>
      <c r="H147" s="217"/>
      <c r="I147" s="217"/>
      <c r="J147" s="217"/>
      <c r="K147" s="217"/>
      <c r="L147" s="217"/>
    </row>
    <row r="148" spans="2:12">
      <c r="B148" s="217"/>
      <c r="C148" s="217"/>
      <c r="D148" s="217"/>
      <c r="E148" s="217"/>
      <c r="F148" s="217"/>
      <c r="G148" s="217"/>
      <c r="H148" s="217"/>
      <c r="I148" s="217"/>
      <c r="J148" s="217"/>
      <c r="K148" s="217"/>
      <c r="L148" s="217"/>
    </row>
    <row r="149" spans="2:12">
      <c r="B149" s="217"/>
      <c r="C149" s="217"/>
      <c r="D149" s="217"/>
      <c r="E149" s="217"/>
      <c r="F149" s="217"/>
      <c r="G149" s="217"/>
      <c r="H149" s="217"/>
      <c r="I149" s="217"/>
      <c r="J149" s="217"/>
      <c r="K149" s="217"/>
      <c r="L149" s="217"/>
    </row>
    <row r="150" spans="2:12">
      <c r="B150" s="217"/>
      <c r="C150" s="217"/>
      <c r="D150" s="217"/>
      <c r="E150" s="217"/>
      <c r="F150" s="217"/>
      <c r="G150" s="217"/>
      <c r="H150" s="217"/>
      <c r="I150" s="217"/>
      <c r="J150" s="217"/>
      <c r="K150" s="217"/>
      <c r="L150" s="217"/>
    </row>
    <row r="151" spans="2:12">
      <c r="B151" s="217"/>
      <c r="C151" s="217"/>
      <c r="D151" s="217"/>
      <c r="E151" s="217"/>
      <c r="F151" s="217"/>
      <c r="G151" s="217"/>
      <c r="H151" s="217"/>
      <c r="I151" s="217"/>
      <c r="J151" s="217"/>
      <c r="K151" s="217"/>
      <c r="L151" s="217"/>
    </row>
    <row r="152" spans="2:12">
      <c r="B152" s="217"/>
      <c r="C152" s="217"/>
      <c r="D152" s="217"/>
      <c r="E152" s="217"/>
      <c r="F152" s="217"/>
      <c r="G152" s="217"/>
      <c r="H152" s="217"/>
      <c r="I152" s="217"/>
      <c r="J152" s="217"/>
      <c r="K152" s="217"/>
      <c r="L152" s="217"/>
    </row>
    <row r="153" spans="2:12">
      <c r="B153" s="217"/>
      <c r="C153" s="217"/>
      <c r="D153" s="217"/>
      <c r="E153" s="217"/>
      <c r="F153" s="217"/>
      <c r="G153" s="217"/>
      <c r="H153" s="217"/>
      <c r="I153" s="217"/>
      <c r="J153" s="217"/>
      <c r="K153" s="217"/>
      <c r="L153" s="217"/>
    </row>
    <row r="154" spans="2:12">
      <c r="B154" s="217"/>
      <c r="C154" s="217"/>
      <c r="D154" s="217"/>
      <c r="E154" s="217"/>
      <c r="F154" s="217"/>
      <c r="G154" s="217"/>
      <c r="H154" s="217"/>
      <c r="I154" s="217"/>
      <c r="J154" s="217"/>
      <c r="K154" s="217"/>
      <c r="L154" s="217"/>
    </row>
    <row r="155" spans="2:12">
      <c r="B155" s="217"/>
      <c r="C155" s="217"/>
      <c r="D155" s="217"/>
      <c r="E155" s="217"/>
      <c r="F155" s="217"/>
      <c r="G155" s="217"/>
      <c r="H155" s="217"/>
      <c r="I155" s="217"/>
      <c r="J155" s="217"/>
      <c r="K155" s="217"/>
      <c r="L155" s="217"/>
    </row>
    <row r="156" spans="2:12">
      <c r="B156" s="217"/>
      <c r="C156" s="217"/>
      <c r="D156" s="217"/>
      <c r="E156" s="217"/>
      <c r="F156" s="217"/>
      <c r="G156" s="217"/>
      <c r="H156" s="217"/>
      <c r="I156" s="217"/>
      <c r="J156" s="217"/>
      <c r="K156" s="217"/>
      <c r="L156" s="217"/>
    </row>
    <row r="157" spans="2:12">
      <c r="B157" s="217"/>
      <c r="C157" s="217"/>
      <c r="D157" s="217"/>
      <c r="E157" s="217"/>
      <c r="F157" s="217"/>
      <c r="G157" s="217"/>
      <c r="H157" s="217"/>
      <c r="I157" s="217"/>
      <c r="J157" s="217"/>
      <c r="K157" s="217"/>
      <c r="L157" s="217"/>
    </row>
    <row r="158" spans="2:12">
      <c r="B158" s="217"/>
      <c r="C158" s="217"/>
      <c r="D158" s="217"/>
      <c r="E158" s="217"/>
      <c r="F158" s="217"/>
      <c r="G158" s="217"/>
      <c r="H158" s="217"/>
      <c r="I158" s="217"/>
      <c r="J158" s="217"/>
      <c r="K158" s="217"/>
      <c r="L158" s="217"/>
    </row>
    <row r="159" spans="2:12">
      <c r="B159" s="217"/>
      <c r="C159" s="217"/>
      <c r="D159" s="217"/>
      <c r="E159" s="217"/>
      <c r="F159" s="217"/>
      <c r="G159" s="217"/>
      <c r="H159" s="217"/>
      <c r="I159" s="217"/>
      <c r="J159" s="217"/>
      <c r="K159" s="217"/>
      <c r="L159" s="217"/>
    </row>
    <row r="160" spans="2:12">
      <c r="B160" s="217"/>
      <c r="C160" s="217"/>
      <c r="D160" s="217"/>
      <c r="E160" s="217"/>
      <c r="F160" s="217"/>
      <c r="G160" s="217"/>
      <c r="H160" s="217"/>
      <c r="I160" s="217"/>
      <c r="J160" s="217"/>
      <c r="K160" s="217"/>
      <c r="L160" s="217"/>
    </row>
    <row r="161" spans="2:12">
      <c r="B161" s="217"/>
      <c r="C161" s="217"/>
      <c r="D161" s="217"/>
      <c r="E161" s="217"/>
      <c r="F161" s="217"/>
      <c r="G161" s="217"/>
      <c r="H161" s="217"/>
      <c r="I161" s="217"/>
      <c r="J161" s="217"/>
      <c r="K161" s="217"/>
      <c r="L161" s="217"/>
    </row>
    <row r="162" spans="2:12">
      <c r="B162" s="217"/>
      <c r="C162" s="217"/>
      <c r="D162" s="217"/>
      <c r="E162" s="217"/>
      <c r="F162" s="217"/>
      <c r="G162" s="217"/>
      <c r="H162" s="217"/>
      <c r="I162" s="217"/>
      <c r="J162" s="217"/>
      <c r="K162" s="217"/>
      <c r="L162" s="217"/>
    </row>
    <row r="163" spans="2:12">
      <c r="B163" s="217"/>
      <c r="C163" s="217"/>
      <c r="D163" s="217"/>
      <c r="E163" s="217"/>
      <c r="F163" s="217"/>
      <c r="G163" s="217"/>
      <c r="H163" s="217"/>
      <c r="I163" s="217"/>
      <c r="J163" s="217"/>
      <c r="K163" s="217"/>
      <c r="L163" s="217"/>
    </row>
    <row r="164" spans="2:12">
      <c r="B164" s="217"/>
      <c r="C164" s="217"/>
      <c r="D164" s="217"/>
      <c r="E164" s="217"/>
      <c r="F164" s="217"/>
      <c r="G164" s="217"/>
      <c r="H164" s="217"/>
      <c r="I164" s="217"/>
      <c r="J164" s="217"/>
      <c r="K164" s="217"/>
      <c r="L164" s="217"/>
    </row>
    <row r="165" spans="2:12">
      <c r="B165" s="217"/>
      <c r="C165" s="217"/>
      <c r="D165" s="217"/>
      <c r="E165" s="217"/>
      <c r="F165" s="217"/>
      <c r="G165" s="217"/>
      <c r="H165" s="217"/>
      <c r="I165" s="217"/>
      <c r="J165" s="217"/>
      <c r="K165" s="217"/>
      <c r="L165" s="217"/>
    </row>
    <row r="166" spans="2:12">
      <c r="B166" s="217"/>
      <c r="C166" s="217"/>
      <c r="D166" s="217"/>
      <c r="E166" s="217"/>
      <c r="F166" s="217"/>
      <c r="G166" s="217"/>
      <c r="H166" s="217"/>
      <c r="I166" s="217"/>
      <c r="J166" s="217"/>
      <c r="K166" s="217"/>
      <c r="L166" s="217"/>
    </row>
    <row r="167" spans="2:12">
      <c r="B167" s="217"/>
      <c r="C167" s="217"/>
      <c r="D167" s="217"/>
      <c r="E167" s="217"/>
      <c r="F167" s="217"/>
      <c r="G167" s="217"/>
      <c r="H167" s="217"/>
      <c r="I167" s="217"/>
      <c r="J167" s="217"/>
      <c r="K167" s="217"/>
      <c r="L167" s="217"/>
    </row>
    <row r="168" spans="2:12">
      <c r="B168" s="217"/>
      <c r="C168" s="217"/>
      <c r="D168" s="217"/>
      <c r="E168" s="217"/>
      <c r="F168" s="217"/>
      <c r="G168" s="217"/>
      <c r="H168" s="217"/>
      <c r="I168" s="217"/>
      <c r="J168" s="217"/>
      <c r="K168" s="217"/>
      <c r="L168" s="217"/>
    </row>
    <row r="169" spans="2:12">
      <c r="B169" s="217"/>
      <c r="C169" s="217"/>
      <c r="D169" s="217"/>
      <c r="E169" s="217"/>
      <c r="F169" s="217"/>
      <c r="G169" s="217"/>
      <c r="H169" s="217"/>
      <c r="I169" s="217"/>
      <c r="J169" s="217"/>
      <c r="K169" s="217"/>
      <c r="L169" s="217"/>
    </row>
    <row r="170" spans="2:12">
      <c r="B170" s="217"/>
      <c r="C170" s="217"/>
      <c r="D170" s="217"/>
      <c r="E170" s="217"/>
      <c r="F170" s="217"/>
      <c r="G170" s="217"/>
      <c r="H170" s="217"/>
      <c r="I170" s="217"/>
      <c r="J170" s="217"/>
      <c r="K170" s="217"/>
      <c r="L170" s="217"/>
    </row>
    <row r="171" spans="2:12">
      <c r="B171" s="217"/>
      <c r="C171" s="217"/>
      <c r="D171" s="217"/>
      <c r="E171" s="217"/>
      <c r="F171" s="217"/>
      <c r="G171" s="217"/>
      <c r="H171" s="217"/>
      <c r="I171" s="217"/>
      <c r="J171" s="217"/>
      <c r="K171" s="217"/>
      <c r="L171" s="217"/>
    </row>
    <row r="172" spans="2:12">
      <c r="B172" s="217"/>
      <c r="C172" s="217"/>
      <c r="D172" s="217"/>
      <c r="E172" s="217"/>
      <c r="F172" s="217"/>
      <c r="G172" s="217"/>
      <c r="H172" s="217"/>
      <c r="I172" s="217"/>
      <c r="J172" s="217"/>
      <c r="K172" s="217"/>
      <c r="L172" s="217"/>
    </row>
    <row r="173" spans="2:12">
      <c r="B173" s="217"/>
      <c r="C173" s="217"/>
      <c r="D173" s="217"/>
      <c r="E173" s="217"/>
      <c r="F173" s="217"/>
      <c r="G173" s="217"/>
      <c r="H173" s="217"/>
      <c r="I173" s="217"/>
      <c r="J173" s="217"/>
      <c r="K173" s="217"/>
      <c r="L173" s="217"/>
    </row>
    <row r="174" spans="2:12">
      <c r="B174" s="217"/>
      <c r="C174" s="217"/>
      <c r="D174" s="217"/>
      <c r="E174" s="217"/>
      <c r="F174" s="217"/>
      <c r="G174" s="217"/>
      <c r="H174" s="217"/>
      <c r="I174" s="217"/>
      <c r="J174" s="217"/>
      <c r="K174" s="217"/>
      <c r="L174" s="217"/>
    </row>
    <row r="175" spans="2:12">
      <c r="B175" s="217"/>
      <c r="C175" s="217"/>
      <c r="D175" s="217"/>
      <c r="E175" s="217"/>
      <c r="F175" s="217"/>
      <c r="G175" s="217"/>
      <c r="H175" s="217"/>
      <c r="I175" s="217"/>
      <c r="J175" s="217"/>
      <c r="K175" s="217"/>
      <c r="L175" s="217"/>
    </row>
    <row r="176" spans="2:12">
      <c r="B176" s="217"/>
      <c r="C176" s="217"/>
      <c r="D176" s="217"/>
      <c r="E176" s="217"/>
      <c r="F176" s="217"/>
      <c r="G176" s="217"/>
      <c r="H176" s="217"/>
      <c r="I176" s="217"/>
      <c r="J176" s="217"/>
      <c r="K176" s="217"/>
      <c r="L176" s="217"/>
    </row>
    <row r="177" spans="2:12">
      <c r="B177" s="217"/>
      <c r="C177" s="217"/>
      <c r="D177" s="217"/>
      <c r="E177" s="217"/>
      <c r="F177" s="217"/>
      <c r="G177" s="217"/>
      <c r="H177" s="217"/>
      <c r="I177" s="217"/>
      <c r="J177" s="217"/>
      <c r="K177" s="217"/>
      <c r="L177" s="217"/>
    </row>
    <row r="178" spans="2:12">
      <c r="B178" s="217"/>
      <c r="C178" s="217"/>
      <c r="D178" s="217"/>
      <c r="E178" s="217"/>
      <c r="F178" s="217"/>
      <c r="G178" s="217"/>
      <c r="H178" s="217"/>
      <c r="I178" s="217"/>
      <c r="J178" s="217"/>
      <c r="K178" s="217"/>
      <c r="L178" s="217"/>
    </row>
    <row r="179" spans="2:12">
      <c r="B179" s="217"/>
      <c r="C179" s="217"/>
      <c r="D179" s="217"/>
      <c r="E179" s="217"/>
      <c r="F179" s="217"/>
      <c r="G179" s="217"/>
      <c r="H179" s="217"/>
      <c r="I179" s="217"/>
      <c r="J179" s="217"/>
      <c r="K179" s="217"/>
      <c r="L179" s="217"/>
    </row>
    <row r="180" spans="2:12">
      <c r="B180" s="217"/>
      <c r="C180" s="217"/>
      <c r="D180" s="217"/>
      <c r="E180" s="217"/>
      <c r="F180" s="217"/>
      <c r="G180" s="217"/>
      <c r="H180" s="217"/>
      <c r="I180" s="217"/>
      <c r="J180" s="217"/>
      <c r="K180" s="217"/>
      <c r="L180" s="217"/>
    </row>
    <row r="181" spans="2:12">
      <c r="B181" s="217"/>
      <c r="C181" s="217"/>
      <c r="D181" s="217"/>
      <c r="E181" s="217"/>
      <c r="F181" s="217"/>
      <c r="G181" s="217"/>
      <c r="H181" s="217"/>
      <c r="I181" s="217"/>
      <c r="J181" s="217"/>
      <c r="K181" s="217"/>
      <c r="L181" s="217"/>
    </row>
    <row r="182" spans="2:12">
      <c r="B182" s="217"/>
      <c r="C182" s="217"/>
      <c r="D182" s="217"/>
      <c r="E182" s="217"/>
      <c r="F182" s="217"/>
      <c r="G182" s="217"/>
      <c r="H182" s="217"/>
      <c r="I182" s="217"/>
      <c r="J182" s="217"/>
      <c r="K182" s="217"/>
      <c r="L182" s="217"/>
    </row>
    <row r="183" spans="2:12">
      <c r="B183" s="217"/>
      <c r="C183" s="217"/>
      <c r="D183" s="217"/>
      <c r="E183" s="217"/>
      <c r="F183" s="217"/>
      <c r="G183" s="217"/>
      <c r="H183" s="217"/>
      <c r="I183" s="217"/>
      <c r="J183" s="217"/>
      <c r="K183" s="217"/>
      <c r="L183" s="217"/>
    </row>
    <row r="184" spans="2:12">
      <c r="B184" s="217"/>
      <c r="C184" s="217"/>
      <c r="D184" s="217"/>
      <c r="E184" s="217"/>
      <c r="F184" s="217"/>
      <c r="G184" s="217"/>
      <c r="H184" s="217"/>
      <c r="I184" s="217"/>
      <c r="J184" s="217"/>
      <c r="K184" s="217"/>
      <c r="L184" s="217"/>
    </row>
    <row r="185" spans="2:12">
      <c r="B185" s="217"/>
      <c r="C185" s="217"/>
      <c r="D185" s="217"/>
      <c r="E185" s="217"/>
      <c r="F185" s="217"/>
      <c r="G185" s="217"/>
      <c r="H185" s="217"/>
      <c r="I185" s="217"/>
      <c r="J185" s="217"/>
      <c r="K185" s="217"/>
      <c r="L185" s="217"/>
    </row>
    <row r="186" spans="2:12">
      <c r="B186" s="217"/>
      <c r="C186" s="217"/>
      <c r="D186" s="217"/>
      <c r="E186" s="217"/>
      <c r="F186" s="217"/>
      <c r="G186" s="217"/>
      <c r="H186" s="217"/>
      <c r="I186" s="217"/>
      <c r="J186" s="217"/>
      <c r="K186" s="217"/>
      <c r="L186" s="217"/>
    </row>
    <row r="187" spans="2:12">
      <c r="B187" s="217"/>
      <c r="C187" s="217"/>
      <c r="D187" s="217"/>
      <c r="E187" s="217"/>
      <c r="F187" s="217"/>
      <c r="G187" s="217"/>
      <c r="H187" s="217"/>
      <c r="I187" s="217"/>
      <c r="J187" s="217"/>
      <c r="K187" s="217"/>
      <c r="L187" s="217"/>
    </row>
    <row r="188" spans="2:12">
      <c r="B188" s="217"/>
      <c r="C188" s="217"/>
      <c r="D188" s="217"/>
      <c r="E188" s="217"/>
      <c r="F188" s="217"/>
      <c r="G188" s="217"/>
      <c r="H188" s="217"/>
      <c r="I188" s="217"/>
      <c r="J188" s="217"/>
      <c r="K188" s="217"/>
      <c r="L188" s="217"/>
    </row>
    <row r="189" spans="2:12">
      <c r="B189" s="217"/>
      <c r="C189" s="217"/>
      <c r="D189" s="217"/>
      <c r="E189" s="217"/>
      <c r="F189" s="217"/>
      <c r="G189" s="217"/>
      <c r="H189" s="217"/>
      <c r="I189" s="217"/>
      <c r="J189" s="217"/>
      <c r="K189" s="217"/>
      <c r="L189" s="217"/>
    </row>
    <row r="190" spans="2:12">
      <c r="B190" s="217"/>
      <c r="C190" s="217"/>
      <c r="D190" s="217"/>
      <c r="E190" s="217"/>
      <c r="F190" s="217"/>
      <c r="G190" s="217"/>
      <c r="H190" s="217"/>
      <c r="I190" s="217"/>
      <c r="J190" s="217"/>
      <c r="K190" s="217"/>
      <c r="L190" s="217"/>
    </row>
    <row r="191" spans="2:12">
      <c r="B191" s="217"/>
      <c r="C191" s="217"/>
      <c r="D191" s="217"/>
      <c r="E191" s="217"/>
      <c r="F191" s="217"/>
      <c r="G191" s="217"/>
      <c r="H191" s="217"/>
      <c r="I191" s="217"/>
      <c r="J191" s="217"/>
      <c r="K191" s="217"/>
      <c r="L191" s="217"/>
    </row>
    <row r="192" spans="2:12">
      <c r="B192" s="217"/>
      <c r="C192" s="217"/>
      <c r="D192" s="217"/>
      <c r="E192" s="217"/>
      <c r="F192" s="217"/>
      <c r="G192" s="217"/>
      <c r="H192" s="217"/>
      <c r="I192" s="217"/>
      <c r="J192" s="217"/>
      <c r="K192" s="217"/>
      <c r="L192" s="217"/>
    </row>
    <row r="193" spans="2:12">
      <c r="B193" s="217"/>
      <c r="C193" s="217"/>
      <c r="D193" s="217"/>
      <c r="E193" s="217"/>
      <c r="F193" s="217"/>
      <c r="G193" s="217"/>
      <c r="H193" s="217"/>
      <c r="I193" s="217"/>
      <c r="J193" s="217"/>
      <c r="K193" s="217"/>
      <c r="L193" s="217"/>
    </row>
    <row r="194" spans="2:12">
      <c r="B194" s="217"/>
      <c r="C194" s="217"/>
      <c r="D194" s="217"/>
      <c r="E194" s="217"/>
      <c r="F194" s="217"/>
      <c r="G194" s="217"/>
      <c r="H194" s="217"/>
      <c r="I194" s="217"/>
      <c r="J194" s="217"/>
      <c r="K194" s="217"/>
      <c r="L194" s="217"/>
    </row>
    <row r="195" spans="2:12">
      <c r="B195" s="217"/>
      <c r="C195" s="217"/>
      <c r="D195" s="217"/>
      <c r="E195" s="217"/>
      <c r="F195" s="217"/>
      <c r="G195" s="217"/>
      <c r="H195" s="217"/>
      <c r="I195" s="217"/>
      <c r="J195" s="217"/>
      <c r="K195" s="217"/>
      <c r="L195" s="217"/>
    </row>
    <row r="196" spans="2:12">
      <c r="B196" s="217"/>
      <c r="C196" s="217"/>
      <c r="D196" s="217"/>
      <c r="E196" s="217"/>
      <c r="F196" s="217"/>
      <c r="G196" s="217"/>
      <c r="H196" s="217"/>
      <c r="I196" s="217"/>
      <c r="J196" s="217"/>
      <c r="K196" s="217"/>
      <c r="L196" s="217"/>
    </row>
    <row r="197" spans="2:12">
      <c r="B197" s="217"/>
      <c r="C197" s="217"/>
      <c r="D197" s="217"/>
      <c r="E197" s="217"/>
      <c r="F197" s="217"/>
      <c r="G197" s="217"/>
      <c r="H197" s="217"/>
      <c r="I197" s="217"/>
      <c r="J197" s="217"/>
      <c r="K197" s="217"/>
      <c r="L197" s="217"/>
    </row>
    <row r="198" spans="2:12">
      <c r="B198" s="217"/>
      <c r="C198" s="217"/>
      <c r="D198" s="217"/>
      <c r="E198" s="217"/>
      <c r="F198" s="217"/>
      <c r="G198" s="217"/>
      <c r="H198" s="217"/>
      <c r="I198" s="217"/>
      <c r="J198" s="217"/>
      <c r="K198" s="217"/>
      <c r="L198" s="217"/>
    </row>
    <row r="199" spans="2:12">
      <c r="B199" s="217"/>
      <c r="C199" s="217"/>
      <c r="D199" s="217"/>
      <c r="E199" s="217"/>
      <c r="F199" s="217"/>
      <c r="G199" s="217"/>
      <c r="H199" s="217"/>
      <c r="I199" s="217"/>
      <c r="J199" s="217"/>
      <c r="K199" s="217"/>
      <c r="L199" s="217"/>
    </row>
    <row r="200" spans="2:12">
      <c r="B200" s="217"/>
      <c r="C200" s="217"/>
      <c r="D200" s="217"/>
      <c r="E200" s="217"/>
      <c r="F200" s="217"/>
      <c r="G200" s="217"/>
      <c r="H200" s="217"/>
      <c r="I200" s="217"/>
      <c r="J200" s="217"/>
      <c r="K200" s="217"/>
      <c r="L200" s="217"/>
    </row>
    <row r="201" spans="2:12">
      <c r="B201" s="217"/>
      <c r="C201" s="217"/>
      <c r="D201" s="217"/>
      <c r="E201" s="217"/>
      <c r="F201" s="217"/>
      <c r="G201" s="217"/>
      <c r="H201" s="217"/>
      <c r="I201" s="217"/>
      <c r="J201" s="217"/>
      <c r="K201" s="217"/>
      <c r="L201" s="217"/>
    </row>
    <row r="202" spans="2:12">
      <c r="B202" s="217"/>
      <c r="C202" s="217"/>
      <c r="D202" s="217"/>
      <c r="E202" s="217"/>
      <c r="F202" s="217"/>
      <c r="G202" s="217"/>
      <c r="H202" s="217"/>
      <c r="I202" s="217"/>
      <c r="J202" s="217"/>
      <c r="K202" s="217"/>
      <c r="L202" s="217"/>
    </row>
    <row r="203" spans="2:12">
      <c r="B203" s="217"/>
      <c r="C203" s="217"/>
      <c r="D203" s="217"/>
      <c r="E203" s="217"/>
      <c r="F203" s="217"/>
      <c r="G203" s="217"/>
      <c r="H203" s="217"/>
      <c r="I203" s="217"/>
      <c r="J203" s="217"/>
      <c r="K203" s="217"/>
      <c r="L203" s="217"/>
    </row>
    <row r="204" spans="2:12">
      <c r="B204" s="217"/>
      <c r="C204" s="217"/>
      <c r="D204" s="217"/>
      <c r="E204" s="217"/>
      <c r="F204" s="217"/>
      <c r="G204" s="217"/>
      <c r="H204" s="217"/>
      <c r="I204" s="217"/>
      <c r="J204" s="217"/>
      <c r="K204" s="217"/>
      <c r="L204" s="217"/>
    </row>
    <row r="205" spans="2:12">
      <c r="B205" s="217"/>
      <c r="C205" s="217"/>
      <c r="D205" s="217"/>
      <c r="E205" s="217"/>
      <c r="F205" s="217"/>
      <c r="G205" s="217"/>
      <c r="H205" s="217"/>
      <c r="I205" s="217"/>
      <c r="J205" s="217"/>
      <c r="K205" s="217"/>
      <c r="L205" s="217"/>
    </row>
    <row r="206" spans="2:12">
      <c r="B206" s="217"/>
      <c r="C206" s="217"/>
      <c r="D206" s="217"/>
      <c r="E206" s="217"/>
      <c r="F206" s="217"/>
      <c r="G206" s="217"/>
      <c r="H206" s="217"/>
      <c r="I206" s="217"/>
      <c r="J206" s="217"/>
      <c r="K206" s="217"/>
      <c r="L206" s="217"/>
    </row>
    <row r="207" spans="2:12">
      <c r="B207" s="217"/>
      <c r="C207" s="217"/>
      <c r="D207" s="217"/>
      <c r="E207" s="217"/>
      <c r="F207" s="217"/>
      <c r="G207" s="217"/>
      <c r="H207" s="217"/>
      <c r="I207" s="217"/>
      <c r="J207" s="217"/>
      <c r="K207" s="217"/>
      <c r="L207" s="217"/>
    </row>
    <row r="208" spans="2:12">
      <c r="B208" s="217"/>
      <c r="C208" s="217"/>
      <c r="D208" s="217"/>
      <c r="E208" s="217"/>
      <c r="F208" s="217"/>
      <c r="G208" s="217"/>
      <c r="H208" s="217"/>
      <c r="I208" s="217"/>
      <c r="J208" s="217"/>
      <c r="K208" s="217"/>
      <c r="L208" s="217"/>
    </row>
    <row r="209" spans="2:12">
      <c r="B209" s="217"/>
      <c r="C209" s="217"/>
      <c r="D209" s="217"/>
      <c r="E209" s="217"/>
      <c r="F209" s="217"/>
      <c r="G209" s="217"/>
      <c r="H209" s="217"/>
      <c r="I209" s="217"/>
      <c r="J209" s="217"/>
      <c r="K209" s="217"/>
      <c r="L209" s="217"/>
    </row>
    <row r="210" spans="2:12">
      <c r="B210" s="217"/>
      <c r="C210" s="217"/>
      <c r="D210" s="217"/>
      <c r="E210" s="217"/>
      <c r="F210" s="217"/>
      <c r="G210" s="217"/>
      <c r="H210" s="217"/>
      <c r="I210" s="217"/>
      <c r="J210" s="217"/>
      <c r="K210" s="217"/>
      <c r="L210" s="217"/>
    </row>
    <row r="211" spans="2:12">
      <c r="B211" s="217"/>
      <c r="C211" s="217"/>
      <c r="D211" s="217"/>
      <c r="E211" s="217"/>
      <c r="F211" s="217"/>
      <c r="G211" s="217"/>
      <c r="H211" s="217"/>
      <c r="I211" s="217"/>
      <c r="J211" s="217"/>
      <c r="K211" s="217"/>
      <c r="L211" s="217"/>
    </row>
    <row r="212" spans="2:12">
      <c r="B212" s="217"/>
      <c r="C212" s="217"/>
      <c r="D212" s="217"/>
      <c r="E212" s="217"/>
      <c r="F212" s="217"/>
      <c r="G212" s="217"/>
      <c r="H212" s="217"/>
      <c r="I212" s="217"/>
      <c r="J212" s="217"/>
      <c r="K212" s="217"/>
      <c r="L212" s="217"/>
    </row>
    <row r="213" spans="2:12">
      <c r="B213" s="217"/>
      <c r="C213" s="217"/>
      <c r="D213" s="217"/>
      <c r="E213" s="217"/>
      <c r="F213" s="217"/>
      <c r="G213" s="217"/>
      <c r="H213" s="217"/>
      <c r="I213" s="217"/>
      <c r="J213" s="217"/>
      <c r="K213" s="217"/>
      <c r="L213" s="217"/>
    </row>
    <row r="214" spans="2:12">
      <c r="B214" s="217"/>
      <c r="C214" s="217"/>
      <c r="D214" s="217"/>
      <c r="E214" s="217"/>
      <c r="F214" s="217"/>
      <c r="G214" s="217"/>
      <c r="H214" s="217"/>
      <c r="I214" s="217"/>
      <c r="J214" s="217"/>
      <c r="K214" s="217"/>
      <c r="L214" s="217"/>
    </row>
    <row r="215" spans="2:12">
      <c r="B215" s="217"/>
      <c r="C215" s="217"/>
      <c r="D215" s="217"/>
      <c r="E215" s="217"/>
      <c r="F215" s="217"/>
      <c r="G215" s="217"/>
      <c r="H215" s="217"/>
      <c r="I215" s="217"/>
      <c r="J215" s="217"/>
      <c r="K215" s="217"/>
      <c r="L215" s="217"/>
    </row>
    <row r="216" spans="2:12">
      <c r="B216" s="217"/>
      <c r="C216" s="217"/>
      <c r="D216" s="217"/>
      <c r="E216" s="217"/>
      <c r="F216" s="217"/>
      <c r="G216" s="217"/>
      <c r="H216" s="217"/>
      <c r="I216" s="217"/>
      <c r="J216" s="217"/>
      <c r="K216" s="217"/>
      <c r="L216" s="217"/>
    </row>
    <row r="217" spans="2:12">
      <c r="B217" s="217"/>
      <c r="C217" s="217"/>
      <c r="D217" s="217"/>
      <c r="E217" s="217"/>
      <c r="F217" s="217"/>
      <c r="G217" s="217"/>
      <c r="H217" s="217"/>
      <c r="I217" s="217"/>
      <c r="J217" s="217"/>
      <c r="K217" s="217"/>
      <c r="L217" s="217"/>
    </row>
    <row r="218" spans="2:12">
      <c r="B218" s="217"/>
      <c r="C218" s="217"/>
      <c r="D218" s="217"/>
      <c r="E218" s="217"/>
      <c r="F218" s="217"/>
      <c r="G218" s="217"/>
      <c r="H218" s="217"/>
      <c r="I218" s="217"/>
      <c r="J218" s="217"/>
      <c r="K218" s="217"/>
      <c r="L218" s="217"/>
    </row>
    <row r="219" spans="2:12">
      <c r="B219" s="217"/>
      <c r="C219" s="217"/>
      <c r="D219" s="217"/>
      <c r="E219" s="217"/>
      <c r="F219" s="217"/>
      <c r="G219" s="217"/>
      <c r="H219" s="217"/>
      <c r="I219" s="217"/>
      <c r="J219" s="217"/>
      <c r="K219" s="217"/>
      <c r="L219" s="217"/>
    </row>
    <row r="220" spans="2:12">
      <c r="B220" s="217"/>
      <c r="C220" s="217"/>
      <c r="D220" s="217"/>
      <c r="E220" s="217"/>
      <c r="F220" s="217"/>
      <c r="G220" s="217"/>
      <c r="H220" s="217"/>
      <c r="I220" s="217"/>
      <c r="J220" s="217"/>
      <c r="K220" s="217"/>
      <c r="L220" s="217"/>
    </row>
    <row r="221" spans="2:12">
      <c r="B221" s="217"/>
      <c r="C221" s="217"/>
      <c r="D221" s="217"/>
      <c r="E221" s="217"/>
      <c r="F221" s="217"/>
      <c r="G221" s="217"/>
      <c r="H221" s="217"/>
      <c r="I221" s="217"/>
      <c r="J221" s="217"/>
      <c r="K221" s="217"/>
      <c r="L221" s="217"/>
    </row>
    <row r="222" spans="2:12">
      <c r="B222" s="217"/>
      <c r="C222" s="217"/>
      <c r="D222" s="217"/>
      <c r="E222" s="217"/>
      <c r="F222" s="217"/>
      <c r="G222" s="217"/>
      <c r="H222" s="217"/>
      <c r="I222" s="217"/>
      <c r="J222" s="217"/>
      <c r="K222" s="217"/>
      <c r="L222" s="217"/>
    </row>
    <row r="223" spans="2:12">
      <c r="B223" s="217"/>
      <c r="C223" s="217"/>
      <c r="D223" s="217"/>
      <c r="E223" s="217"/>
      <c r="F223" s="217"/>
      <c r="G223" s="217"/>
      <c r="H223" s="217"/>
      <c r="I223" s="217"/>
      <c r="J223" s="217"/>
      <c r="K223" s="217"/>
      <c r="L223" s="217"/>
    </row>
    <row r="224" spans="2:12">
      <c r="B224" s="217"/>
      <c r="C224" s="217"/>
      <c r="D224" s="217"/>
      <c r="E224" s="217"/>
      <c r="F224" s="217"/>
      <c r="G224" s="217"/>
      <c r="H224" s="217"/>
      <c r="I224" s="217"/>
      <c r="J224" s="217"/>
      <c r="K224" s="217"/>
      <c r="L224" s="217"/>
    </row>
    <row r="225" spans="2:12">
      <c r="B225" s="217"/>
      <c r="C225" s="217"/>
      <c r="D225" s="217"/>
      <c r="E225" s="217"/>
      <c r="F225" s="217"/>
      <c r="G225" s="217"/>
      <c r="H225" s="217"/>
      <c r="I225" s="217"/>
      <c r="J225" s="217"/>
      <c r="K225" s="217"/>
      <c r="L225" s="217"/>
    </row>
    <row r="226" spans="2:12">
      <c r="B226" s="217"/>
      <c r="C226" s="217"/>
      <c r="D226" s="217"/>
      <c r="E226" s="217"/>
      <c r="F226" s="217"/>
      <c r="G226" s="217"/>
      <c r="H226" s="217"/>
      <c r="I226" s="217"/>
      <c r="J226" s="217"/>
      <c r="K226" s="217"/>
      <c r="L226" s="217"/>
    </row>
    <row r="227" spans="2:12">
      <c r="B227" s="217"/>
      <c r="C227" s="217"/>
      <c r="D227" s="217"/>
      <c r="E227" s="217"/>
      <c r="F227" s="217"/>
      <c r="G227" s="217"/>
      <c r="H227" s="217"/>
      <c r="I227" s="217"/>
      <c r="J227" s="217"/>
      <c r="K227" s="217"/>
      <c r="L227" s="217"/>
    </row>
    <row r="228" spans="2:12">
      <c r="B228" s="217"/>
      <c r="C228" s="217"/>
      <c r="D228" s="217"/>
      <c r="E228" s="217"/>
      <c r="F228" s="217"/>
      <c r="G228" s="217"/>
      <c r="H228" s="217"/>
      <c r="I228" s="217"/>
      <c r="J228" s="217"/>
      <c r="K228" s="217"/>
      <c r="L228" s="217"/>
    </row>
    <row r="229" spans="2:12">
      <c r="B229" s="217"/>
      <c r="C229" s="217"/>
      <c r="D229" s="217"/>
      <c r="E229" s="217"/>
      <c r="F229" s="217"/>
      <c r="G229" s="217"/>
      <c r="H229" s="217"/>
      <c r="I229" s="217"/>
      <c r="J229" s="217"/>
      <c r="K229" s="217"/>
      <c r="L229" s="217"/>
    </row>
    <row r="230" spans="2:12">
      <c r="B230" s="217"/>
      <c r="C230" s="217"/>
      <c r="D230" s="217"/>
      <c r="E230" s="217"/>
      <c r="F230" s="217"/>
      <c r="G230" s="217"/>
      <c r="H230" s="217"/>
      <c r="I230" s="217"/>
      <c r="J230" s="217"/>
      <c r="K230" s="217"/>
      <c r="L230" s="217"/>
    </row>
    <row r="231" spans="2:12">
      <c r="B231" s="217"/>
      <c r="C231" s="217"/>
      <c r="D231" s="217"/>
      <c r="E231" s="217"/>
      <c r="F231" s="217"/>
      <c r="G231" s="217"/>
      <c r="H231" s="217"/>
      <c r="I231" s="217"/>
      <c r="J231" s="217"/>
      <c r="K231" s="217"/>
      <c r="L231" s="217"/>
    </row>
    <row r="232" spans="2:12">
      <c r="B232" s="217"/>
      <c r="C232" s="217"/>
      <c r="D232" s="217"/>
      <c r="E232" s="217"/>
      <c r="F232" s="217"/>
      <c r="G232" s="217"/>
      <c r="H232" s="217"/>
      <c r="I232" s="217"/>
      <c r="J232" s="217"/>
      <c r="K232" s="217"/>
      <c r="L232" s="217"/>
    </row>
    <row r="233" spans="2:12">
      <c r="B233" s="217"/>
      <c r="C233" s="217"/>
      <c r="D233" s="217"/>
      <c r="E233" s="217"/>
      <c r="F233" s="217"/>
      <c r="G233" s="217"/>
      <c r="H233" s="217"/>
      <c r="I233" s="217"/>
      <c r="J233" s="217"/>
      <c r="K233" s="217"/>
      <c r="L233" s="217"/>
    </row>
    <row r="234" spans="2:12">
      <c r="B234" s="217"/>
      <c r="C234" s="217"/>
      <c r="D234" s="217"/>
      <c r="E234" s="217"/>
      <c r="F234" s="217"/>
      <c r="G234" s="217"/>
      <c r="H234" s="217"/>
      <c r="I234" s="217"/>
      <c r="J234" s="217"/>
      <c r="K234" s="217"/>
      <c r="L234" s="217"/>
    </row>
    <row r="235" spans="2:12">
      <c r="B235" s="217"/>
      <c r="C235" s="217"/>
      <c r="D235" s="217"/>
      <c r="E235" s="217"/>
      <c r="F235" s="217"/>
      <c r="G235" s="217"/>
      <c r="H235" s="217"/>
      <c r="I235" s="217"/>
      <c r="J235" s="217"/>
      <c r="K235" s="217"/>
      <c r="L235" s="217"/>
    </row>
    <row r="236" spans="2:12">
      <c r="B236" s="217"/>
      <c r="C236" s="217"/>
      <c r="D236" s="217"/>
      <c r="E236" s="217"/>
      <c r="F236" s="217"/>
      <c r="G236" s="217"/>
      <c r="H236" s="217"/>
      <c r="I236" s="217"/>
      <c r="J236" s="217"/>
      <c r="K236" s="217"/>
      <c r="L236" s="217"/>
    </row>
    <row r="237" spans="2:12">
      <c r="B237" s="217"/>
      <c r="C237" s="217"/>
      <c r="D237" s="217"/>
      <c r="E237" s="217"/>
      <c r="F237" s="217"/>
      <c r="G237" s="217"/>
      <c r="H237" s="217"/>
      <c r="I237" s="217"/>
      <c r="J237" s="217"/>
      <c r="K237" s="217"/>
      <c r="L237" s="217"/>
    </row>
    <row r="238" spans="2:12">
      <c r="B238" s="217"/>
      <c r="C238" s="217"/>
      <c r="D238" s="217"/>
      <c r="E238" s="217"/>
      <c r="F238" s="217"/>
      <c r="G238" s="217"/>
      <c r="H238" s="217"/>
      <c r="I238" s="217"/>
      <c r="J238" s="217"/>
      <c r="K238" s="217"/>
      <c r="L238" s="217"/>
    </row>
    <row r="239" spans="2:12">
      <c r="B239" s="217"/>
      <c r="C239" s="217"/>
      <c r="D239" s="217"/>
      <c r="E239" s="217"/>
      <c r="F239" s="217"/>
      <c r="G239" s="217"/>
      <c r="H239" s="217"/>
      <c r="I239" s="217"/>
      <c r="J239" s="217"/>
      <c r="K239" s="217"/>
      <c r="L239" s="217"/>
    </row>
    <row r="240" spans="2:12">
      <c r="B240" s="217"/>
      <c r="C240" s="217"/>
      <c r="D240" s="217"/>
      <c r="E240" s="217"/>
      <c r="F240" s="217"/>
      <c r="G240" s="217"/>
      <c r="H240" s="217"/>
      <c r="I240" s="217"/>
      <c r="J240" s="217"/>
      <c r="K240" s="217"/>
      <c r="L240" s="217"/>
    </row>
    <row r="241" spans="2:12">
      <c r="B241" s="217"/>
      <c r="C241" s="217"/>
      <c r="D241" s="217"/>
      <c r="E241" s="217"/>
      <c r="F241" s="217"/>
      <c r="G241" s="217"/>
      <c r="H241" s="217"/>
      <c r="I241" s="217"/>
      <c r="J241" s="217"/>
      <c r="K241" s="217"/>
      <c r="L241" s="217"/>
    </row>
    <row r="242" spans="2:12">
      <c r="B242" s="217"/>
      <c r="C242" s="217"/>
      <c r="D242" s="217"/>
      <c r="E242" s="217"/>
      <c r="F242" s="217"/>
      <c r="G242" s="217"/>
      <c r="H242" s="217"/>
      <c r="I242" s="217"/>
      <c r="J242" s="217"/>
      <c r="K242" s="217"/>
      <c r="L242" s="217"/>
    </row>
    <row r="243" spans="2:12">
      <c r="B243" s="217"/>
      <c r="C243" s="217"/>
      <c r="D243" s="217"/>
      <c r="E243" s="217"/>
      <c r="F243" s="217"/>
      <c r="G243" s="217"/>
      <c r="H243" s="217"/>
      <c r="I243" s="217"/>
      <c r="J243" s="217"/>
      <c r="K243" s="217"/>
      <c r="L243" s="217"/>
    </row>
    <row r="244" spans="2:12">
      <c r="B244" s="217"/>
      <c r="C244" s="217"/>
      <c r="D244" s="217"/>
      <c r="E244" s="217"/>
      <c r="F244" s="217"/>
      <c r="G244" s="217"/>
      <c r="H244" s="217"/>
      <c r="I244" s="217"/>
      <c r="J244" s="217"/>
      <c r="K244" s="217"/>
      <c r="L244" s="217"/>
    </row>
    <row r="245" spans="2:12">
      <c r="B245" s="217"/>
      <c r="C245" s="217"/>
      <c r="D245" s="217"/>
      <c r="E245" s="217"/>
      <c r="F245" s="217"/>
      <c r="G245" s="217"/>
      <c r="H245" s="217"/>
      <c r="I245" s="217"/>
      <c r="J245" s="217"/>
      <c r="K245" s="217"/>
      <c r="L245" s="217"/>
    </row>
    <row r="246" spans="2:12">
      <c r="B246" s="217"/>
      <c r="C246" s="217"/>
      <c r="D246" s="217"/>
      <c r="E246" s="217"/>
      <c r="F246" s="217"/>
      <c r="G246" s="217"/>
      <c r="H246" s="217"/>
      <c r="I246" s="217"/>
      <c r="J246" s="217"/>
      <c r="K246" s="217"/>
      <c r="L246" s="217"/>
    </row>
    <row r="247" spans="2:12">
      <c r="B247" s="217"/>
      <c r="C247" s="217"/>
      <c r="D247" s="217"/>
      <c r="E247" s="217"/>
      <c r="F247" s="217"/>
      <c r="G247" s="217"/>
      <c r="H247" s="217"/>
      <c r="I247" s="217"/>
      <c r="J247" s="217"/>
      <c r="K247" s="217"/>
      <c r="L247" s="217"/>
    </row>
    <row r="248" spans="2:12">
      <c r="B248" s="217"/>
      <c r="C248" s="217"/>
      <c r="D248" s="217"/>
      <c r="E248" s="217"/>
      <c r="F248" s="217"/>
      <c r="G248" s="217"/>
      <c r="H248" s="217"/>
      <c r="I248" s="217"/>
      <c r="J248" s="217"/>
      <c r="K248" s="217"/>
      <c r="L248" s="217"/>
    </row>
    <row r="249" spans="2:12">
      <c r="B249" s="217"/>
      <c r="C249" s="217"/>
      <c r="D249" s="217"/>
      <c r="E249" s="217"/>
      <c r="F249" s="217"/>
      <c r="G249" s="217"/>
      <c r="H249" s="217"/>
      <c r="I249" s="217"/>
      <c r="J249" s="217"/>
      <c r="K249" s="217"/>
      <c r="L249" s="217"/>
    </row>
    <row r="250" spans="2:12">
      <c r="B250" s="217"/>
      <c r="C250" s="217"/>
      <c r="D250" s="217"/>
      <c r="E250" s="217"/>
      <c r="F250" s="217"/>
      <c r="G250" s="217"/>
      <c r="H250" s="217"/>
      <c r="I250" s="217"/>
      <c r="J250" s="217"/>
      <c r="K250" s="217"/>
      <c r="L250" s="217"/>
    </row>
    <row r="251" spans="2:12">
      <c r="B251" s="217"/>
      <c r="C251" s="217"/>
      <c r="D251" s="217"/>
      <c r="E251" s="217"/>
      <c r="F251" s="217"/>
      <c r="G251" s="217"/>
      <c r="H251" s="217"/>
      <c r="I251" s="217"/>
      <c r="J251" s="217"/>
      <c r="K251" s="217"/>
      <c r="L251" s="217"/>
    </row>
  </sheetData>
  <mergeCells count="11">
    <mergeCell ref="A5:A6"/>
    <mergeCell ref="A2:J2"/>
    <mergeCell ref="A4:J4"/>
    <mergeCell ref="A14:J14"/>
    <mergeCell ref="A56:J56"/>
    <mergeCell ref="A57:J57"/>
    <mergeCell ref="A35:C35"/>
    <mergeCell ref="A17:D17"/>
    <mergeCell ref="E17:J17"/>
    <mergeCell ref="A38:J38"/>
    <mergeCell ref="E35:J35"/>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8FC8"/>
    <pageSetUpPr fitToPage="1"/>
  </sheetPr>
  <dimension ref="A3:L56"/>
  <sheetViews>
    <sheetView showGridLines="0" view="pageBreakPreview" zoomScale="115" zoomScaleNormal="130" zoomScaleSheetLayoutView="115" zoomScalePageLayoutView="130" workbookViewId="0"/>
  </sheetViews>
  <sheetFormatPr defaultColWidth="9.33203125" defaultRowHeight="11.25"/>
  <cols>
    <col min="8" max="10" width="11.1640625" customWidth="1"/>
    <col min="11" max="11" width="12.5" customWidth="1"/>
    <col min="12" max="12" width="9.33203125" customWidth="1"/>
  </cols>
  <sheetData>
    <row r="3" spans="1:12">
      <c r="A3" s="844" t="s">
        <v>0</v>
      </c>
      <c r="B3" s="844"/>
      <c r="C3" s="844"/>
      <c r="D3" s="844"/>
      <c r="E3" s="844"/>
      <c r="F3" s="844"/>
      <c r="G3" s="844"/>
      <c r="H3" s="844"/>
      <c r="I3" s="844"/>
      <c r="J3" s="844"/>
      <c r="K3" s="844"/>
      <c r="L3" s="844"/>
    </row>
    <row r="4" spans="1:12">
      <c r="A4" s="844"/>
      <c r="B4" s="844"/>
      <c r="C4" s="844"/>
      <c r="D4" s="844"/>
      <c r="E4" s="844"/>
      <c r="F4" s="844"/>
      <c r="G4" s="844"/>
      <c r="H4" s="844"/>
      <c r="I4" s="844"/>
      <c r="J4" s="844"/>
      <c r="K4" s="844"/>
      <c r="L4" s="844"/>
    </row>
    <row r="5" spans="1:12" ht="12">
      <c r="A5" s="3"/>
      <c r="B5" s="218"/>
      <c r="C5" s="2"/>
      <c r="D5" s="2"/>
      <c r="E5" s="37"/>
      <c r="F5" s="2"/>
      <c r="G5" s="2"/>
      <c r="H5" s="2"/>
      <c r="I5" s="2"/>
      <c r="J5" s="2"/>
      <c r="K5" s="2"/>
      <c r="L5" s="8" t="s">
        <v>1</v>
      </c>
    </row>
    <row r="6" spans="1:12" ht="12">
      <c r="A6" s="3"/>
      <c r="B6" s="218"/>
      <c r="C6" s="2"/>
      <c r="D6" s="2"/>
      <c r="E6" s="37"/>
      <c r="F6" s="2"/>
      <c r="G6" s="2"/>
      <c r="H6" s="2"/>
      <c r="I6" s="2"/>
      <c r="J6" s="2"/>
      <c r="K6" s="2"/>
      <c r="L6" s="5"/>
    </row>
    <row r="7" spans="1:12" ht="19.5" customHeight="1">
      <c r="A7" s="20" t="s">
        <v>460</v>
      </c>
      <c r="B7" s="219"/>
      <c r="C7" s="25"/>
      <c r="D7" s="25"/>
      <c r="E7" s="25"/>
      <c r="F7" s="25"/>
      <c r="G7" s="25"/>
      <c r="H7" s="25"/>
      <c r="I7" s="25"/>
      <c r="J7" s="25"/>
      <c r="K7" s="25"/>
      <c r="L7" s="25"/>
    </row>
    <row r="8" spans="1:12" ht="17.25" customHeight="1">
      <c r="A8" s="25"/>
      <c r="B8" s="25" t="s">
        <v>757</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546</v>
      </c>
      <c r="B10" s="219"/>
      <c r="C10" s="25"/>
      <c r="D10" s="25"/>
      <c r="E10" s="25"/>
      <c r="F10" s="25"/>
      <c r="G10" s="25"/>
      <c r="H10" s="25"/>
      <c r="I10" s="25"/>
      <c r="J10" s="25"/>
      <c r="K10" s="25"/>
      <c r="L10" s="22"/>
    </row>
    <row r="11" spans="1:12" ht="19.5" customHeight="1">
      <c r="A11" s="27"/>
      <c r="B11" s="25" t="s">
        <v>563</v>
      </c>
      <c r="C11" s="25"/>
      <c r="D11" s="25"/>
      <c r="E11" s="25"/>
      <c r="F11" s="21"/>
      <c r="G11" s="21"/>
      <c r="H11" s="21"/>
      <c r="I11" s="21"/>
      <c r="J11" s="21"/>
      <c r="K11" s="21"/>
      <c r="L11" s="22" t="s">
        <v>2</v>
      </c>
    </row>
    <row r="12" spans="1:12" ht="19.5" customHeight="1">
      <c r="A12" s="27"/>
      <c r="B12" s="25" t="s">
        <v>439</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452</v>
      </c>
      <c r="B14" s="25"/>
      <c r="C14" s="25"/>
      <c r="D14" s="25"/>
      <c r="E14" s="25"/>
      <c r="F14" s="25"/>
      <c r="G14" s="25"/>
      <c r="H14" s="25"/>
      <c r="I14" s="25"/>
      <c r="J14" s="25"/>
      <c r="K14" s="25"/>
      <c r="L14" s="22"/>
    </row>
    <row r="15" spans="1:12" ht="19.5" customHeight="1">
      <c r="A15" s="27"/>
      <c r="B15" s="25" t="s">
        <v>428</v>
      </c>
      <c r="C15" s="25"/>
      <c r="D15" s="25"/>
      <c r="E15" s="25"/>
      <c r="F15" s="21"/>
      <c r="G15" s="21"/>
      <c r="H15" s="21"/>
      <c r="I15" s="21"/>
      <c r="J15" s="21"/>
      <c r="K15" s="21"/>
      <c r="L15" s="22" t="s">
        <v>3</v>
      </c>
    </row>
    <row r="16" spans="1:12" ht="19.5" customHeight="1">
      <c r="A16" s="27"/>
      <c r="B16" s="25" t="s">
        <v>437</v>
      </c>
      <c r="C16" s="25"/>
      <c r="D16" s="25"/>
      <c r="E16" s="25"/>
      <c r="F16" s="25"/>
      <c r="G16" s="21"/>
      <c r="H16" s="21"/>
      <c r="I16" s="21"/>
      <c r="J16" s="21"/>
      <c r="K16" s="21"/>
      <c r="L16" s="22" t="s">
        <v>4</v>
      </c>
    </row>
    <row r="17" spans="1:12" ht="19.5" customHeight="1">
      <c r="A17" s="27"/>
      <c r="B17" s="25" t="s">
        <v>429</v>
      </c>
      <c r="C17" s="25"/>
      <c r="D17" s="25"/>
      <c r="E17" s="25"/>
      <c r="F17" s="25"/>
      <c r="G17" s="21"/>
      <c r="H17" s="21"/>
      <c r="I17" s="21"/>
      <c r="J17" s="21"/>
      <c r="K17" s="21"/>
      <c r="L17" s="22" t="s">
        <v>5</v>
      </c>
    </row>
    <row r="18" spans="1:12" ht="19.5" customHeight="1">
      <c r="A18" s="27"/>
      <c r="B18" s="25" t="s">
        <v>430</v>
      </c>
      <c r="C18" s="25"/>
      <c r="D18" s="25"/>
      <c r="E18" s="25"/>
      <c r="F18" s="21"/>
      <c r="G18" s="21"/>
      <c r="H18" s="21"/>
      <c r="I18" s="21"/>
      <c r="J18" s="21"/>
      <c r="K18" s="21"/>
      <c r="L18" s="22" t="s">
        <v>6</v>
      </c>
    </row>
    <row r="19" spans="1:12" ht="19.5" customHeight="1">
      <c r="A19" s="27"/>
      <c r="B19" s="25" t="s">
        <v>431</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451</v>
      </c>
      <c r="B21" s="25"/>
      <c r="C21" s="25"/>
      <c r="D21" s="25"/>
      <c r="E21" s="25"/>
      <c r="F21" s="25"/>
      <c r="G21" s="25"/>
      <c r="H21" s="25"/>
      <c r="I21" s="25"/>
      <c r="J21" s="25"/>
      <c r="K21" s="25"/>
      <c r="L21" s="30"/>
    </row>
    <row r="22" spans="1:12" ht="19.5" customHeight="1">
      <c r="A22" s="25"/>
      <c r="B22" s="25" t="s">
        <v>453</v>
      </c>
      <c r="C22" s="25"/>
      <c r="D22" s="25"/>
      <c r="E22" s="25"/>
      <c r="F22" s="25"/>
      <c r="G22" s="21"/>
      <c r="H22" s="21"/>
      <c r="I22" s="21"/>
      <c r="J22" s="21"/>
      <c r="K22" s="21"/>
      <c r="L22" s="22" t="s">
        <v>9</v>
      </c>
    </row>
    <row r="23" spans="1:12" ht="19.5" customHeight="1">
      <c r="A23" s="31"/>
      <c r="B23" s="25" t="s">
        <v>536</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263</v>
      </c>
      <c r="B25" s="25"/>
      <c r="C25" s="25"/>
      <c r="D25" s="25"/>
      <c r="E25" s="25"/>
      <c r="F25" s="25"/>
      <c r="G25" s="25"/>
      <c r="H25" s="25"/>
      <c r="I25" s="25"/>
      <c r="J25" s="25"/>
      <c r="K25" s="25"/>
      <c r="L25" s="30"/>
    </row>
    <row r="26" spans="1:12" ht="19.5" customHeight="1">
      <c r="A26" s="25"/>
      <c r="B26" s="25" t="s">
        <v>455</v>
      </c>
      <c r="C26" s="25"/>
      <c r="D26" s="25"/>
      <c r="E26" s="25"/>
      <c r="F26" s="21"/>
      <c r="G26" s="21"/>
      <c r="H26" s="21"/>
      <c r="I26" s="21"/>
      <c r="J26" s="21"/>
      <c r="K26" s="33"/>
      <c r="L26" s="22" t="s">
        <v>11</v>
      </c>
    </row>
    <row r="27" spans="1:12" ht="19.5" customHeight="1">
      <c r="A27" s="25"/>
      <c r="B27" s="25" t="s">
        <v>432</v>
      </c>
      <c r="C27" s="25"/>
      <c r="D27" s="25"/>
      <c r="E27" s="25"/>
      <c r="F27" s="25"/>
      <c r="G27" s="21"/>
      <c r="H27" s="21"/>
      <c r="I27" s="21"/>
      <c r="J27" s="21"/>
      <c r="K27" s="33"/>
      <c r="L27" s="22" t="s">
        <v>11</v>
      </c>
    </row>
    <row r="28" spans="1:12" ht="19.5" customHeight="1">
      <c r="A28" s="31"/>
      <c r="B28" s="25" t="s">
        <v>454</v>
      </c>
      <c r="C28" s="25"/>
      <c r="D28" s="25"/>
      <c r="E28" s="25"/>
      <c r="F28" s="21"/>
      <c r="G28" s="21"/>
      <c r="H28" s="33"/>
      <c r="I28" s="33"/>
      <c r="J28" s="33"/>
      <c r="K28" s="33"/>
      <c r="L28" s="22" t="s">
        <v>12</v>
      </c>
    </row>
    <row r="29" spans="1:12" ht="19.5" customHeight="1">
      <c r="A29" s="31"/>
      <c r="B29" s="25" t="s">
        <v>438</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444</v>
      </c>
      <c r="B31" s="25"/>
      <c r="C31" s="25"/>
      <c r="D31" s="25"/>
      <c r="E31" s="25"/>
      <c r="F31" s="25"/>
      <c r="G31" s="25"/>
      <c r="H31" s="25"/>
      <c r="I31" s="25"/>
      <c r="J31" s="25"/>
      <c r="K31" s="25"/>
      <c r="L31" s="22"/>
    </row>
    <row r="32" spans="1:12" ht="19.5" customHeight="1">
      <c r="A32" s="31"/>
      <c r="B32" s="25" t="s">
        <v>456</v>
      </c>
      <c r="C32" s="25"/>
      <c r="D32" s="25"/>
      <c r="E32" s="25"/>
      <c r="F32" s="25"/>
      <c r="G32" s="21"/>
      <c r="H32" s="21"/>
      <c r="I32" s="21"/>
      <c r="J32" s="21"/>
      <c r="K32" s="21"/>
      <c r="L32" s="22" t="s">
        <v>13</v>
      </c>
    </row>
    <row r="33" spans="1:12" ht="19.5" customHeight="1">
      <c r="A33" s="31"/>
      <c r="B33" s="25" t="s">
        <v>433</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434</v>
      </c>
      <c r="B35" s="26"/>
      <c r="C35" s="32"/>
      <c r="D35" s="26"/>
      <c r="E35" s="26"/>
      <c r="F35" s="26"/>
      <c r="G35" s="26"/>
      <c r="H35" s="26"/>
      <c r="I35" s="26"/>
      <c r="J35" s="26"/>
      <c r="K35" s="26"/>
      <c r="L35" s="22"/>
    </row>
    <row r="36" spans="1:12" ht="19.5" customHeight="1">
      <c r="A36" s="27"/>
      <c r="B36" s="25" t="s">
        <v>457</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435</v>
      </c>
      <c r="B38" s="35"/>
      <c r="C38" s="25"/>
      <c r="D38" s="25"/>
      <c r="E38" s="25"/>
      <c r="F38" s="25"/>
      <c r="G38" s="25"/>
      <c r="H38" s="25"/>
      <c r="I38" s="25"/>
      <c r="J38" s="25"/>
      <c r="K38" s="25"/>
      <c r="L38" s="38"/>
    </row>
    <row r="39" spans="1:12" ht="19.5" customHeight="1">
      <c r="A39" s="27"/>
      <c r="B39" s="25" t="s">
        <v>436</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213</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458</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Diciembre 2019
INFSGI-MES-12-2019
15/01/2020
Versión: 01</oddHeader>
    <oddFooter>&amp;LCOES, 2019&amp;RDirección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008FC8"/>
  </sheetPr>
  <dimension ref="A1:H180"/>
  <sheetViews>
    <sheetView showGridLines="0" view="pageBreakPreview" zoomScale="145" zoomScaleNormal="100" zoomScaleSheetLayoutView="145" zoomScalePageLayoutView="140" workbookViewId="0"/>
  </sheetViews>
  <sheetFormatPr defaultColWidth="9.33203125" defaultRowHeight="11.25"/>
  <cols>
    <col min="1" max="1" width="22.5" customWidth="1"/>
    <col min="2" max="2" width="20.83203125" customWidth="1"/>
    <col min="3" max="3" width="15.83203125" customWidth="1"/>
    <col min="4" max="4" width="17" customWidth="1"/>
    <col min="5" max="5" width="13.5" customWidth="1"/>
    <col min="6" max="6" width="13.83203125" customWidth="1"/>
    <col min="7" max="7" width="14.5" customWidth="1"/>
  </cols>
  <sheetData>
    <row r="1" spans="1:8" ht="11.25" customHeight="1">
      <c r="A1" s="278" t="s">
        <v>286</v>
      </c>
      <c r="B1" s="277"/>
      <c r="C1" s="277"/>
      <c r="D1" s="277"/>
      <c r="E1" s="277"/>
      <c r="F1" s="277"/>
      <c r="G1" s="277"/>
    </row>
    <row r="2" spans="1:8" ht="14.25" customHeight="1">
      <c r="A2" s="944" t="s">
        <v>261</v>
      </c>
      <c r="B2" s="947" t="s">
        <v>55</v>
      </c>
      <c r="C2" s="950" t="str">
        <f>"ENERGÍA PRODUCIDA "&amp;UPPER('1. Resumen'!Q4)&amp;" "&amp;'1. Resumen'!Q5</f>
        <v>ENERGÍA PRODUCIDA DICIEMBRE 2019</v>
      </c>
      <c r="D2" s="950"/>
      <c r="E2" s="950"/>
      <c r="F2" s="950"/>
      <c r="G2" s="685" t="s">
        <v>287</v>
      </c>
      <c r="H2" s="203"/>
    </row>
    <row r="3" spans="1:8" ht="11.25" customHeight="1">
      <c r="A3" s="945"/>
      <c r="B3" s="948"/>
      <c r="C3" s="951" t="s">
        <v>288</v>
      </c>
      <c r="D3" s="951"/>
      <c r="E3" s="951"/>
      <c r="F3" s="952" t="str">
        <f>"TOTAL 
"&amp;UPPER('1. Resumen'!Q4)</f>
        <v>TOTAL 
DICIEMBRE</v>
      </c>
      <c r="G3" s="686" t="s">
        <v>289</v>
      </c>
      <c r="H3" s="194"/>
    </row>
    <row r="4" spans="1:8" ht="12.75" customHeight="1">
      <c r="A4" s="945"/>
      <c r="B4" s="948"/>
      <c r="C4" s="677" t="s">
        <v>222</v>
      </c>
      <c r="D4" s="677" t="s">
        <v>223</v>
      </c>
      <c r="E4" s="677" t="s">
        <v>290</v>
      </c>
      <c r="F4" s="953"/>
      <c r="G4" s="686">
        <v>2019</v>
      </c>
      <c r="H4" s="196"/>
    </row>
    <row r="5" spans="1:8" ht="11.25" customHeight="1">
      <c r="A5" s="946"/>
      <c r="B5" s="949"/>
      <c r="C5" s="678" t="s">
        <v>291</v>
      </c>
      <c r="D5" s="678" t="s">
        <v>291</v>
      </c>
      <c r="E5" s="678" t="s">
        <v>291</v>
      </c>
      <c r="F5" s="678" t="s">
        <v>291</v>
      </c>
      <c r="G5" s="687" t="s">
        <v>210</v>
      </c>
      <c r="H5" s="196"/>
    </row>
    <row r="6" spans="1:8" ht="9.75" customHeight="1">
      <c r="A6" s="749" t="s">
        <v>122</v>
      </c>
      <c r="B6" s="459" t="s">
        <v>87</v>
      </c>
      <c r="C6" s="460"/>
      <c r="D6" s="460"/>
      <c r="E6" s="460">
        <v>0</v>
      </c>
      <c r="F6" s="460">
        <v>0</v>
      </c>
      <c r="G6" s="745">
        <v>28416.323984999995</v>
      </c>
      <c r="H6" s="196"/>
    </row>
    <row r="7" spans="1:8" ht="9.75" customHeight="1">
      <c r="A7" s="730" t="s">
        <v>292</v>
      </c>
      <c r="B7" s="557"/>
      <c r="C7" s="558"/>
      <c r="D7" s="558"/>
      <c r="E7" s="558">
        <v>0</v>
      </c>
      <c r="F7" s="558">
        <v>0</v>
      </c>
      <c r="G7" s="734">
        <v>28416.323984999995</v>
      </c>
      <c r="H7" s="196"/>
    </row>
    <row r="8" spans="1:8" ht="9.75" customHeight="1">
      <c r="A8" s="749" t="s">
        <v>121</v>
      </c>
      <c r="B8" s="459" t="s">
        <v>64</v>
      </c>
      <c r="C8" s="460"/>
      <c r="D8" s="460"/>
      <c r="E8" s="460">
        <v>14043.76773</v>
      </c>
      <c r="F8" s="460">
        <v>14043.76773</v>
      </c>
      <c r="G8" s="745">
        <v>116321.5473375</v>
      </c>
      <c r="H8" s="196"/>
    </row>
    <row r="9" spans="1:8" ht="9.75" customHeight="1">
      <c r="A9" s="730" t="s">
        <v>293</v>
      </c>
      <c r="B9" s="557"/>
      <c r="C9" s="558"/>
      <c r="D9" s="558"/>
      <c r="E9" s="558">
        <v>14043.76773</v>
      </c>
      <c r="F9" s="558">
        <v>14043.76773</v>
      </c>
      <c r="G9" s="734">
        <v>116321.5473375</v>
      </c>
      <c r="H9" s="196"/>
    </row>
    <row r="10" spans="1:8" ht="9.75" customHeight="1">
      <c r="A10" s="728" t="s">
        <v>107</v>
      </c>
      <c r="B10" s="680" t="s">
        <v>84</v>
      </c>
      <c r="C10" s="681"/>
      <c r="D10" s="681"/>
      <c r="E10" s="681">
        <v>9224.1424850000003</v>
      </c>
      <c r="F10" s="681">
        <v>9224.1424850000003</v>
      </c>
      <c r="G10" s="733">
        <v>97251.707634999999</v>
      </c>
      <c r="H10" s="196"/>
    </row>
    <row r="11" spans="1:8" ht="9.75" customHeight="1">
      <c r="A11" s="730" t="s">
        <v>294</v>
      </c>
      <c r="B11" s="557"/>
      <c r="C11" s="558"/>
      <c r="D11" s="558"/>
      <c r="E11" s="558">
        <v>9224.1424850000003</v>
      </c>
      <c r="F11" s="558">
        <v>9224.1424850000003</v>
      </c>
      <c r="G11" s="734">
        <v>97251.707634999999</v>
      </c>
      <c r="H11" s="196"/>
    </row>
    <row r="12" spans="1:8" ht="9.75" customHeight="1">
      <c r="A12" s="728" t="s">
        <v>488</v>
      </c>
      <c r="B12" s="680" t="s">
        <v>492</v>
      </c>
      <c r="C12" s="681"/>
      <c r="D12" s="681"/>
      <c r="E12" s="681">
        <v>9546.4097149999998</v>
      </c>
      <c r="F12" s="681">
        <v>9546.4097149999998</v>
      </c>
      <c r="G12" s="733">
        <v>112486.33412249997</v>
      </c>
      <c r="H12" s="196"/>
    </row>
    <row r="13" spans="1:8" ht="9.75" customHeight="1">
      <c r="A13" s="730" t="s">
        <v>489</v>
      </c>
      <c r="B13" s="557"/>
      <c r="C13" s="558"/>
      <c r="D13" s="558"/>
      <c r="E13" s="558">
        <v>9546.4097149999998</v>
      </c>
      <c r="F13" s="558">
        <v>9546.4097149999998</v>
      </c>
      <c r="G13" s="734">
        <v>112486.33412249997</v>
      </c>
      <c r="H13" s="196"/>
    </row>
    <row r="14" spans="1:8" s="797" customFormat="1" ht="9.75" customHeight="1">
      <c r="A14" s="728" t="s">
        <v>635</v>
      </c>
      <c r="B14" s="680" t="s">
        <v>645</v>
      </c>
      <c r="C14" s="681"/>
      <c r="D14" s="681"/>
      <c r="E14" s="681">
        <v>5392.9140575000001</v>
      </c>
      <c r="F14" s="681">
        <v>5392.9140575000001</v>
      </c>
      <c r="G14" s="733">
        <v>17976.039185000001</v>
      </c>
      <c r="H14" s="196"/>
    </row>
    <row r="15" spans="1:8" s="797" customFormat="1" ht="13.5" customHeight="1">
      <c r="A15" s="811" t="s">
        <v>636</v>
      </c>
      <c r="B15" s="557"/>
      <c r="C15" s="558"/>
      <c r="D15" s="558"/>
      <c r="E15" s="558">
        <v>5392.9140575000001</v>
      </c>
      <c r="F15" s="558">
        <v>5392.9140575000001</v>
      </c>
      <c r="G15" s="734">
        <v>17976.039185000001</v>
      </c>
      <c r="H15" s="196"/>
    </row>
    <row r="16" spans="1:8" ht="9.75" customHeight="1">
      <c r="A16" s="728" t="s">
        <v>95</v>
      </c>
      <c r="B16" s="680" t="s">
        <v>295</v>
      </c>
      <c r="C16" s="681">
        <v>138850.35003999999</v>
      </c>
      <c r="D16" s="681"/>
      <c r="E16" s="681"/>
      <c r="F16" s="681">
        <v>138850.35003999999</v>
      </c>
      <c r="G16" s="733">
        <v>1173240.1819099998</v>
      </c>
      <c r="H16" s="196"/>
    </row>
    <row r="17" spans="1:8" ht="9.75" customHeight="1">
      <c r="A17" s="730" t="s">
        <v>296</v>
      </c>
      <c r="B17" s="557"/>
      <c r="C17" s="558">
        <v>138850.35003999999</v>
      </c>
      <c r="D17" s="558"/>
      <c r="E17" s="558"/>
      <c r="F17" s="558">
        <v>138850.35003999999</v>
      </c>
      <c r="G17" s="734">
        <v>1173240.1819099998</v>
      </c>
      <c r="H17" s="196"/>
    </row>
    <row r="18" spans="1:8" ht="10.5" customHeight="1">
      <c r="A18" s="728" t="s">
        <v>247</v>
      </c>
      <c r="B18" s="680" t="s">
        <v>297</v>
      </c>
      <c r="C18" s="681"/>
      <c r="D18" s="681">
        <v>0</v>
      </c>
      <c r="E18" s="681"/>
      <c r="F18" s="681">
        <v>0</v>
      </c>
      <c r="G18" s="733">
        <v>1293.1201999999998</v>
      </c>
      <c r="H18" s="196"/>
    </row>
    <row r="19" spans="1:8" ht="10.5" customHeight="1">
      <c r="A19" s="730" t="s">
        <v>298</v>
      </c>
      <c r="B19" s="557"/>
      <c r="C19" s="558"/>
      <c r="D19" s="558">
        <v>0</v>
      </c>
      <c r="E19" s="558"/>
      <c r="F19" s="558">
        <v>0</v>
      </c>
      <c r="G19" s="734">
        <v>1293.1201999999998</v>
      </c>
      <c r="H19" s="196"/>
    </row>
    <row r="20" spans="1:8" ht="9.75" customHeight="1">
      <c r="A20" s="728" t="s">
        <v>94</v>
      </c>
      <c r="B20" s="680" t="s">
        <v>299</v>
      </c>
      <c r="C20" s="681">
        <v>80326.258677500009</v>
      </c>
      <c r="D20" s="681"/>
      <c r="E20" s="681"/>
      <c r="F20" s="681">
        <v>80326.258677500009</v>
      </c>
      <c r="G20" s="733">
        <v>785978.67705749976</v>
      </c>
      <c r="H20" s="196"/>
    </row>
    <row r="21" spans="1:8" ht="9.75" customHeight="1">
      <c r="A21" s="728"/>
      <c r="B21" s="680" t="s">
        <v>300</v>
      </c>
      <c r="C21" s="681">
        <v>24855.420302499999</v>
      </c>
      <c r="D21" s="681"/>
      <c r="E21" s="681"/>
      <c r="F21" s="681">
        <v>24855.420302499999</v>
      </c>
      <c r="G21" s="733">
        <v>228826.64445000005</v>
      </c>
      <c r="H21" s="196"/>
    </row>
    <row r="22" spans="1:8" ht="9.75" customHeight="1">
      <c r="A22" s="730" t="s">
        <v>301</v>
      </c>
      <c r="B22" s="557"/>
      <c r="C22" s="558">
        <v>105181.67898000001</v>
      </c>
      <c r="D22" s="558"/>
      <c r="E22" s="558"/>
      <c r="F22" s="558">
        <v>105181.67898000001</v>
      </c>
      <c r="G22" s="734">
        <v>1014805.3215074998</v>
      </c>
      <c r="H22" s="196"/>
    </row>
    <row r="23" spans="1:8" ht="9.75" customHeight="1">
      <c r="A23" s="728" t="s">
        <v>92</v>
      </c>
      <c r="B23" s="680" t="s">
        <v>302</v>
      </c>
      <c r="C23" s="681">
        <v>1230.04188</v>
      </c>
      <c r="D23" s="681"/>
      <c r="E23" s="681"/>
      <c r="F23" s="681">
        <v>1230.04188</v>
      </c>
      <c r="G23" s="733">
        <v>14384.373137500006</v>
      </c>
      <c r="H23" s="196"/>
    </row>
    <row r="24" spans="1:8" ht="9.75" customHeight="1">
      <c r="A24" s="728"/>
      <c r="B24" s="680" t="s">
        <v>303</v>
      </c>
      <c r="C24" s="681">
        <v>423.40805999999998</v>
      </c>
      <c r="D24" s="681"/>
      <c r="E24" s="681"/>
      <c r="F24" s="681">
        <v>423.40805999999998</v>
      </c>
      <c r="G24" s="733">
        <v>4890.6812</v>
      </c>
      <c r="H24" s="196"/>
    </row>
    <row r="25" spans="1:8" ht="9.75" customHeight="1">
      <c r="A25" s="728"/>
      <c r="B25" s="680" t="s">
        <v>304</v>
      </c>
      <c r="C25" s="681">
        <v>3424.87075</v>
      </c>
      <c r="D25" s="681"/>
      <c r="E25" s="681"/>
      <c r="F25" s="681">
        <v>3424.87075</v>
      </c>
      <c r="G25" s="733">
        <v>39427.128667500001</v>
      </c>
      <c r="H25" s="196"/>
    </row>
    <row r="26" spans="1:8" ht="9.75" customHeight="1">
      <c r="A26" s="728"/>
      <c r="B26" s="680" t="s">
        <v>305</v>
      </c>
      <c r="C26" s="681">
        <v>8153.2551224999997</v>
      </c>
      <c r="D26" s="681"/>
      <c r="E26" s="681"/>
      <c r="F26" s="681">
        <v>8153.2551224999997</v>
      </c>
      <c r="G26" s="733">
        <v>104283.45045999999</v>
      </c>
      <c r="H26" s="196"/>
    </row>
    <row r="27" spans="1:8" ht="9.75" customHeight="1">
      <c r="A27" s="728"/>
      <c r="B27" s="680" t="s">
        <v>306</v>
      </c>
      <c r="C27" s="681">
        <v>56312.452174999999</v>
      </c>
      <c r="D27" s="681"/>
      <c r="E27" s="681"/>
      <c r="F27" s="681">
        <v>56312.452174999999</v>
      </c>
      <c r="G27" s="733">
        <v>734448.23901499994</v>
      </c>
      <c r="H27" s="196"/>
    </row>
    <row r="28" spans="1:8" ht="9.75" customHeight="1">
      <c r="A28" s="728"/>
      <c r="B28" s="680" t="s">
        <v>307</v>
      </c>
      <c r="C28" s="681">
        <v>5484.6078500000003</v>
      </c>
      <c r="D28" s="681"/>
      <c r="E28" s="681"/>
      <c r="F28" s="681">
        <v>5484.6078500000003</v>
      </c>
      <c r="G28" s="733">
        <v>63794.238259999991</v>
      </c>
      <c r="H28" s="196"/>
    </row>
    <row r="29" spans="1:8" ht="9.75" customHeight="1">
      <c r="A29" s="728"/>
      <c r="B29" s="680" t="s">
        <v>308</v>
      </c>
      <c r="C29" s="681"/>
      <c r="D29" s="681">
        <v>94.277919999999995</v>
      </c>
      <c r="E29" s="681"/>
      <c r="F29" s="681">
        <v>94.277919999999995</v>
      </c>
      <c r="G29" s="733">
        <v>442.79892999999998</v>
      </c>
      <c r="H29" s="196"/>
    </row>
    <row r="30" spans="1:8" ht="9.75" customHeight="1">
      <c r="A30" s="728"/>
      <c r="B30" s="680" t="s">
        <v>309</v>
      </c>
      <c r="C30" s="681"/>
      <c r="D30" s="681">
        <v>19.755187500000002</v>
      </c>
      <c r="E30" s="681"/>
      <c r="F30" s="681">
        <v>19.755187500000002</v>
      </c>
      <c r="G30" s="733">
        <v>357.18749999999994</v>
      </c>
      <c r="H30" s="196"/>
    </row>
    <row r="31" spans="1:8" ht="9.75" customHeight="1">
      <c r="A31" s="728"/>
      <c r="B31" s="680" t="s">
        <v>310</v>
      </c>
      <c r="C31" s="681"/>
      <c r="D31" s="681">
        <v>0</v>
      </c>
      <c r="E31" s="681"/>
      <c r="F31" s="681">
        <v>0</v>
      </c>
      <c r="G31" s="733">
        <v>30953.393329999999</v>
      </c>
      <c r="H31" s="196"/>
    </row>
    <row r="32" spans="1:8" ht="9.75" customHeight="1">
      <c r="A32" s="730" t="s">
        <v>311</v>
      </c>
      <c r="B32" s="557"/>
      <c r="C32" s="558">
        <v>75028.635837499998</v>
      </c>
      <c r="D32" s="558">
        <v>114.0331075</v>
      </c>
      <c r="E32" s="558"/>
      <c r="F32" s="558">
        <v>75142.668944999998</v>
      </c>
      <c r="G32" s="734">
        <v>992981.49049999996</v>
      </c>
      <c r="H32" s="196"/>
    </row>
    <row r="33" spans="1:8" ht="9.75" customHeight="1">
      <c r="A33" s="728" t="s">
        <v>115</v>
      </c>
      <c r="B33" s="680" t="s">
        <v>71</v>
      </c>
      <c r="C33" s="681"/>
      <c r="D33" s="681"/>
      <c r="E33" s="681">
        <v>2194.1894350000002</v>
      </c>
      <c r="F33" s="681">
        <v>2194.1894350000002</v>
      </c>
      <c r="G33" s="733">
        <v>30309.962492499999</v>
      </c>
      <c r="H33" s="196"/>
    </row>
    <row r="34" spans="1:8" ht="9.75" customHeight="1">
      <c r="A34" s="730" t="s">
        <v>312</v>
      </c>
      <c r="B34" s="557"/>
      <c r="C34" s="558"/>
      <c r="D34" s="558"/>
      <c r="E34" s="558">
        <v>2194.1894350000002</v>
      </c>
      <c r="F34" s="558">
        <v>2194.1894350000002</v>
      </c>
      <c r="G34" s="734">
        <v>30309.962492499999</v>
      </c>
      <c r="H34" s="196"/>
    </row>
    <row r="35" spans="1:8" ht="9.75" customHeight="1">
      <c r="A35" s="728" t="s">
        <v>93</v>
      </c>
      <c r="B35" s="680" t="s">
        <v>313</v>
      </c>
      <c r="C35" s="681">
        <v>121696.5332475</v>
      </c>
      <c r="D35" s="681"/>
      <c r="E35" s="681"/>
      <c r="F35" s="681">
        <v>121696.5332475</v>
      </c>
      <c r="G35" s="733">
        <v>1254114.2495799998</v>
      </c>
      <c r="H35" s="196"/>
    </row>
    <row r="36" spans="1:8" ht="9.75" customHeight="1">
      <c r="A36" s="730" t="s">
        <v>314</v>
      </c>
      <c r="B36" s="557"/>
      <c r="C36" s="558">
        <v>121696.5332475</v>
      </c>
      <c r="D36" s="558"/>
      <c r="E36" s="558"/>
      <c r="F36" s="558">
        <v>121696.5332475</v>
      </c>
      <c r="G36" s="734">
        <v>1254114.2495799998</v>
      </c>
      <c r="H36" s="196"/>
    </row>
    <row r="37" spans="1:8" ht="9.75" customHeight="1">
      <c r="A37" s="728" t="s">
        <v>102</v>
      </c>
      <c r="B37" s="680" t="s">
        <v>315</v>
      </c>
      <c r="C37" s="681">
        <v>5461.0995000000003</v>
      </c>
      <c r="D37" s="681"/>
      <c r="E37" s="681"/>
      <c r="F37" s="681">
        <v>5461.0995000000003</v>
      </c>
      <c r="G37" s="733">
        <v>62387.625</v>
      </c>
      <c r="H37" s="196"/>
    </row>
    <row r="38" spans="1:8" ht="9.75" customHeight="1">
      <c r="A38" s="728"/>
      <c r="B38" s="680" t="s">
        <v>316</v>
      </c>
      <c r="C38" s="681">
        <v>3521.3339999999998</v>
      </c>
      <c r="D38" s="681"/>
      <c r="E38" s="681"/>
      <c r="F38" s="681">
        <v>3521.3339999999998</v>
      </c>
      <c r="G38" s="733">
        <v>42187.527000000016</v>
      </c>
      <c r="H38" s="196"/>
    </row>
    <row r="39" spans="1:8" ht="9.75" customHeight="1">
      <c r="A39" s="728"/>
      <c r="B39" s="680" t="s">
        <v>317</v>
      </c>
      <c r="C39" s="681"/>
      <c r="D39" s="681">
        <v>1551.7472349999998</v>
      </c>
      <c r="E39" s="681"/>
      <c r="F39" s="681">
        <v>1551.7472349999998</v>
      </c>
      <c r="G39" s="733">
        <v>60953.438647499992</v>
      </c>
      <c r="H39" s="196"/>
    </row>
    <row r="40" spans="1:8" ht="9.75" customHeight="1">
      <c r="A40" s="730" t="s">
        <v>318</v>
      </c>
      <c r="B40" s="557"/>
      <c r="C40" s="558">
        <v>8982.4334999999992</v>
      </c>
      <c r="D40" s="558">
        <v>1551.7472349999998</v>
      </c>
      <c r="E40" s="558"/>
      <c r="F40" s="558">
        <v>10534.180734999998</v>
      </c>
      <c r="G40" s="734">
        <v>165528.59064750001</v>
      </c>
      <c r="H40" s="196"/>
    </row>
    <row r="41" spans="1:8" ht="19.5" customHeight="1">
      <c r="A41" s="742" t="s">
        <v>603</v>
      </c>
      <c r="B41" s="680" t="s">
        <v>76</v>
      </c>
      <c r="C41" s="681"/>
      <c r="D41" s="681"/>
      <c r="E41" s="681">
        <v>265.74854249999999</v>
      </c>
      <c r="F41" s="681">
        <v>265.74854249999999</v>
      </c>
      <c r="G41" s="733">
        <v>2292.6676674999999</v>
      </c>
      <c r="H41" s="196"/>
    </row>
    <row r="42" spans="1:8" ht="20.25" customHeight="1">
      <c r="A42" s="811" t="s">
        <v>586</v>
      </c>
      <c r="B42" s="557"/>
      <c r="C42" s="558"/>
      <c r="D42" s="558"/>
      <c r="E42" s="558">
        <v>265.74854249999999</v>
      </c>
      <c r="F42" s="558">
        <v>265.74854249999999</v>
      </c>
      <c r="G42" s="734">
        <v>2292.6676674999999</v>
      </c>
      <c r="H42" s="196"/>
    </row>
    <row r="43" spans="1:8" ht="9.75" customHeight="1">
      <c r="A43" s="728" t="s">
        <v>116</v>
      </c>
      <c r="B43" s="680" t="s">
        <v>74</v>
      </c>
      <c r="C43" s="681"/>
      <c r="D43" s="681"/>
      <c r="E43" s="681">
        <v>2535.7750925</v>
      </c>
      <c r="F43" s="681">
        <v>2535.7750925</v>
      </c>
      <c r="G43" s="733">
        <v>23280.680952499995</v>
      </c>
      <c r="H43" s="196"/>
    </row>
    <row r="44" spans="1:8" ht="9.75" customHeight="1">
      <c r="A44" s="730" t="s">
        <v>319</v>
      </c>
      <c r="B44" s="557"/>
      <c r="C44" s="558"/>
      <c r="D44" s="558"/>
      <c r="E44" s="558">
        <v>2535.7750925</v>
      </c>
      <c r="F44" s="558">
        <v>2535.7750925</v>
      </c>
      <c r="G44" s="734">
        <v>23280.680952499995</v>
      </c>
      <c r="H44" s="196"/>
    </row>
    <row r="45" spans="1:8" ht="9.75" customHeight="1">
      <c r="A45" s="728" t="s">
        <v>493</v>
      </c>
      <c r="B45" s="680" t="s">
        <v>599</v>
      </c>
      <c r="C45" s="681"/>
      <c r="D45" s="681"/>
      <c r="E45" s="681">
        <v>8732.9810025000006</v>
      </c>
      <c r="F45" s="681">
        <v>8732.9810025000006</v>
      </c>
      <c r="G45" s="733">
        <v>75630.96441499998</v>
      </c>
      <c r="H45" s="196"/>
    </row>
    <row r="46" spans="1:8" ht="9.75" customHeight="1">
      <c r="A46" s="730" t="s">
        <v>494</v>
      </c>
      <c r="B46" s="557"/>
      <c r="C46" s="558"/>
      <c r="D46" s="558"/>
      <c r="E46" s="558">
        <v>8732.9810025000006</v>
      </c>
      <c r="F46" s="558">
        <v>8732.9810025000006</v>
      </c>
      <c r="G46" s="734">
        <v>75630.96441499998</v>
      </c>
      <c r="H46" s="196"/>
    </row>
    <row r="47" spans="1:8" ht="9.75" customHeight="1">
      <c r="A47" s="728" t="s">
        <v>90</v>
      </c>
      <c r="B47" s="680" t="s">
        <v>320</v>
      </c>
      <c r="C47" s="681">
        <v>477963.44159999996</v>
      </c>
      <c r="D47" s="681"/>
      <c r="E47" s="681"/>
      <c r="F47" s="681">
        <v>477963.44159999996</v>
      </c>
      <c r="G47" s="733">
        <v>5452373.044800004</v>
      </c>
      <c r="H47" s="196"/>
    </row>
    <row r="48" spans="1:8" ht="9.75" customHeight="1">
      <c r="A48" s="728"/>
      <c r="B48" s="680" t="s">
        <v>321</v>
      </c>
      <c r="C48" s="681">
        <v>154449.65519999998</v>
      </c>
      <c r="D48" s="681"/>
      <c r="E48" s="681"/>
      <c r="F48" s="681">
        <v>154449.65519999998</v>
      </c>
      <c r="G48" s="733">
        <v>1725691.5897600015</v>
      </c>
      <c r="H48" s="196"/>
    </row>
    <row r="49" spans="1:8" ht="9.75" customHeight="1">
      <c r="A49" s="728"/>
      <c r="B49" s="680" t="s">
        <v>322</v>
      </c>
      <c r="C49" s="681"/>
      <c r="D49" s="681">
        <v>0</v>
      </c>
      <c r="E49" s="681"/>
      <c r="F49" s="681">
        <v>0</v>
      </c>
      <c r="G49" s="733">
        <v>282.46972499999998</v>
      </c>
      <c r="H49" s="196"/>
    </row>
    <row r="50" spans="1:8" ht="9.75" customHeight="1">
      <c r="A50" s="730" t="s">
        <v>323</v>
      </c>
      <c r="B50" s="557"/>
      <c r="C50" s="558">
        <v>632413.09679999994</v>
      </c>
      <c r="D50" s="558">
        <v>0</v>
      </c>
      <c r="E50" s="558"/>
      <c r="F50" s="558">
        <v>632413.09679999994</v>
      </c>
      <c r="G50" s="734">
        <v>7178347.1042850055</v>
      </c>
      <c r="H50" s="196"/>
    </row>
    <row r="51" spans="1:8" ht="9.75" customHeight="1">
      <c r="A51" s="728" t="s">
        <v>248</v>
      </c>
      <c r="B51" s="680" t="s">
        <v>324</v>
      </c>
      <c r="C51" s="681">
        <v>297542.73790000001</v>
      </c>
      <c r="D51" s="681"/>
      <c r="E51" s="681"/>
      <c r="F51" s="681">
        <v>297542.73790000001</v>
      </c>
      <c r="G51" s="733">
        <v>2248712.2619225001</v>
      </c>
      <c r="H51" s="196"/>
    </row>
    <row r="52" spans="1:8" ht="9.75" customHeight="1">
      <c r="A52" s="728"/>
      <c r="B52" s="680" t="s">
        <v>325</v>
      </c>
      <c r="C52" s="681">
        <v>3706.7442500000002</v>
      </c>
      <c r="D52" s="681"/>
      <c r="E52" s="681"/>
      <c r="F52" s="681">
        <v>3706.7442500000002</v>
      </c>
      <c r="G52" s="733">
        <v>48725.263412499997</v>
      </c>
      <c r="H52" s="196"/>
    </row>
    <row r="53" spans="1:8" ht="9.75" customHeight="1">
      <c r="A53" s="730" t="s">
        <v>326</v>
      </c>
      <c r="B53" s="557"/>
      <c r="C53" s="558">
        <v>301249.48215</v>
      </c>
      <c r="D53" s="558"/>
      <c r="E53" s="558"/>
      <c r="F53" s="558">
        <v>301249.48215</v>
      </c>
      <c r="G53" s="734">
        <v>2297437.5253349999</v>
      </c>
      <c r="H53" s="196"/>
    </row>
    <row r="54" spans="1:8" ht="9.75" customHeight="1">
      <c r="A54" s="728" t="s">
        <v>249</v>
      </c>
      <c r="B54" s="680" t="s">
        <v>327</v>
      </c>
      <c r="C54" s="681">
        <v>31009.253637500002</v>
      </c>
      <c r="D54" s="681"/>
      <c r="E54" s="681"/>
      <c r="F54" s="681">
        <v>31009.253637500002</v>
      </c>
      <c r="G54" s="733">
        <v>396872.39993750001</v>
      </c>
      <c r="H54" s="196"/>
    </row>
    <row r="55" spans="1:8" ht="9.75" customHeight="1">
      <c r="A55" s="730" t="s">
        <v>328</v>
      </c>
      <c r="B55" s="557"/>
      <c r="C55" s="558">
        <v>31009.253637500002</v>
      </c>
      <c r="D55" s="558"/>
      <c r="E55" s="558"/>
      <c r="F55" s="558">
        <v>31009.253637500002</v>
      </c>
      <c r="G55" s="734">
        <v>396872.39993750001</v>
      </c>
      <c r="H55" s="111"/>
    </row>
    <row r="56" spans="1:8" ht="24.75" customHeight="1">
      <c r="A56" s="732" t="s">
        <v>602</v>
      </c>
      <c r="B56" s="680" t="s">
        <v>66</v>
      </c>
      <c r="C56" s="681"/>
      <c r="D56" s="681"/>
      <c r="E56" s="681">
        <v>6172.6829550000002</v>
      </c>
      <c r="F56" s="681">
        <v>6172.6829550000002</v>
      </c>
      <c r="G56" s="733">
        <v>50606.737065000008</v>
      </c>
      <c r="H56" s="111"/>
    </row>
    <row r="57" spans="1:8" ht="9.75" customHeight="1">
      <c r="A57" s="728"/>
      <c r="B57" s="680" t="s">
        <v>65</v>
      </c>
      <c r="C57" s="681"/>
      <c r="D57" s="681"/>
      <c r="E57" s="681">
        <v>6222.757415</v>
      </c>
      <c r="F57" s="681">
        <v>6222.757415</v>
      </c>
      <c r="G57" s="733">
        <v>52867.689559999999</v>
      </c>
      <c r="H57" s="111"/>
    </row>
    <row r="58" spans="1:8" s="797" customFormat="1" ht="9.75" customHeight="1">
      <c r="A58" s="728"/>
      <c r="B58" s="680" t="s">
        <v>61</v>
      </c>
      <c r="C58" s="681"/>
      <c r="D58" s="681"/>
      <c r="E58" s="681">
        <v>12601.364645</v>
      </c>
      <c r="F58" s="681">
        <v>12601.364645</v>
      </c>
      <c r="G58" s="733">
        <v>95909.324360000028</v>
      </c>
      <c r="H58" s="111"/>
    </row>
    <row r="59" spans="1:8" s="797" customFormat="1" ht="9.75" customHeight="1">
      <c r="A59" s="728"/>
      <c r="B59" s="680" t="s">
        <v>58</v>
      </c>
      <c r="C59" s="681"/>
      <c r="D59" s="681"/>
      <c r="E59" s="681">
        <v>14743.725877499999</v>
      </c>
      <c r="F59" s="681">
        <v>14743.725877499999</v>
      </c>
      <c r="G59" s="733">
        <v>118122.38587499996</v>
      </c>
      <c r="H59" s="111"/>
    </row>
    <row r="60" spans="1:8" s="797" customFormat="1" ht="9.75" customHeight="1">
      <c r="A60" s="728"/>
      <c r="B60" s="680" t="s">
        <v>69</v>
      </c>
      <c r="C60" s="681"/>
      <c r="D60" s="681"/>
      <c r="E60" s="681">
        <v>4359.7190250000003</v>
      </c>
      <c r="F60" s="681">
        <v>4359.7190250000003</v>
      </c>
      <c r="G60" s="733">
        <v>32198.901092499997</v>
      </c>
      <c r="H60" s="111"/>
    </row>
    <row r="61" spans="1:8" s="797" customFormat="1" ht="9.75" customHeight="1">
      <c r="A61" s="728"/>
      <c r="B61" s="680" t="s">
        <v>68</v>
      </c>
      <c r="C61" s="681"/>
      <c r="D61" s="681"/>
      <c r="E61" s="681">
        <v>4499.1244749999996</v>
      </c>
      <c r="F61" s="681">
        <v>4499.1244749999996</v>
      </c>
      <c r="G61" s="733">
        <v>35145.755974999993</v>
      </c>
      <c r="H61" s="111"/>
    </row>
    <row r="62" spans="1:8" ht="21" customHeight="1">
      <c r="A62" s="811" t="s">
        <v>597</v>
      </c>
      <c r="B62" s="557"/>
      <c r="C62" s="558"/>
      <c r="D62" s="558"/>
      <c r="E62" s="558">
        <v>48599.374392499994</v>
      </c>
      <c r="F62" s="558">
        <v>48599.374392499994</v>
      </c>
      <c r="G62" s="558">
        <v>384850.79392750002</v>
      </c>
      <c r="H62" s="111"/>
    </row>
    <row r="63" spans="1:8" ht="9.75" customHeight="1">
      <c r="A63" s="728" t="s">
        <v>89</v>
      </c>
      <c r="B63" s="680" t="s">
        <v>642</v>
      </c>
      <c r="C63" s="681">
        <v>57001.580472499998</v>
      </c>
      <c r="D63" s="681"/>
      <c r="E63" s="681"/>
      <c r="F63" s="681">
        <v>57001.580472499998</v>
      </c>
      <c r="G63" s="733">
        <v>497717.22650250007</v>
      </c>
      <c r="H63" s="111"/>
    </row>
    <row r="64" spans="1:8" ht="9.75" customHeight="1">
      <c r="A64" s="728"/>
      <c r="B64" s="680" t="s">
        <v>329</v>
      </c>
      <c r="C64" s="681">
        <v>20379.314485000003</v>
      </c>
      <c r="D64" s="681"/>
      <c r="E64" s="681"/>
      <c r="F64" s="681">
        <v>20379.314485000003</v>
      </c>
      <c r="G64" s="733">
        <v>226343.54916</v>
      </c>
      <c r="H64" s="197"/>
    </row>
    <row r="65" spans="1:8" ht="9.75" customHeight="1">
      <c r="A65" s="728"/>
      <c r="B65" s="680" t="s">
        <v>330</v>
      </c>
      <c r="C65" s="681">
        <v>102551.43798250001</v>
      </c>
      <c r="D65" s="681"/>
      <c r="E65" s="681"/>
      <c r="F65" s="681">
        <v>102551.43798250001</v>
      </c>
      <c r="G65" s="733">
        <v>1187818.8263725</v>
      </c>
      <c r="H65" s="197"/>
    </row>
    <row r="66" spans="1:8" ht="9.75" customHeight="1">
      <c r="A66" s="728"/>
      <c r="B66" s="680" t="s">
        <v>331</v>
      </c>
      <c r="C66" s="681">
        <v>93801.789485000001</v>
      </c>
      <c r="D66" s="681"/>
      <c r="E66" s="681"/>
      <c r="F66" s="681">
        <v>93801.789485000001</v>
      </c>
      <c r="G66" s="733">
        <v>896736.13511500019</v>
      </c>
      <c r="H66" s="197"/>
    </row>
    <row r="67" spans="1:8" ht="9.75" customHeight="1">
      <c r="A67" s="728"/>
      <c r="B67" s="680" t="s">
        <v>332</v>
      </c>
      <c r="C67" s="681">
        <v>47724.082397500002</v>
      </c>
      <c r="D67" s="681"/>
      <c r="E67" s="681"/>
      <c r="F67" s="681">
        <v>47724.082397500002</v>
      </c>
      <c r="G67" s="733">
        <v>542216.44134999998</v>
      </c>
      <c r="H67" s="197"/>
    </row>
    <row r="68" spans="1:8" ht="9.75" customHeight="1">
      <c r="A68" s="728"/>
      <c r="B68" s="680" t="s">
        <v>333</v>
      </c>
      <c r="C68" s="681"/>
      <c r="D68" s="681">
        <v>2121.7266199999999</v>
      </c>
      <c r="E68" s="681"/>
      <c r="F68" s="681">
        <v>2121.7266199999999</v>
      </c>
      <c r="G68" s="733">
        <v>87195.289199999999</v>
      </c>
      <c r="H68" s="197"/>
    </row>
    <row r="69" spans="1:8" ht="9.75" customHeight="1">
      <c r="A69" s="728"/>
      <c r="B69" s="680" t="s">
        <v>334</v>
      </c>
      <c r="C69" s="681"/>
      <c r="D69" s="681">
        <v>3769.6050675000001</v>
      </c>
      <c r="E69" s="681"/>
      <c r="F69" s="681">
        <v>3769.6050675000001</v>
      </c>
      <c r="G69" s="733">
        <v>302677.967955</v>
      </c>
      <c r="H69" s="197"/>
    </row>
    <row r="70" spans="1:8" ht="9.75" customHeight="1">
      <c r="A70" s="728"/>
      <c r="B70" s="680" t="s">
        <v>335</v>
      </c>
      <c r="C70" s="681"/>
      <c r="D70" s="681">
        <v>178160.1218925</v>
      </c>
      <c r="E70" s="681"/>
      <c r="F70" s="681">
        <v>178160.1218925</v>
      </c>
      <c r="G70" s="733">
        <v>2956414.7359025008</v>
      </c>
    </row>
    <row r="71" spans="1:8" ht="9.75" customHeight="1">
      <c r="A71" s="728"/>
      <c r="B71" s="680" t="s">
        <v>484</v>
      </c>
      <c r="C71" s="681"/>
      <c r="D71" s="681"/>
      <c r="E71" s="681">
        <v>443.32834750000001</v>
      </c>
      <c r="F71" s="681">
        <v>443.32834750000001</v>
      </c>
      <c r="G71" s="733">
        <v>4383.8673850000005</v>
      </c>
    </row>
    <row r="72" spans="1:8" ht="9.75" customHeight="1">
      <c r="A72" s="730" t="s">
        <v>336</v>
      </c>
      <c r="B72" s="557"/>
      <c r="C72" s="558">
        <v>321458.2048225</v>
      </c>
      <c r="D72" s="558">
        <v>184051.45358</v>
      </c>
      <c r="E72" s="558">
        <v>443.32834750000001</v>
      </c>
      <c r="F72" s="558">
        <v>505952.98674999998</v>
      </c>
      <c r="G72" s="734">
        <v>6701504.0389425009</v>
      </c>
    </row>
    <row r="73" spans="1:8" ht="9.75" customHeight="1">
      <c r="A73" s="728" t="s">
        <v>97</v>
      </c>
      <c r="B73" s="680" t="s">
        <v>337</v>
      </c>
      <c r="C73" s="681"/>
      <c r="D73" s="681">
        <v>727.74215749999996</v>
      </c>
      <c r="E73" s="681"/>
      <c r="F73" s="681">
        <v>727.74215749999996</v>
      </c>
      <c r="G73" s="733">
        <v>13214.055465000001</v>
      </c>
    </row>
    <row r="74" spans="1:8" ht="9.75" customHeight="1">
      <c r="A74" s="728"/>
      <c r="B74" s="680" t="s">
        <v>338</v>
      </c>
      <c r="C74" s="681"/>
      <c r="D74" s="681">
        <v>52179.637037499997</v>
      </c>
      <c r="E74" s="681"/>
      <c r="F74" s="681">
        <v>52179.637037499997</v>
      </c>
      <c r="G74" s="733">
        <v>473467.1212949999</v>
      </c>
    </row>
    <row r="75" spans="1:8" ht="9.75" customHeight="1">
      <c r="A75" s="728"/>
      <c r="B75" s="680" t="s">
        <v>339</v>
      </c>
      <c r="C75" s="681"/>
      <c r="D75" s="681">
        <v>23.112292499999999</v>
      </c>
      <c r="E75" s="681"/>
      <c r="F75" s="681">
        <v>23.112292499999999</v>
      </c>
      <c r="G75" s="733">
        <v>178013.8909575</v>
      </c>
    </row>
    <row r="76" spans="1:8" ht="23.25" customHeight="1">
      <c r="A76" s="811" t="s">
        <v>340</v>
      </c>
      <c r="B76" s="557"/>
      <c r="C76" s="558"/>
      <c r="D76" s="558">
        <v>52930.491487499996</v>
      </c>
      <c r="E76" s="558"/>
      <c r="F76" s="558">
        <v>52930.491487499996</v>
      </c>
      <c r="G76" s="734">
        <v>664695.06771749991</v>
      </c>
    </row>
    <row r="77" spans="1:8" ht="9.75" customHeight="1">
      <c r="A77" s="728" t="s">
        <v>99</v>
      </c>
      <c r="B77" s="680" t="s">
        <v>515</v>
      </c>
      <c r="C77" s="681"/>
      <c r="D77" s="681"/>
      <c r="E77" s="681">
        <v>44343.811827500002</v>
      </c>
      <c r="F77" s="681">
        <v>44343.811827500002</v>
      </c>
      <c r="G77" s="733">
        <v>423023.58283249993</v>
      </c>
    </row>
    <row r="78" spans="1:8" ht="9.75" customHeight="1">
      <c r="A78" s="728"/>
      <c r="B78" s="680" t="s">
        <v>514</v>
      </c>
      <c r="C78" s="681"/>
      <c r="D78" s="681"/>
      <c r="E78" s="681">
        <v>47909.157652499998</v>
      </c>
      <c r="F78" s="681">
        <v>47909.157652499998</v>
      </c>
      <c r="G78" s="733">
        <v>584204.88020999997</v>
      </c>
    </row>
    <row r="79" spans="1:8" ht="21.75" customHeight="1">
      <c r="A79" s="811" t="s">
        <v>341</v>
      </c>
      <c r="B79" s="557"/>
      <c r="C79" s="558"/>
      <c r="D79" s="558"/>
      <c r="E79" s="558">
        <v>92252.96948</v>
      </c>
      <c r="F79" s="558">
        <v>92252.96948</v>
      </c>
      <c r="G79" s="734">
        <v>1007228.4630425</v>
      </c>
    </row>
    <row r="80" spans="1:8" ht="9.75" customHeight="1">
      <c r="A80" s="728" t="s">
        <v>98</v>
      </c>
      <c r="B80" s="680" t="s">
        <v>78</v>
      </c>
      <c r="C80" s="681"/>
      <c r="D80" s="681"/>
      <c r="E80" s="681">
        <v>28791.526627499999</v>
      </c>
      <c r="F80" s="681">
        <v>28791.526627499999</v>
      </c>
      <c r="G80" s="733">
        <v>317776.4823875</v>
      </c>
    </row>
    <row r="81" spans="1:7" ht="9.75" customHeight="1">
      <c r="A81" s="728"/>
      <c r="B81" s="680" t="s">
        <v>80</v>
      </c>
      <c r="C81" s="681"/>
      <c r="D81" s="681"/>
      <c r="E81" s="681">
        <v>11826.939152499999</v>
      </c>
      <c r="F81" s="681">
        <v>11826.939152499999</v>
      </c>
      <c r="G81" s="733">
        <v>125905.84002999998</v>
      </c>
    </row>
    <row r="82" spans="1:7" ht="9.75" customHeight="1">
      <c r="A82" s="747" t="s">
        <v>342</v>
      </c>
      <c r="B82" s="688"/>
      <c r="C82" s="689"/>
      <c r="D82" s="689"/>
      <c r="E82" s="689">
        <v>40618.465779999999</v>
      </c>
      <c r="F82" s="689">
        <v>40618.465779999999</v>
      </c>
      <c r="G82" s="748">
        <v>443682.32241749996</v>
      </c>
    </row>
    <row r="83" spans="1:7" ht="9.75" customHeight="1">
      <c r="A83" s="351"/>
      <c r="B83" s="351"/>
      <c r="C83" s="461"/>
      <c r="D83" s="461"/>
      <c r="E83" s="461"/>
      <c r="F83" s="351"/>
      <c r="G83" s="351"/>
    </row>
    <row r="84" spans="1:7" ht="9.75" customHeight="1">
      <c r="A84" s="351"/>
      <c r="B84" s="351"/>
      <c r="C84" s="461"/>
      <c r="D84" s="461"/>
      <c r="E84" s="461"/>
      <c r="F84" s="351"/>
      <c r="G84" s="351"/>
    </row>
    <row r="85" spans="1:7" ht="9.75" customHeight="1">
      <c r="A85" s="351"/>
      <c r="B85" s="351"/>
      <c r="C85" s="461"/>
      <c r="D85" s="461"/>
      <c r="E85" s="461"/>
      <c r="F85" s="351"/>
      <c r="G85" s="351"/>
    </row>
    <row r="86" spans="1:7" ht="9.75" customHeight="1">
      <c r="A86" s="351"/>
      <c r="B86" s="351"/>
      <c r="C86" s="461"/>
      <c r="D86" s="461"/>
      <c r="E86" s="461"/>
      <c r="F86" s="351"/>
      <c r="G86" s="351"/>
    </row>
    <row r="87" spans="1:7" ht="9.75" customHeight="1">
      <c r="A87" s="351"/>
      <c r="B87" s="351"/>
      <c r="C87" s="461"/>
      <c r="D87" s="461"/>
      <c r="E87" s="461"/>
      <c r="F87" s="351"/>
      <c r="G87" s="351"/>
    </row>
    <row r="88" spans="1:7" ht="9.75" customHeight="1">
      <c r="A88" s="351"/>
      <c r="B88" s="351"/>
      <c r="C88" s="461"/>
      <c r="D88" s="461"/>
      <c r="E88" s="461"/>
      <c r="F88" s="351"/>
      <c r="G88" s="351"/>
    </row>
    <row r="89" spans="1:7" ht="9.75" customHeight="1">
      <c r="A89" s="351"/>
      <c r="B89" s="351"/>
      <c r="C89" s="461"/>
      <c r="D89" s="461"/>
      <c r="E89" s="461"/>
      <c r="F89" s="351"/>
      <c r="G89" s="351"/>
    </row>
    <row r="90" spans="1:7" ht="9.75" customHeight="1">
      <c r="A90" s="351"/>
      <c r="B90" s="351"/>
      <c r="C90" s="461"/>
      <c r="D90" s="461"/>
      <c r="E90" s="461"/>
      <c r="F90" s="351"/>
      <c r="G90" s="351"/>
    </row>
    <row r="91" spans="1:7" ht="9.75" customHeight="1">
      <c r="A91" s="351"/>
      <c r="B91" s="351"/>
      <c r="C91" s="461"/>
      <c r="D91" s="461"/>
      <c r="E91" s="461"/>
      <c r="F91" s="351"/>
      <c r="G91" s="351"/>
    </row>
    <row r="92" spans="1:7" ht="9.75" customHeight="1">
      <c r="A92" s="351"/>
      <c r="B92" s="351"/>
      <c r="C92" s="461"/>
      <c r="D92" s="461"/>
      <c r="E92" s="461"/>
      <c r="F92" s="351"/>
      <c r="G92" s="351"/>
    </row>
    <row r="93" spans="1:7" ht="9.75" customHeight="1">
      <c r="A93" s="351"/>
      <c r="B93" s="351"/>
      <c r="C93" s="461"/>
      <c r="D93" s="461"/>
      <c r="E93" s="461"/>
      <c r="F93" s="351"/>
      <c r="G93" s="351"/>
    </row>
    <row r="94" spans="1:7" ht="9.75" customHeight="1">
      <c r="A94" s="351"/>
      <c r="B94" s="351"/>
      <c r="C94" s="461"/>
      <c r="D94" s="461"/>
      <c r="E94" s="461"/>
      <c r="F94" s="351"/>
      <c r="G94" s="351"/>
    </row>
    <row r="95" spans="1:7" ht="9.75" customHeight="1">
      <c r="A95" s="351"/>
      <c r="B95" s="351"/>
      <c r="C95" s="461"/>
      <c r="D95" s="461"/>
      <c r="E95" s="461"/>
      <c r="F95" s="351"/>
      <c r="G95" s="351"/>
    </row>
    <row r="96" spans="1:7" ht="9.75" customHeight="1">
      <c r="A96" s="351"/>
      <c r="B96" s="351"/>
      <c r="C96" s="461"/>
      <c r="D96" s="461"/>
      <c r="E96" s="461"/>
      <c r="F96" s="351"/>
      <c r="G96" s="351"/>
    </row>
    <row r="97" spans="1:7" ht="9.75" customHeight="1">
      <c r="A97" s="351"/>
      <c r="B97" s="351"/>
      <c r="C97" s="461"/>
      <c r="D97" s="461"/>
      <c r="E97" s="461"/>
      <c r="F97" s="351"/>
      <c r="G97" s="351"/>
    </row>
    <row r="98" spans="1:7" ht="9.75" customHeight="1">
      <c r="A98" s="351"/>
      <c r="B98" s="351"/>
      <c r="C98" s="461"/>
      <c r="D98" s="461"/>
      <c r="E98" s="461"/>
      <c r="F98" s="351"/>
      <c r="G98" s="351"/>
    </row>
    <row r="99" spans="1:7" ht="9.75" customHeight="1">
      <c r="A99" s="351"/>
      <c r="B99" s="351"/>
      <c r="C99" s="461"/>
      <c r="D99" s="461"/>
      <c r="E99" s="461"/>
      <c r="F99" s="351"/>
      <c r="G99" s="351"/>
    </row>
    <row r="100" spans="1:7" ht="9.75" customHeight="1">
      <c r="A100" s="351"/>
      <c r="B100" s="351"/>
      <c r="C100" s="461"/>
      <c r="D100" s="461"/>
      <c r="E100" s="461"/>
      <c r="F100" s="351"/>
      <c r="G100" s="351"/>
    </row>
    <row r="101" spans="1:7" ht="9.75" customHeight="1">
      <c r="A101" s="351"/>
      <c r="B101" s="351"/>
      <c r="C101" s="461"/>
      <c r="D101" s="461"/>
      <c r="E101" s="461"/>
      <c r="F101" s="351"/>
      <c r="G101" s="351"/>
    </row>
    <row r="102" spans="1:7" ht="9.75" customHeight="1">
      <c r="A102" s="351"/>
      <c r="B102" s="351"/>
      <c r="C102" s="461"/>
      <c r="D102" s="461"/>
      <c r="E102" s="461"/>
      <c r="F102" s="351"/>
      <c r="G102" s="351"/>
    </row>
    <row r="103" spans="1:7" ht="9.75" customHeight="1">
      <c r="A103" s="351"/>
      <c r="B103" s="351"/>
      <c r="C103" s="461"/>
      <c r="D103" s="461"/>
      <c r="E103" s="461"/>
      <c r="F103" s="351"/>
      <c r="G103" s="351"/>
    </row>
    <row r="104" spans="1:7" ht="9.75" customHeight="1">
      <c r="A104" s="351"/>
      <c r="B104" s="351"/>
      <c r="C104" s="461"/>
      <c r="D104" s="461"/>
      <c r="E104" s="461"/>
      <c r="F104" s="351"/>
      <c r="G104" s="351"/>
    </row>
    <row r="105" spans="1:7" ht="9.75" customHeight="1">
      <c r="A105" s="351"/>
      <c r="B105" s="351"/>
      <c r="C105" s="461"/>
      <c r="D105" s="461"/>
      <c r="E105" s="461"/>
      <c r="F105" s="351"/>
      <c r="G105" s="351"/>
    </row>
    <row r="106" spans="1:7" ht="9.75" customHeight="1">
      <c r="A106" s="351"/>
      <c r="B106" s="351"/>
      <c r="C106" s="461"/>
      <c r="D106" s="461"/>
      <c r="E106" s="461"/>
      <c r="F106" s="351"/>
      <c r="G106" s="351"/>
    </row>
    <row r="107" spans="1:7" ht="9.75" customHeight="1">
      <c r="A107" s="351"/>
      <c r="B107" s="351"/>
      <c r="C107" s="461"/>
      <c r="D107" s="461"/>
      <c r="E107" s="461"/>
      <c r="F107" s="351"/>
      <c r="G107" s="351"/>
    </row>
    <row r="108" spans="1:7" ht="9.75" customHeight="1">
      <c r="A108" s="351"/>
      <c r="B108" s="351"/>
      <c r="C108" s="461"/>
      <c r="D108" s="461"/>
      <c r="E108" s="461"/>
      <c r="F108" s="351"/>
      <c r="G108" s="351"/>
    </row>
    <row r="109" spans="1:7" ht="9.75" customHeight="1">
      <c r="A109" s="351"/>
      <c r="B109" s="351"/>
      <c r="C109" s="461"/>
      <c r="D109" s="461"/>
      <c r="E109" s="461"/>
      <c r="F109" s="351"/>
      <c r="G109" s="351"/>
    </row>
    <row r="110" spans="1:7" ht="9.75" customHeight="1">
      <c r="A110" s="351"/>
      <c r="B110" s="351"/>
      <c r="C110" s="461"/>
      <c r="D110" s="461"/>
      <c r="E110" s="461"/>
      <c r="F110" s="351"/>
      <c r="G110" s="351"/>
    </row>
    <row r="111" spans="1:7" ht="9.75" customHeight="1">
      <c r="A111" s="351"/>
      <c r="B111" s="351"/>
      <c r="C111" s="461"/>
      <c r="D111" s="461"/>
      <c r="E111" s="461"/>
      <c r="F111" s="351"/>
      <c r="G111" s="351"/>
    </row>
    <row r="112" spans="1:7" ht="9.75" customHeight="1">
      <c r="A112" s="351"/>
      <c r="B112" s="351"/>
      <c r="C112" s="461"/>
      <c r="D112" s="461"/>
      <c r="E112" s="461"/>
      <c r="F112" s="351"/>
      <c r="G112" s="351"/>
    </row>
    <row r="113" spans="1:7" ht="9.75" customHeight="1">
      <c r="A113" s="351"/>
      <c r="B113" s="351"/>
      <c r="C113" s="461"/>
      <c r="D113" s="461"/>
      <c r="E113" s="461"/>
      <c r="F113" s="351"/>
      <c r="G113" s="351"/>
    </row>
    <row r="114" spans="1:7" ht="9.75" customHeight="1">
      <c r="A114" s="351"/>
      <c r="B114" s="351"/>
      <c r="C114" s="461"/>
      <c r="D114" s="461"/>
      <c r="E114" s="461"/>
      <c r="F114" s="351"/>
      <c r="G114" s="351"/>
    </row>
    <row r="115" spans="1:7" ht="9.75" customHeight="1">
      <c r="A115" s="351"/>
      <c r="B115" s="351"/>
      <c r="C115" s="461"/>
      <c r="D115" s="461"/>
      <c r="E115" s="461"/>
      <c r="F115" s="351"/>
      <c r="G115" s="351"/>
    </row>
    <row r="116" spans="1:7" ht="9.75" customHeight="1">
      <c r="A116" s="351"/>
      <c r="B116" s="351"/>
      <c r="C116" s="461"/>
      <c r="D116" s="461"/>
      <c r="E116" s="461"/>
      <c r="F116" s="351"/>
      <c r="G116" s="351"/>
    </row>
    <row r="117" spans="1:7" ht="9.75" customHeight="1">
      <c r="A117" s="351"/>
      <c r="B117" s="351"/>
      <c r="C117" s="461"/>
      <c r="D117" s="461"/>
      <c r="E117" s="461"/>
      <c r="F117" s="351"/>
      <c r="G117" s="351"/>
    </row>
    <row r="118" spans="1:7" ht="9.75" customHeight="1">
      <c r="A118" s="351"/>
      <c r="B118" s="351"/>
      <c r="C118" s="461"/>
      <c r="D118" s="461"/>
      <c r="E118" s="461"/>
      <c r="F118" s="351"/>
      <c r="G118" s="351"/>
    </row>
    <row r="119" spans="1:7" ht="9.75" customHeight="1">
      <c r="A119" s="351"/>
      <c r="B119" s="351"/>
      <c r="C119" s="461"/>
      <c r="D119" s="461"/>
      <c r="E119" s="461"/>
      <c r="F119" s="351"/>
      <c r="G119" s="351"/>
    </row>
    <row r="120" spans="1:7" ht="9.75" customHeight="1">
      <c r="A120" s="351"/>
      <c r="B120" s="351"/>
      <c r="C120" s="461"/>
      <c r="D120" s="461"/>
      <c r="E120" s="461"/>
      <c r="F120" s="351"/>
      <c r="G120" s="351"/>
    </row>
    <row r="121" spans="1:7" ht="9.75" customHeight="1">
      <c r="A121" s="351"/>
      <c r="B121" s="351"/>
      <c r="C121" s="461"/>
      <c r="D121" s="461"/>
      <c r="E121" s="461"/>
      <c r="F121" s="351"/>
      <c r="G121" s="351"/>
    </row>
    <row r="122" spans="1:7" ht="9.75" customHeight="1">
      <c r="A122" s="351"/>
      <c r="B122" s="351"/>
      <c r="C122" s="461"/>
      <c r="D122" s="461"/>
      <c r="E122" s="461"/>
      <c r="F122" s="351"/>
      <c r="G122" s="351"/>
    </row>
    <row r="123" spans="1:7" ht="9.75" customHeight="1">
      <c r="A123" s="351"/>
      <c r="B123" s="351"/>
      <c r="C123" s="461"/>
      <c r="D123" s="461"/>
      <c r="E123" s="461"/>
      <c r="F123" s="351"/>
      <c r="G123" s="351"/>
    </row>
    <row r="124" spans="1:7" ht="9.75" customHeight="1">
      <c r="A124" s="351"/>
      <c r="B124" s="351"/>
      <c r="C124" s="461"/>
      <c r="D124" s="461"/>
      <c r="E124" s="461"/>
      <c r="F124" s="351"/>
      <c r="G124" s="351"/>
    </row>
    <row r="125" spans="1:7" ht="9.75" customHeight="1">
      <c r="A125" s="351"/>
      <c r="B125" s="351"/>
      <c r="C125" s="461"/>
      <c r="D125" s="461"/>
      <c r="E125" s="461"/>
      <c r="F125" s="351"/>
      <c r="G125" s="351"/>
    </row>
    <row r="126" spans="1:7" ht="9.75" customHeight="1">
      <c r="A126" s="351"/>
      <c r="B126" s="351"/>
      <c r="C126" s="461"/>
      <c r="D126" s="461"/>
      <c r="E126" s="461"/>
      <c r="F126" s="351"/>
      <c r="G126" s="351"/>
    </row>
    <row r="127" spans="1:7" ht="9.75" customHeight="1">
      <c r="A127" s="351"/>
      <c r="B127" s="351"/>
      <c r="C127" s="461"/>
      <c r="D127" s="461"/>
      <c r="E127" s="461"/>
      <c r="F127" s="351"/>
      <c r="G127" s="351"/>
    </row>
    <row r="128" spans="1:7" ht="9.75" customHeight="1">
      <c r="A128" s="351"/>
      <c r="B128" s="351"/>
      <c r="C128" s="461"/>
      <c r="D128" s="461"/>
      <c r="E128" s="461"/>
      <c r="F128" s="351"/>
      <c r="G128" s="351"/>
    </row>
    <row r="129" spans="1:7" ht="9.75" customHeight="1">
      <c r="A129" s="351"/>
      <c r="B129" s="351"/>
      <c r="C129" s="461"/>
      <c r="D129" s="461"/>
      <c r="E129" s="461"/>
      <c r="F129" s="351"/>
      <c r="G129" s="351"/>
    </row>
    <row r="130" spans="1:7" ht="9.75" customHeight="1">
      <c r="A130" s="351"/>
      <c r="B130" s="351"/>
      <c r="C130" s="461"/>
      <c r="D130" s="461"/>
      <c r="E130" s="461"/>
      <c r="F130" s="351"/>
      <c r="G130" s="351"/>
    </row>
    <row r="131" spans="1:7" ht="9.75" customHeight="1">
      <c r="A131" s="351"/>
      <c r="B131" s="351"/>
      <c r="C131" s="461"/>
      <c r="D131" s="461"/>
      <c r="E131" s="461"/>
      <c r="F131" s="351"/>
      <c r="G131" s="351"/>
    </row>
    <row r="132" spans="1:7" ht="9.75" customHeight="1">
      <c r="A132" s="351"/>
      <c r="B132" s="351"/>
      <c r="C132" s="461"/>
      <c r="D132" s="461"/>
      <c r="E132" s="461"/>
      <c r="F132" s="351"/>
      <c r="G132" s="351"/>
    </row>
    <row r="133" spans="1:7" ht="9.75" customHeight="1">
      <c r="A133" s="351"/>
      <c r="B133" s="351"/>
      <c r="C133" s="461"/>
      <c r="D133" s="461"/>
      <c r="E133" s="461"/>
      <c r="F133" s="351"/>
      <c r="G133" s="351"/>
    </row>
    <row r="134" spans="1:7" ht="9.75" customHeight="1">
      <c r="A134" s="351"/>
      <c r="B134" s="351"/>
      <c r="C134" s="461"/>
      <c r="D134" s="461"/>
      <c r="E134" s="461"/>
      <c r="F134" s="351"/>
      <c r="G134" s="351"/>
    </row>
    <row r="135" spans="1:7" ht="9.75" customHeight="1">
      <c r="A135" s="351"/>
      <c r="B135" s="351"/>
      <c r="C135" s="461"/>
      <c r="D135" s="461"/>
      <c r="E135" s="461"/>
      <c r="F135" s="351"/>
      <c r="G135" s="351"/>
    </row>
    <row r="136" spans="1:7" ht="9.75" customHeight="1">
      <c r="A136" s="351"/>
      <c r="B136" s="351"/>
      <c r="C136" s="461"/>
      <c r="D136" s="461"/>
      <c r="E136" s="461"/>
      <c r="F136" s="351"/>
      <c r="G136" s="351"/>
    </row>
    <row r="137" spans="1:7" ht="9.75" customHeight="1">
      <c r="A137" s="351"/>
      <c r="B137" s="351"/>
      <c r="C137" s="461"/>
      <c r="D137" s="461"/>
      <c r="E137" s="461"/>
      <c r="F137" s="351"/>
      <c r="G137" s="351"/>
    </row>
    <row r="138" spans="1:7" ht="9.75" customHeight="1">
      <c r="A138" s="351"/>
      <c r="B138" s="351"/>
      <c r="C138" s="461"/>
      <c r="D138" s="461"/>
      <c r="E138" s="461"/>
      <c r="F138" s="351"/>
      <c r="G138" s="351"/>
    </row>
    <row r="139" spans="1:7" ht="9.75" customHeight="1">
      <c r="A139" s="351"/>
      <c r="B139" s="351"/>
      <c r="C139" s="461"/>
      <c r="D139" s="461"/>
      <c r="E139" s="461"/>
      <c r="F139" s="351"/>
      <c r="G139" s="351"/>
    </row>
    <row r="140" spans="1:7" ht="9.75" customHeight="1">
      <c r="A140" s="351"/>
      <c r="B140" s="351"/>
      <c r="C140" s="461"/>
      <c r="D140" s="461"/>
      <c r="E140" s="461"/>
      <c r="F140" s="351"/>
      <c r="G140" s="351"/>
    </row>
    <row r="141" spans="1:7" ht="9.75" customHeight="1">
      <c r="A141" s="351"/>
      <c r="B141" s="351"/>
      <c r="C141" s="461"/>
      <c r="D141" s="461"/>
      <c r="E141" s="461"/>
      <c r="F141" s="351"/>
      <c r="G141" s="351"/>
    </row>
    <row r="142" spans="1:7" ht="9.75" customHeight="1">
      <c r="A142" s="351"/>
      <c r="B142" s="351"/>
      <c r="C142" s="461"/>
      <c r="D142" s="461"/>
      <c r="E142" s="461"/>
      <c r="F142" s="351"/>
      <c r="G142" s="351"/>
    </row>
    <row r="143" spans="1:7" ht="9.75" customHeight="1">
      <c r="A143" s="351"/>
      <c r="B143" s="351"/>
      <c r="C143" s="461"/>
      <c r="D143" s="461"/>
      <c r="E143" s="461"/>
      <c r="F143" s="351"/>
      <c r="G143" s="351"/>
    </row>
    <row r="144" spans="1:7" ht="9.75" customHeight="1">
      <c r="A144" s="351"/>
      <c r="B144" s="351"/>
      <c r="C144" s="461"/>
      <c r="D144" s="461"/>
      <c r="E144" s="461"/>
      <c r="F144" s="351"/>
      <c r="G144" s="351"/>
    </row>
    <row r="145" spans="1:7" ht="9.75" customHeight="1">
      <c r="A145" s="351"/>
      <c r="B145" s="351"/>
      <c r="C145" s="461"/>
      <c r="D145" s="461"/>
      <c r="E145" s="461"/>
      <c r="F145" s="351"/>
      <c r="G145" s="351"/>
    </row>
    <row r="146" spans="1:7" ht="9.75" customHeight="1">
      <c r="A146" s="351"/>
      <c r="B146" s="351"/>
      <c r="C146" s="461"/>
      <c r="D146" s="461"/>
      <c r="E146" s="461"/>
      <c r="F146" s="351"/>
      <c r="G146" s="351"/>
    </row>
    <row r="147" spans="1:7" ht="9.75" customHeight="1">
      <c r="A147" s="351"/>
      <c r="B147" s="351"/>
      <c r="C147" s="461"/>
      <c r="D147" s="461"/>
      <c r="E147" s="461"/>
      <c r="F147" s="351"/>
      <c r="G147" s="351"/>
    </row>
    <row r="148" spans="1:7" ht="9.75" customHeight="1">
      <c r="A148" s="351"/>
      <c r="B148" s="351"/>
      <c r="C148" s="461"/>
      <c r="D148" s="461"/>
      <c r="E148" s="461"/>
      <c r="F148" s="351"/>
      <c r="G148" s="351"/>
    </row>
    <row r="149" spans="1:7" ht="9.75" customHeight="1">
      <c r="A149" s="351"/>
      <c r="B149" s="351"/>
      <c r="C149" s="461"/>
      <c r="D149" s="461"/>
      <c r="E149" s="461"/>
      <c r="F149" s="351"/>
      <c r="G149" s="351"/>
    </row>
    <row r="150" spans="1:7" ht="9.75" customHeight="1">
      <c r="A150" s="351"/>
      <c r="B150" s="351"/>
      <c r="C150" s="461"/>
      <c r="D150" s="461"/>
      <c r="E150" s="461"/>
      <c r="F150" s="351"/>
      <c r="G150" s="351"/>
    </row>
    <row r="151" spans="1:7" ht="9.75" customHeight="1">
      <c r="A151" s="351"/>
      <c r="B151" s="351"/>
      <c r="C151" s="461"/>
      <c r="D151" s="461"/>
      <c r="E151" s="461"/>
      <c r="F151" s="351"/>
      <c r="G151" s="351"/>
    </row>
    <row r="152" spans="1:7" ht="9.75" customHeight="1">
      <c r="A152" s="351"/>
      <c r="B152" s="351"/>
      <c r="C152" s="461"/>
      <c r="D152" s="461"/>
      <c r="E152" s="461"/>
      <c r="F152" s="351"/>
      <c r="G152" s="351"/>
    </row>
    <row r="153" spans="1:7" ht="9.75" customHeight="1">
      <c r="A153" s="351"/>
      <c r="B153" s="351"/>
      <c r="C153" s="461"/>
      <c r="D153" s="461"/>
      <c r="E153" s="461"/>
      <c r="F153" s="351"/>
      <c r="G153" s="351"/>
    </row>
    <row r="154" spans="1:7" ht="9.75" customHeight="1">
      <c r="A154" s="351"/>
      <c r="B154" s="351"/>
      <c r="C154" s="461"/>
      <c r="D154" s="461"/>
      <c r="E154" s="461"/>
      <c r="F154" s="351"/>
      <c r="G154" s="351"/>
    </row>
    <row r="155" spans="1:7" ht="9.75" customHeight="1">
      <c r="A155" s="351"/>
      <c r="B155" s="351"/>
      <c r="C155" s="461"/>
      <c r="D155" s="461"/>
      <c r="E155" s="461"/>
      <c r="F155" s="351"/>
      <c r="G155" s="351"/>
    </row>
    <row r="156" spans="1:7" ht="9.75" customHeight="1">
      <c r="A156" s="351"/>
      <c r="B156" s="351"/>
      <c r="C156" s="461"/>
      <c r="D156" s="461"/>
      <c r="E156" s="461"/>
      <c r="F156" s="351"/>
      <c r="G156" s="351"/>
    </row>
    <row r="157" spans="1:7" ht="9.75" customHeight="1">
      <c r="A157" s="351"/>
      <c r="B157" s="351"/>
      <c r="C157" s="461"/>
      <c r="D157" s="461"/>
      <c r="E157" s="461"/>
      <c r="F157" s="351"/>
      <c r="G157" s="351"/>
    </row>
    <row r="158" spans="1:7" ht="9.75" customHeight="1">
      <c r="A158" s="351"/>
      <c r="B158" s="351"/>
      <c r="C158" s="461"/>
      <c r="D158" s="461"/>
      <c r="E158" s="461"/>
      <c r="F158" s="351"/>
      <c r="G158" s="351"/>
    </row>
    <row r="159" spans="1:7" ht="9.75" customHeight="1">
      <c r="A159" s="351"/>
      <c r="B159" s="351"/>
      <c r="C159" s="461"/>
      <c r="D159" s="461"/>
      <c r="E159" s="461"/>
      <c r="F159" s="351"/>
      <c r="G159" s="351"/>
    </row>
    <row r="160" spans="1:7" ht="9.75" customHeight="1">
      <c r="A160" s="351"/>
      <c r="B160" s="351"/>
      <c r="C160" s="461"/>
      <c r="D160" s="461"/>
      <c r="E160" s="461"/>
      <c r="F160" s="351"/>
      <c r="G160" s="351"/>
    </row>
    <row r="161" spans="1:7" ht="9.75" customHeight="1">
      <c r="A161" s="351"/>
      <c r="B161" s="351"/>
      <c r="C161" s="461"/>
      <c r="D161" s="461"/>
      <c r="E161" s="461"/>
      <c r="F161" s="351"/>
      <c r="G161" s="351"/>
    </row>
    <row r="162" spans="1:7" ht="9.75" customHeight="1">
      <c r="A162" s="351"/>
      <c r="B162" s="351"/>
      <c r="C162" s="461"/>
      <c r="D162" s="461"/>
      <c r="E162" s="461"/>
      <c r="F162" s="351"/>
      <c r="G162" s="351"/>
    </row>
    <row r="163" spans="1:7" ht="9.75" customHeight="1">
      <c r="A163" s="351"/>
      <c r="B163" s="351"/>
      <c r="C163" s="461"/>
      <c r="D163" s="461"/>
      <c r="E163" s="461"/>
      <c r="F163" s="351"/>
      <c r="G163" s="351"/>
    </row>
    <row r="164" spans="1:7" ht="9.75" customHeight="1">
      <c r="A164" s="351"/>
      <c r="B164" s="351"/>
      <c r="C164" s="461"/>
      <c r="D164" s="461"/>
      <c r="E164" s="461"/>
      <c r="F164" s="351"/>
      <c r="G164" s="351"/>
    </row>
    <row r="165" spans="1:7" ht="9.75" customHeight="1">
      <c r="A165" s="351"/>
      <c r="B165" s="351"/>
      <c r="C165" s="461"/>
      <c r="D165" s="461"/>
      <c r="E165" s="461"/>
      <c r="F165" s="351"/>
      <c r="G165" s="351"/>
    </row>
    <row r="166" spans="1:7" ht="9.75" customHeight="1">
      <c r="A166" s="351"/>
      <c r="B166" s="351"/>
      <c r="C166" s="461"/>
      <c r="D166" s="461"/>
      <c r="E166" s="461"/>
      <c r="F166" s="351"/>
      <c r="G166" s="351"/>
    </row>
    <row r="167" spans="1:7" ht="9.75" customHeight="1">
      <c r="A167" s="351"/>
      <c r="B167" s="351"/>
      <c r="C167" s="461"/>
      <c r="D167" s="461"/>
      <c r="E167" s="461"/>
      <c r="F167" s="351"/>
      <c r="G167" s="351"/>
    </row>
    <row r="168" spans="1:7" ht="9.75" customHeight="1">
      <c r="A168" s="351"/>
      <c r="B168" s="351"/>
      <c r="C168" s="461"/>
      <c r="D168" s="461"/>
      <c r="E168" s="461"/>
      <c r="F168" s="351"/>
      <c r="G168" s="351"/>
    </row>
    <row r="169" spans="1:7" ht="9.75" customHeight="1">
      <c r="A169" s="351"/>
      <c r="B169" s="351"/>
      <c r="C169" s="461"/>
      <c r="D169" s="461"/>
      <c r="E169" s="461"/>
      <c r="F169" s="351"/>
      <c r="G169" s="351"/>
    </row>
    <row r="170" spans="1:7" ht="9.75" customHeight="1">
      <c r="A170" s="351"/>
      <c r="B170" s="351"/>
      <c r="C170" s="461"/>
      <c r="D170" s="461"/>
      <c r="E170" s="461"/>
      <c r="F170" s="351"/>
      <c r="G170" s="351"/>
    </row>
    <row r="171" spans="1:7" ht="9.75" customHeight="1">
      <c r="A171" s="351"/>
      <c r="B171" s="351"/>
      <c r="C171" s="461"/>
      <c r="D171" s="461"/>
      <c r="E171" s="461"/>
      <c r="F171" s="351"/>
      <c r="G171" s="351"/>
    </row>
    <row r="172" spans="1:7" ht="9.75" customHeight="1">
      <c r="A172" s="351"/>
      <c r="B172" s="351"/>
      <c r="C172" s="351"/>
      <c r="D172" s="351"/>
      <c r="E172" s="351"/>
      <c r="F172" s="351"/>
      <c r="G172" s="351"/>
    </row>
    <row r="173" spans="1:7" ht="9.75" customHeight="1">
      <c r="A173" s="351"/>
      <c r="B173" s="351"/>
      <c r="C173" s="351"/>
      <c r="D173" s="351"/>
      <c r="E173" s="351"/>
      <c r="F173" s="351"/>
      <c r="G173" s="351"/>
    </row>
    <row r="174" spans="1:7" ht="9.75" customHeight="1">
      <c r="A174" s="351"/>
      <c r="B174" s="351"/>
      <c r="C174" s="351"/>
      <c r="D174" s="351"/>
      <c r="E174" s="351"/>
      <c r="F174" s="351"/>
      <c r="G174" s="351"/>
    </row>
    <row r="175" spans="1:7" ht="9.75" customHeight="1">
      <c r="A175" s="351"/>
      <c r="B175" s="351"/>
      <c r="C175" s="351"/>
      <c r="D175" s="351"/>
      <c r="E175" s="351"/>
      <c r="F175" s="351"/>
      <c r="G175" s="351"/>
    </row>
    <row r="176" spans="1:7" ht="9.75" customHeight="1">
      <c r="A176" s="351"/>
      <c r="B176" s="351"/>
      <c r="C176" s="351"/>
      <c r="D176" s="351"/>
      <c r="E176" s="351"/>
      <c r="F176" s="351"/>
      <c r="G176" s="351"/>
    </row>
    <row r="177" spans="1:7" ht="9.75" customHeight="1">
      <c r="A177" s="351"/>
      <c r="B177" s="351"/>
      <c r="C177" s="351"/>
      <c r="D177" s="351"/>
      <c r="E177" s="351"/>
      <c r="F177" s="351"/>
      <c r="G177" s="351"/>
    </row>
    <row r="178" spans="1:7" ht="9.75" customHeight="1">
      <c r="A178" s="351"/>
      <c r="B178" s="351"/>
      <c r="C178" s="351"/>
      <c r="D178" s="351"/>
      <c r="E178" s="351"/>
      <c r="F178" s="351"/>
      <c r="G178" s="351"/>
    </row>
    <row r="179" spans="1:7" ht="9.75" customHeight="1">
      <c r="A179" s="351"/>
      <c r="B179" s="351"/>
      <c r="C179" s="351"/>
      <c r="D179" s="351"/>
      <c r="E179" s="351"/>
      <c r="F179" s="351"/>
      <c r="G179" s="351"/>
    </row>
    <row r="180" spans="1:7" ht="9.75" customHeight="1">
      <c r="A180" s="351"/>
      <c r="B180" s="351"/>
      <c r="C180" s="351"/>
      <c r="D180" s="351"/>
      <c r="E180" s="351"/>
      <c r="F180" s="351"/>
      <c r="G180" s="351"/>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9" orientation="portrait" r:id="rId1"/>
  <headerFooter>
    <oddHeader>&amp;R&amp;7Informe de la Operación Mensual-
Diciembre 2019
INFSGI-MES-12-2019
15/01/2020
Versión: 01</oddHeader>
    <oddFooter>&amp;L&amp;7COES, 2019&amp;C18&amp;R&amp;7Dirección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008FC8"/>
  </sheetPr>
  <dimension ref="A1:H110"/>
  <sheetViews>
    <sheetView showGridLines="0" view="pageBreakPreview" zoomScale="120" zoomScaleNormal="100" zoomScaleSheetLayoutView="120" zoomScalePageLayoutView="130" workbookViewId="0"/>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s>
  <sheetData>
    <row r="1" spans="1:8" ht="17.25" customHeight="1">
      <c r="A1" s="944" t="s">
        <v>261</v>
      </c>
      <c r="B1" s="947" t="s">
        <v>55</v>
      </c>
      <c r="C1" s="950" t="str">
        <f>+'18. ANEXOI-1'!C2:F2</f>
        <v>ENERGÍA PRODUCIDA DICIEMBRE 2019</v>
      </c>
      <c r="D1" s="950"/>
      <c r="E1" s="950"/>
      <c r="F1" s="950"/>
      <c r="G1" s="685" t="s">
        <v>287</v>
      </c>
      <c r="H1" s="203"/>
    </row>
    <row r="2" spans="1:8" ht="11.25" customHeight="1">
      <c r="A2" s="945"/>
      <c r="B2" s="948"/>
      <c r="C2" s="951" t="s">
        <v>288</v>
      </c>
      <c r="D2" s="951"/>
      <c r="E2" s="951"/>
      <c r="F2" s="952" t="str">
        <f>"TOTAL 
"&amp;UPPER('1. Resumen'!Q4)</f>
        <v>TOTAL 
DICIEMBRE</v>
      </c>
      <c r="G2" s="686" t="s">
        <v>289</v>
      </c>
      <c r="H2" s="194"/>
    </row>
    <row r="3" spans="1:8" ht="11.25" customHeight="1">
      <c r="A3" s="945"/>
      <c r="B3" s="948"/>
      <c r="C3" s="677" t="s">
        <v>222</v>
      </c>
      <c r="D3" s="677" t="s">
        <v>223</v>
      </c>
      <c r="E3" s="677" t="s">
        <v>290</v>
      </c>
      <c r="F3" s="953"/>
      <c r="G3" s="686">
        <v>2019</v>
      </c>
      <c r="H3" s="196"/>
    </row>
    <row r="4" spans="1:8" ht="11.25" customHeight="1">
      <c r="A4" s="954"/>
      <c r="B4" s="955"/>
      <c r="C4" s="678" t="s">
        <v>291</v>
      </c>
      <c r="D4" s="678" t="s">
        <v>291</v>
      </c>
      <c r="E4" s="678" t="s">
        <v>291</v>
      </c>
      <c r="F4" s="678" t="s">
        <v>291</v>
      </c>
      <c r="G4" s="687" t="s">
        <v>210</v>
      </c>
      <c r="H4" s="196"/>
    </row>
    <row r="5" spans="1:8" ht="10.5" customHeight="1">
      <c r="A5" s="728" t="s">
        <v>88</v>
      </c>
      <c r="B5" s="680" t="s">
        <v>343</v>
      </c>
      <c r="C5" s="681">
        <v>72486.929027499995</v>
      </c>
      <c r="D5" s="681"/>
      <c r="E5" s="681"/>
      <c r="F5" s="681">
        <v>72486.929027499995</v>
      </c>
      <c r="G5" s="733">
        <v>555718.25893000001</v>
      </c>
    </row>
    <row r="6" spans="1:8" ht="10.5" customHeight="1">
      <c r="A6" s="728"/>
      <c r="B6" s="680" t="s">
        <v>344</v>
      </c>
      <c r="C6" s="681">
        <v>92120.987182500001</v>
      </c>
      <c r="D6" s="681"/>
      <c r="E6" s="681"/>
      <c r="F6" s="681">
        <v>92120.987182500001</v>
      </c>
      <c r="G6" s="733">
        <v>890651.27181750012</v>
      </c>
    </row>
    <row r="7" spans="1:8" ht="10.5" customHeight="1">
      <c r="A7" s="728"/>
      <c r="B7" s="680" t="s">
        <v>345</v>
      </c>
      <c r="C7" s="681"/>
      <c r="D7" s="681">
        <v>403142.76070749993</v>
      </c>
      <c r="E7" s="681"/>
      <c r="F7" s="681">
        <v>403142.76070749993</v>
      </c>
      <c r="G7" s="733">
        <v>4592912.3317099996</v>
      </c>
    </row>
    <row r="8" spans="1:8" ht="10.5" customHeight="1">
      <c r="A8" s="728"/>
      <c r="B8" s="680" t="s">
        <v>346</v>
      </c>
      <c r="C8" s="681"/>
      <c r="D8" s="681">
        <v>4440.4833200000003</v>
      </c>
      <c r="E8" s="681"/>
      <c r="F8" s="681">
        <v>4440.4833200000003</v>
      </c>
      <c r="G8" s="733">
        <v>413195.04139999999</v>
      </c>
    </row>
    <row r="9" spans="1:8" ht="10.5" customHeight="1">
      <c r="A9" s="728"/>
      <c r="B9" s="680" t="s">
        <v>347</v>
      </c>
      <c r="C9" s="681"/>
      <c r="D9" s="681">
        <v>0</v>
      </c>
      <c r="E9" s="681"/>
      <c r="F9" s="681">
        <v>0</v>
      </c>
      <c r="G9" s="733">
        <v>36149.195487500001</v>
      </c>
    </row>
    <row r="10" spans="1:8" ht="10.5" customHeight="1">
      <c r="A10" s="728"/>
      <c r="B10" s="680" t="s">
        <v>348</v>
      </c>
      <c r="C10" s="681"/>
      <c r="D10" s="681">
        <v>0</v>
      </c>
      <c r="E10" s="681"/>
      <c r="F10" s="681">
        <v>0</v>
      </c>
      <c r="G10" s="733">
        <v>3668.3782250000004</v>
      </c>
    </row>
    <row r="11" spans="1:8" ht="10.5" customHeight="1">
      <c r="A11" s="728"/>
      <c r="B11" s="680" t="s">
        <v>349</v>
      </c>
      <c r="C11" s="681"/>
      <c r="D11" s="681">
        <v>0</v>
      </c>
      <c r="E11" s="681"/>
      <c r="F11" s="681">
        <v>0</v>
      </c>
      <c r="G11" s="733">
        <v>5741.2176674999992</v>
      </c>
    </row>
    <row r="12" spans="1:8" ht="10.5" customHeight="1">
      <c r="A12" s="728"/>
      <c r="B12" s="680" t="s">
        <v>516</v>
      </c>
      <c r="C12" s="681"/>
      <c r="D12" s="681"/>
      <c r="E12" s="681">
        <v>11219.3231075</v>
      </c>
      <c r="F12" s="681">
        <v>11219.3231075</v>
      </c>
      <c r="G12" s="733">
        <v>105681.58197500001</v>
      </c>
    </row>
    <row r="13" spans="1:8" ht="10.5" customHeight="1">
      <c r="A13" s="730" t="s">
        <v>350</v>
      </c>
      <c r="B13" s="557"/>
      <c r="C13" s="558">
        <v>164607.91621</v>
      </c>
      <c r="D13" s="558">
        <v>407583.24402749992</v>
      </c>
      <c r="E13" s="558">
        <v>11219.3231075</v>
      </c>
      <c r="F13" s="558">
        <v>583410.48334499984</v>
      </c>
      <c r="G13" s="734">
        <v>6603717.2772124987</v>
      </c>
    </row>
    <row r="14" spans="1:8" ht="10.5" customHeight="1">
      <c r="A14" s="728" t="s">
        <v>250</v>
      </c>
      <c r="B14" s="680" t="s">
        <v>351</v>
      </c>
      <c r="C14" s="681"/>
      <c r="D14" s="681">
        <v>178112.38286750001</v>
      </c>
      <c r="E14" s="681"/>
      <c r="F14" s="681">
        <v>178112.38286750001</v>
      </c>
      <c r="G14" s="733">
        <v>3767460.8327125004</v>
      </c>
    </row>
    <row r="15" spans="1:8" ht="10.5" customHeight="1">
      <c r="A15" s="730" t="s">
        <v>352</v>
      </c>
      <c r="B15" s="557"/>
      <c r="C15" s="558"/>
      <c r="D15" s="558">
        <v>178112.38286750001</v>
      </c>
      <c r="E15" s="558"/>
      <c r="F15" s="558">
        <v>178112.38286750001</v>
      </c>
      <c r="G15" s="734">
        <v>3767460.8327125004</v>
      </c>
    </row>
    <row r="16" spans="1:8" s="797" customFormat="1" ht="10.5" customHeight="1">
      <c r="A16" s="744" t="s">
        <v>637</v>
      </c>
      <c r="B16" s="459" t="s">
        <v>647</v>
      </c>
      <c r="C16" s="460"/>
      <c r="D16" s="460"/>
      <c r="E16" s="460">
        <v>6871.2794374999994</v>
      </c>
      <c r="F16" s="460">
        <v>6871.2794374999994</v>
      </c>
      <c r="G16" s="745">
        <v>7114.8808574999994</v>
      </c>
    </row>
    <row r="17" spans="1:7" s="797" customFormat="1" ht="10.5" customHeight="1">
      <c r="A17" s="746"/>
      <c r="B17" s="680" t="s">
        <v>646</v>
      </c>
      <c r="C17" s="681"/>
      <c r="D17" s="681"/>
      <c r="E17" s="681">
        <v>5735.3228724999999</v>
      </c>
      <c r="F17" s="681">
        <v>5735.3228724999999</v>
      </c>
      <c r="G17" s="733">
        <v>9080.2346074999987</v>
      </c>
    </row>
    <row r="18" spans="1:7" s="797" customFormat="1" ht="10.5" customHeight="1">
      <c r="A18" s="730" t="s">
        <v>639</v>
      </c>
      <c r="B18" s="557"/>
      <c r="C18" s="558"/>
      <c r="D18" s="558"/>
      <c r="E18" s="558">
        <v>12606.602309999998</v>
      </c>
      <c r="F18" s="558">
        <v>12606.602309999998</v>
      </c>
      <c r="G18" s="734">
        <v>16195.115464999999</v>
      </c>
    </row>
    <row r="19" spans="1:7" ht="10.5" customHeight="1">
      <c r="A19" s="728" t="s">
        <v>109</v>
      </c>
      <c r="B19" s="680" t="s">
        <v>67</v>
      </c>
      <c r="C19" s="681"/>
      <c r="D19" s="681"/>
      <c r="E19" s="681">
        <v>5305.0266075</v>
      </c>
      <c r="F19" s="681">
        <v>5305.0266075</v>
      </c>
      <c r="G19" s="733">
        <v>58629.476377500003</v>
      </c>
    </row>
    <row r="20" spans="1:7" ht="10.5" customHeight="1">
      <c r="A20" s="728"/>
      <c r="B20" s="680" t="s">
        <v>483</v>
      </c>
      <c r="C20" s="681"/>
      <c r="D20" s="681"/>
      <c r="E20" s="681">
        <v>14513.97903</v>
      </c>
      <c r="F20" s="681">
        <v>14513.97903</v>
      </c>
      <c r="G20" s="733">
        <v>77806.027057500003</v>
      </c>
    </row>
    <row r="21" spans="1:7" ht="10.5" customHeight="1">
      <c r="A21" s="728"/>
      <c r="B21" s="680" t="s">
        <v>481</v>
      </c>
      <c r="C21" s="681"/>
      <c r="D21" s="681"/>
      <c r="E21" s="681">
        <v>14444.742624999999</v>
      </c>
      <c r="F21" s="681">
        <v>14444.742624999999</v>
      </c>
      <c r="G21" s="733">
        <v>89224.270279999997</v>
      </c>
    </row>
    <row r="22" spans="1:7" ht="10.5" customHeight="1">
      <c r="A22" s="728"/>
      <c r="B22" s="680" t="s">
        <v>482</v>
      </c>
      <c r="C22" s="681"/>
      <c r="D22" s="681"/>
      <c r="E22" s="681">
        <v>14139.775342500001</v>
      </c>
      <c r="F22" s="681">
        <v>14139.775342500001</v>
      </c>
      <c r="G22" s="733">
        <v>87720.138850000018</v>
      </c>
    </row>
    <row r="23" spans="1:7" ht="10.5" customHeight="1">
      <c r="A23" s="730" t="s">
        <v>353</v>
      </c>
      <c r="B23" s="557"/>
      <c r="C23" s="558"/>
      <c r="D23" s="558"/>
      <c r="E23" s="558">
        <v>48403.523604999995</v>
      </c>
      <c r="F23" s="558">
        <v>48403.523604999995</v>
      </c>
      <c r="G23" s="734">
        <v>313379.91256500001</v>
      </c>
    </row>
    <row r="24" spans="1:7" ht="10.5" customHeight="1">
      <c r="A24" s="728" t="s">
        <v>112</v>
      </c>
      <c r="B24" s="680" t="s">
        <v>244</v>
      </c>
      <c r="C24" s="681"/>
      <c r="D24" s="681"/>
      <c r="E24" s="681">
        <v>4016.5162</v>
      </c>
      <c r="F24" s="681">
        <v>4016.5162</v>
      </c>
      <c r="G24" s="733">
        <v>44283.227164999997</v>
      </c>
    </row>
    <row r="25" spans="1:7" ht="10.5" customHeight="1">
      <c r="A25" s="730" t="s">
        <v>354</v>
      </c>
      <c r="B25" s="557"/>
      <c r="C25" s="558"/>
      <c r="D25" s="558"/>
      <c r="E25" s="558">
        <v>4016.5162</v>
      </c>
      <c r="F25" s="558">
        <v>4016.5162</v>
      </c>
      <c r="G25" s="734">
        <v>44283.227164999997</v>
      </c>
    </row>
    <row r="26" spans="1:7" ht="10.5" customHeight="1">
      <c r="A26" s="728" t="s">
        <v>113</v>
      </c>
      <c r="B26" s="680" t="s">
        <v>83</v>
      </c>
      <c r="C26" s="681"/>
      <c r="D26" s="681"/>
      <c r="E26" s="681">
        <v>3941.3794699999999</v>
      </c>
      <c r="F26" s="681">
        <v>3941.3794699999999</v>
      </c>
      <c r="G26" s="733">
        <v>43386.029734999996</v>
      </c>
    </row>
    <row r="27" spans="1:7" ht="10.5" customHeight="1">
      <c r="A27" s="730" t="s">
        <v>355</v>
      </c>
      <c r="B27" s="557"/>
      <c r="C27" s="558"/>
      <c r="D27" s="558"/>
      <c r="E27" s="558">
        <v>3941.3794699999999</v>
      </c>
      <c r="F27" s="558">
        <v>3941.3794699999999</v>
      </c>
      <c r="G27" s="734">
        <v>43386.029734999996</v>
      </c>
    </row>
    <row r="28" spans="1:7" ht="10.5" customHeight="1">
      <c r="A28" s="728" t="s">
        <v>117</v>
      </c>
      <c r="B28" s="680" t="s">
        <v>75</v>
      </c>
      <c r="C28" s="681"/>
      <c r="D28" s="681"/>
      <c r="E28" s="681">
        <v>2584.6999999999998</v>
      </c>
      <c r="F28" s="681">
        <v>2584.6999999999998</v>
      </c>
      <c r="G28" s="733">
        <v>27848.900000000118</v>
      </c>
    </row>
    <row r="29" spans="1:7" ht="10.5" customHeight="1">
      <c r="A29" s="730" t="s">
        <v>356</v>
      </c>
      <c r="B29" s="557"/>
      <c r="C29" s="558"/>
      <c r="D29" s="558"/>
      <c r="E29" s="558">
        <v>2584.6999999999998</v>
      </c>
      <c r="F29" s="558">
        <v>2584.6999999999998</v>
      </c>
      <c r="G29" s="734">
        <v>27848.900000000118</v>
      </c>
    </row>
    <row r="30" spans="1:7" ht="10.5" customHeight="1">
      <c r="A30" s="728" t="s">
        <v>104</v>
      </c>
      <c r="B30" s="680" t="s">
        <v>357</v>
      </c>
      <c r="C30" s="681">
        <v>14408.089797500001</v>
      </c>
      <c r="D30" s="681"/>
      <c r="E30" s="681"/>
      <c r="F30" s="681">
        <v>14408.089797500001</v>
      </c>
      <c r="G30" s="733">
        <v>159075.30089749995</v>
      </c>
    </row>
    <row r="31" spans="1:7" ht="10.5" customHeight="1">
      <c r="A31" s="730" t="s">
        <v>358</v>
      </c>
      <c r="B31" s="557"/>
      <c r="C31" s="558">
        <v>14408.089797500001</v>
      </c>
      <c r="D31" s="558"/>
      <c r="E31" s="558"/>
      <c r="F31" s="558">
        <v>14408.089797500001</v>
      </c>
      <c r="G31" s="734">
        <v>159075.30089749995</v>
      </c>
    </row>
    <row r="32" spans="1:7" ht="20.25" customHeight="1">
      <c r="A32" s="742" t="s">
        <v>500</v>
      </c>
      <c r="B32" s="690" t="s">
        <v>359</v>
      </c>
      <c r="C32" s="691">
        <v>12762.740634999998</v>
      </c>
      <c r="D32" s="691"/>
      <c r="E32" s="691"/>
      <c r="F32" s="691">
        <v>12762.740634999998</v>
      </c>
      <c r="G32" s="743">
        <v>139872.22724250003</v>
      </c>
    </row>
    <row r="33" spans="1:7" ht="10.5" customHeight="1">
      <c r="A33" s="730" t="s">
        <v>495</v>
      </c>
      <c r="B33" s="557"/>
      <c r="C33" s="558">
        <v>12762.740634999998</v>
      </c>
      <c r="D33" s="558"/>
      <c r="E33" s="558"/>
      <c r="F33" s="558">
        <v>12762.740634999998</v>
      </c>
      <c r="G33" s="734">
        <v>139872.22724250003</v>
      </c>
    </row>
    <row r="34" spans="1:7" ht="10.5" customHeight="1">
      <c r="A34" s="728" t="s">
        <v>251</v>
      </c>
      <c r="B34" s="680" t="s">
        <v>60</v>
      </c>
      <c r="C34" s="681"/>
      <c r="D34" s="681"/>
      <c r="E34" s="681">
        <v>13620.981220000001</v>
      </c>
      <c r="F34" s="681">
        <v>13620.981220000001</v>
      </c>
      <c r="G34" s="733">
        <v>138714.28757749998</v>
      </c>
    </row>
    <row r="35" spans="1:7" ht="10.5" customHeight="1">
      <c r="A35" s="730" t="s">
        <v>360</v>
      </c>
      <c r="B35" s="557"/>
      <c r="C35" s="558"/>
      <c r="D35" s="558"/>
      <c r="E35" s="558">
        <v>13620.981220000001</v>
      </c>
      <c r="F35" s="558">
        <v>13620.981220000001</v>
      </c>
      <c r="G35" s="734">
        <v>138714.28757749998</v>
      </c>
    </row>
    <row r="36" spans="1:7" ht="10.5" customHeight="1">
      <c r="A36" s="728" t="s">
        <v>480</v>
      </c>
      <c r="B36" s="680" t="s">
        <v>600</v>
      </c>
      <c r="C36" s="681">
        <v>520.476</v>
      </c>
      <c r="D36" s="681"/>
      <c r="E36" s="681"/>
      <c r="F36" s="681">
        <v>520.476</v>
      </c>
      <c r="G36" s="733">
        <v>4748.4327500000009</v>
      </c>
    </row>
    <row r="37" spans="1:7" ht="10.5" customHeight="1">
      <c r="A37" s="730" t="s">
        <v>485</v>
      </c>
      <c r="B37" s="557"/>
      <c r="C37" s="558">
        <v>520.476</v>
      </c>
      <c r="D37" s="558"/>
      <c r="E37" s="558"/>
      <c r="F37" s="558">
        <v>520.476</v>
      </c>
      <c r="G37" s="734">
        <v>4748.4327500000009</v>
      </c>
    </row>
    <row r="38" spans="1:7" ht="10.5" customHeight="1">
      <c r="A38" s="728" t="s">
        <v>518</v>
      </c>
      <c r="B38" s="680" t="s">
        <v>522</v>
      </c>
      <c r="C38" s="681">
        <v>66214.095962499996</v>
      </c>
      <c r="D38" s="681"/>
      <c r="E38" s="681"/>
      <c r="F38" s="681">
        <v>66214.095962499996</v>
      </c>
      <c r="G38" s="733">
        <v>672078.25549250003</v>
      </c>
    </row>
    <row r="39" spans="1:7" ht="10.5" customHeight="1">
      <c r="A39" s="730" t="s">
        <v>523</v>
      </c>
      <c r="B39" s="557"/>
      <c r="C39" s="558">
        <v>66214.095962499996</v>
      </c>
      <c r="D39" s="558"/>
      <c r="E39" s="558"/>
      <c r="F39" s="558">
        <v>66214.095962499996</v>
      </c>
      <c r="G39" s="734">
        <v>672078.25549250003</v>
      </c>
    </row>
    <row r="40" spans="1:7" ht="10.5" customHeight="1">
      <c r="A40" s="744" t="s">
        <v>119</v>
      </c>
      <c r="B40" s="459" t="s">
        <v>361</v>
      </c>
      <c r="C40" s="460"/>
      <c r="D40" s="460">
        <v>121.75086</v>
      </c>
      <c r="E40" s="460"/>
      <c r="F40" s="460">
        <v>121.75086</v>
      </c>
      <c r="G40" s="745">
        <v>710.40805499999999</v>
      </c>
    </row>
    <row r="41" spans="1:7" ht="10.5" customHeight="1">
      <c r="A41" s="746"/>
      <c r="B41" s="680" t="s">
        <v>362</v>
      </c>
      <c r="C41" s="681"/>
      <c r="D41" s="681">
        <v>3.7698999999999998</v>
      </c>
      <c r="E41" s="681"/>
      <c r="F41" s="681">
        <v>3.7698999999999998</v>
      </c>
      <c r="G41" s="733">
        <v>2096.6510249999997</v>
      </c>
    </row>
    <row r="42" spans="1:7" ht="10.5" customHeight="1">
      <c r="A42" s="730" t="s">
        <v>363</v>
      </c>
      <c r="B42" s="557"/>
      <c r="C42" s="558"/>
      <c r="D42" s="558">
        <v>125.52076</v>
      </c>
      <c r="E42" s="558"/>
      <c r="F42" s="558">
        <v>125.52076</v>
      </c>
      <c r="G42" s="734">
        <v>2807.0590799999995</v>
      </c>
    </row>
    <row r="43" spans="1:7" ht="10.5" customHeight="1">
      <c r="A43" s="728" t="s">
        <v>477</v>
      </c>
      <c r="B43" s="680" t="s">
        <v>364</v>
      </c>
      <c r="C43" s="681"/>
      <c r="D43" s="681">
        <v>249939.54686750003</v>
      </c>
      <c r="E43" s="681"/>
      <c r="F43" s="681">
        <v>249939.54686750003</v>
      </c>
      <c r="G43" s="733">
        <v>4295955.0399675006</v>
      </c>
    </row>
    <row r="44" spans="1:7" ht="10.5" customHeight="1">
      <c r="A44" s="728"/>
      <c r="B44" s="680" t="s">
        <v>365</v>
      </c>
      <c r="C44" s="681"/>
      <c r="D44" s="681">
        <v>25084.9755525</v>
      </c>
      <c r="E44" s="681"/>
      <c r="F44" s="681">
        <v>25084.9755525</v>
      </c>
      <c r="G44" s="733">
        <v>592641.9228075</v>
      </c>
    </row>
    <row r="45" spans="1:7" ht="10.5" customHeight="1">
      <c r="A45" s="746"/>
      <c r="B45" s="680" t="s">
        <v>520</v>
      </c>
      <c r="C45" s="681">
        <v>335946.75489749998</v>
      </c>
      <c r="D45" s="681"/>
      <c r="E45" s="681"/>
      <c r="F45" s="681">
        <v>335946.75489749998</v>
      </c>
      <c r="G45" s="733">
        <v>3024446.31176</v>
      </c>
    </row>
    <row r="46" spans="1:7" ht="10.5" customHeight="1">
      <c r="A46" s="746"/>
      <c r="B46" s="680" t="s">
        <v>366</v>
      </c>
      <c r="C46" s="681">
        <v>7304.7140449999997</v>
      </c>
      <c r="D46" s="681"/>
      <c r="E46" s="681"/>
      <c r="F46" s="681">
        <v>7304.7140449999997</v>
      </c>
      <c r="G46" s="733">
        <v>54888.263662499994</v>
      </c>
    </row>
    <row r="47" spans="1:7" ht="10.5" customHeight="1">
      <c r="A47" s="730" t="s">
        <v>367</v>
      </c>
      <c r="B47" s="557"/>
      <c r="C47" s="558">
        <v>343251.46894249995</v>
      </c>
      <c r="D47" s="558">
        <v>275024.52242000005</v>
      </c>
      <c r="E47" s="558"/>
      <c r="F47" s="558">
        <v>618275.9913625</v>
      </c>
      <c r="G47" s="734">
        <v>7967931.5381975006</v>
      </c>
    </row>
    <row r="48" spans="1:7" ht="10.5" customHeight="1">
      <c r="A48" s="728" t="s">
        <v>118</v>
      </c>
      <c r="B48" s="680" t="s">
        <v>73</v>
      </c>
      <c r="C48" s="681"/>
      <c r="D48" s="681"/>
      <c r="E48" s="681">
        <v>2072.5017199999998</v>
      </c>
      <c r="F48" s="681">
        <v>2072.5017199999998</v>
      </c>
      <c r="G48" s="733">
        <v>15275.407190000002</v>
      </c>
    </row>
    <row r="49" spans="1:8" ht="10.5" customHeight="1">
      <c r="A49" s="730" t="s">
        <v>368</v>
      </c>
      <c r="B49" s="557"/>
      <c r="C49" s="558"/>
      <c r="D49" s="558"/>
      <c r="E49" s="558">
        <v>2072.5017199999998</v>
      </c>
      <c r="F49" s="558">
        <v>2072.5017199999998</v>
      </c>
      <c r="G49" s="734">
        <v>15275.407190000002</v>
      </c>
    </row>
    <row r="50" spans="1:8" ht="10.5" customHeight="1">
      <c r="A50" s="728" t="s">
        <v>111</v>
      </c>
      <c r="B50" s="680" t="s">
        <v>82</v>
      </c>
      <c r="C50" s="681"/>
      <c r="D50" s="681"/>
      <c r="E50" s="681">
        <v>4713.5483574999998</v>
      </c>
      <c r="F50" s="681">
        <v>4713.5483574999998</v>
      </c>
      <c r="G50" s="733">
        <v>47305.681909999999</v>
      </c>
    </row>
    <row r="51" spans="1:8" ht="10.5" customHeight="1">
      <c r="A51" s="730" t="s">
        <v>369</v>
      </c>
      <c r="B51" s="557"/>
      <c r="C51" s="558"/>
      <c r="D51" s="558"/>
      <c r="E51" s="558">
        <v>4713.5483574999998</v>
      </c>
      <c r="F51" s="558">
        <v>4713.5483574999998</v>
      </c>
      <c r="G51" s="734">
        <v>47305.681909999999</v>
      </c>
      <c r="H51" s="381"/>
    </row>
    <row r="52" spans="1:8" ht="10.5" customHeight="1">
      <c r="A52" s="728" t="s">
        <v>252</v>
      </c>
      <c r="B52" s="680" t="s">
        <v>72</v>
      </c>
      <c r="C52" s="681"/>
      <c r="D52" s="681"/>
      <c r="E52" s="681">
        <v>3578.4355424999999</v>
      </c>
      <c r="F52" s="681">
        <v>3578.4355424999999</v>
      </c>
      <c r="G52" s="733">
        <v>34707.854070000001</v>
      </c>
    </row>
    <row r="53" spans="1:8" ht="10.5" customHeight="1">
      <c r="A53" s="728"/>
      <c r="B53" s="680" t="s">
        <v>370</v>
      </c>
      <c r="C53" s="681">
        <v>168322.32192750002</v>
      </c>
      <c r="D53" s="681"/>
      <c r="E53" s="681"/>
      <c r="F53" s="681">
        <v>168322.32192750002</v>
      </c>
      <c r="G53" s="733">
        <v>1436036.9253924999</v>
      </c>
    </row>
    <row r="54" spans="1:8" ht="10.5" customHeight="1">
      <c r="A54" s="728"/>
      <c r="B54" s="680" t="s">
        <v>371</v>
      </c>
      <c r="C54" s="681">
        <v>63795.333715000008</v>
      </c>
      <c r="D54" s="681"/>
      <c r="E54" s="681"/>
      <c r="F54" s="681">
        <v>63795.333715000008</v>
      </c>
      <c r="G54" s="733">
        <v>551461.4082525</v>
      </c>
    </row>
    <row r="55" spans="1:8" ht="10.5" customHeight="1">
      <c r="A55" s="728"/>
      <c r="B55" s="680" t="s">
        <v>63</v>
      </c>
      <c r="C55" s="681"/>
      <c r="D55" s="681"/>
      <c r="E55" s="681">
        <v>7101.6837224999999</v>
      </c>
      <c r="F55" s="681">
        <v>7101.6837224999999</v>
      </c>
      <c r="G55" s="733">
        <v>71807.216014999969</v>
      </c>
    </row>
    <row r="56" spans="1:8" ht="10.5" customHeight="1">
      <c r="A56" s="730" t="s">
        <v>372</v>
      </c>
      <c r="B56" s="557"/>
      <c r="C56" s="558">
        <v>232117.65564250003</v>
      </c>
      <c r="D56" s="558"/>
      <c r="E56" s="558">
        <v>10680.119264999999</v>
      </c>
      <c r="F56" s="558">
        <v>242797.77490750002</v>
      </c>
      <c r="G56" s="734">
        <v>2094013.4037299999</v>
      </c>
    </row>
    <row r="57" spans="1:8" ht="10.5" customHeight="1">
      <c r="A57" s="728" t="s">
        <v>253</v>
      </c>
      <c r="B57" s="680" t="s">
        <v>79</v>
      </c>
      <c r="C57" s="681"/>
      <c r="D57" s="681"/>
      <c r="E57" s="681">
        <v>10586.93339</v>
      </c>
      <c r="F57" s="681">
        <v>10586.93339</v>
      </c>
      <c r="G57" s="733">
        <v>157109.073615</v>
      </c>
    </row>
    <row r="58" spans="1:8" ht="10.5" customHeight="1">
      <c r="A58" s="730" t="s">
        <v>373</v>
      </c>
      <c r="B58" s="557"/>
      <c r="C58" s="558"/>
      <c r="D58" s="558"/>
      <c r="E58" s="558">
        <v>10586.93339</v>
      </c>
      <c r="F58" s="558">
        <v>10586.93339</v>
      </c>
      <c r="G58" s="734">
        <v>157109.073615</v>
      </c>
    </row>
    <row r="59" spans="1:8" ht="10.5" customHeight="1">
      <c r="A59" s="728" t="s">
        <v>100</v>
      </c>
      <c r="B59" s="680" t="s">
        <v>77</v>
      </c>
      <c r="C59" s="681"/>
      <c r="D59" s="681"/>
      <c r="E59" s="681">
        <v>31962.9133425</v>
      </c>
      <c r="F59" s="681">
        <v>31962.9133425</v>
      </c>
      <c r="G59" s="733">
        <v>461165.69407000003</v>
      </c>
    </row>
    <row r="60" spans="1:8" ht="10.5" customHeight="1">
      <c r="A60" s="730" t="s">
        <v>374</v>
      </c>
      <c r="B60" s="557"/>
      <c r="C60" s="558"/>
      <c r="D60" s="558"/>
      <c r="E60" s="558">
        <v>31962.9133425</v>
      </c>
      <c r="F60" s="558">
        <v>31962.9133425</v>
      </c>
      <c r="G60" s="734">
        <v>461165.69407000003</v>
      </c>
    </row>
    <row r="61" spans="1:8" ht="10.5" customHeight="1">
      <c r="A61" s="728" t="s">
        <v>108</v>
      </c>
      <c r="B61" s="680" t="s">
        <v>243</v>
      </c>
      <c r="C61" s="681"/>
      <c r="D61" s="681"/>
      <c r="E61" s="681">
        <v>5111.8561225000003</v>
      </c>
      <c r="F61" s="681">
        <v>5111.8561225000003</v>
      </c>
      <c r="G61" s="733">
        <v>51300.795162499999</v>
      </c>
    </row>
    <row r="62" spans="1:8" ht="10.5" customHeight="1">
      <c r="A62" s="730" t="s">
        <v>375</v>
      </c>
      <c r="B62" s="557"/>
      <c r="C62" s="558"/>
      <c r="D62" s="558"/>
      <c r="E62" s="558">
        <v>5111.8561225000003</v>
      </c>
      <c r="F62" s="558">
        <v>5111.8561225000003</v>
      </c>
      <c r="G62" s="734">
        <v>51300.795162499999</v>
      </c>
    </row>
    <row r="63" spans="1:8" ht="10.5" customHeight="1">
      <c r="A63" s="728" t="s">
        <v>478</v>
      </c>
      <c r="B63" s="680" t="s">
        <v>86</v>
      </c>
      <c r="C63" s="681"/>
      <c r="D63" s="681"/>
      <c r="E63" s="681">
        <v>306.42174999999997</v>
      </c>
      <c r="F63" s="681">
        <v>306.42174999999997</v>
      </c>
      <c r="G63" s="733">
        <v>17022.604887499998</v>
      </c>
    </row>
    <row r="64" spans="1:8" ht="10.5" customHeight="1">
      <c r="A64" s="728"/>
      <c r="B64" s="680" t="s">
        <v>85</v>
      </c>
      <c r="C64" s="681"/>
      <c r="D64" s="681"/>
      <c r="E64" s="681">
        <v>2840.6262750000001</v>
      </c>
      <c r="F64" s="681">
        <v>2840.6262750000001</v>
      </c>
      <c r="G64" s="733">
        <v>33806.214034999997</v>
      </c>
    </row>
    <row r="65" spans="1:7" ht="10.5" customHeight="1">
      <c r="A65" s="728"/>
      <c r="B65" s="680" t="s">
        <v>517</v>
      </c>
      <c r="C65" s="681"/>
      <c r="D65" s="681"/>
      <c r="E65" s="681">
        <v>1505.590025</v>
      </c>
      <c r="F65" s="681">
        <v>1505.590025</v>
      </c>
      <c r="G65" s="733">
        <v>14792.917340000005</v>
      </c>
    </row>
    <row r="66" spans="1:7" ht="10.5" customHeight="1">
      <c r="A66" s="730" t="s">
        <v>376</v>
      </c>
      <c r="B66" s="557"/>
      <c r="C66" s="558"/>
      <c r="D66" s="558"/>
      <c r="E66" s="558">
        <v>4652.6380499999996</v>
      </c>
      <c r="F66" s="558">
        <v>4652.6380499999996</v>
      </c>
      <c r="G66" s="734">
        <v>65621.736262499995</v>
      </c>
    </row>
    <row r="67" spans="1:7" ht="10.5" customHeight="1">
      <c r="A67" s="728" t="s">
        <v>254</v>
      </c>
      <c r="B67" s="680" t="s">
        <v>377</v>
      </c>
      <c r="C67" s="681"/>
      <c r="D67" s="681">
        <v>2.5137325000000001</v>
      </c>
      <c r="E67" s="681"/>
      <c r="F67" s="681">
        <v>2.5137325000000001</v>
      </c>
      <c r="G67" s="733">
        <v>2488.0914100000005</v>
      </c>
    </row>
    <row r="68" spans="1:7" ht="10.5" customHeight="1">
      <c r="A68" s="730" t="s">
        <v>378</v>
      </c>
      <c r="B68" s="557"/>
      <c r="C68" s="558"/>
      <c r="D68" s="558">
        <v>2.5137325000000001</v>
      </c>
      <c r="E68" s="558"/>
      <c r="F68" s="558">
        <v>2.5137325000000001</v>
      </c>
      <c r="G68" s="734">
        <v>2488.0914100000005</v>
      </c>
    </row>
    <row r="69" spans="1:7" ht="10.5" customHeight="1">
      <c r="A69" s="728" t="s">
        <v>554</v>
      </c>
      <c r="B69" s="680" t="s">
        <v>601</v>
      </c>
      <c r="C69" s="681"/>
      <c r="D69" s="681"/>
      <c r="E69" s="681">
        <v>14270.872125</v>
      </c>
      <c r="F69" s="681">
        <v>14270.872125</v>
      </c>
      <c r="G69" s="733">
        <v>67739.78184499999</v>
      </c>
    </row>
    <row r="70" spans="1:7" ht="10.5" customHeight="1">
      <c r="A70" s="730" t="s">
        <v>555</v>
      </c>
      <c r="B70" s="557"/>
      <c r="C70" s="558"/>
      <c r="D70" s="558"/>
      <c r="E70" s="558">
        <v>14270.872125</v>
      </c>
      <c r="F70" s="558">
        <v>14270.872125</v>
      </c>
      <c r="G70" s="734">
        <v>67739.78184499999</v>
      </c>
    </row>
    <row r="71" spans="1:7" ht="10.5" customHeight="1">
      <c r="A71" s="728" t="s">
        <v>105</v>
      </c>
      <c r="B71" s="680" t="s">
        <v>62</v>
      </c>
      <c r="C71" s="681"/>
      <c r="D71" s="681"/>
      <c r="E71" s="681">
        <v>13136.805157499999</v>
      </c>
      <c r="F71" s="681">
        <v>13136.805157499999</v>
      </c>
      <c r="G71" s="733">
        <v>105161.63321499999</v>
      </c>
    </row>
    <row r="72" spans="1:7" ht="10.5" customHeight="1">
      <c r="A72" s="747" t="s">
        <v>379</v>
      </c>
      <c r="B72" s="688"/>
      <c r="C72" s="689"/>
      <c r="D72" s="689"/>
      <c r="E72" s="689">
        <v>13136.805157499999</v>
      </c>
      <c r="F72" s="689">
        <v>13136.805157499999</v>
      </c>
      <c r="G72" s="748">
        <v>105161.63321499999</v>
      </c>
    </row>
    <row r="73" spans="1:7" ht="10.5" customHeight="1"/>
    <row r="74" spans="1:7" ht="10.5" customHeight="1"/>
    <row r="75" spans="1:7" ht="10.5" customHeight="1">
      <c r="A75" s="351"/>
      <c r="B75" s="351"/>
      <c r="C75" s="351"/>
      <c r="D75" s="351"/>
      <c r="E75" s="351"/>
      <c r="F75" s="351"/>
      <c r="G75" s="351"/>
    </row>
    <row r="76" spans="1:7" ht="10.5" customHeight="1">
      <c r="A76" s="351"/>
      <c r="B76" s="351"/>
      <c r="C76" s="351"/>
      <c r="D76" s="351"/>
      <c r="E76" s="351"/>
      <c r="F76" s="351"/>
      <c r="G76" s="351"/>
    </row>
    <row r="77" spans="1:7" ht="10.5" customHeight="1">
      <c r="A77" s="351"/>
      <c r="B77" s="351"/>
      <c r="C77" s="351"/>
      <c r="D77" s="351"/>
      <c r="E77" s="351"/>
      <c r="F77" s="351"/>
      <c r="G77" s="351"/>
    </row>
    <row r="78" spans="1:7" ht="10.5" customHeight="1">
      <c r="A78" s="351"/>
      <c r="B78" s="351"/>
      <c r="C78" s="351"/>
      <c r="D78" s="351"/>
      <c r="E78" s="351"/>
      <c r="F78" s="351"/>
      <c r="G78" s="351"/>
    </row>
    <row r="79" spans="1:7" ht="10.5" customHeight="1">
      <c r="A79" s="351"/>
      <c r="B79" s="351"/>
      <c r="C79" s="351"/>
      <c r="D79" s="351"/>
      <c r="E79" s="351"/>
      <c r="F79" s="351"/>
      <c r="G79" s="351"/>
    </row>
    <row r="80" spans="1:7" ht="10.5" customHeight="1">
      <c r="A80" s="351"/>
      <c r="B80" s="351"/>
      <c r="C80" s="351"/>
      <c r="D80" s="351"/>
      <c r="E80" s="351"/>
      <c r="F80" s="351"/>
      <c r="G80" s="351"/>
    </row>
    <row r="81" spans="1:7" ht="10.5" customHeight="1">
      <c r="A81" s="351"/>
      <c r="B81" s="351"/>
      <c r="C81" s="351"/>
      <c r="D81" s="351"/>
      <c r="E81" s="351"/>
      <c r="F81" s="351"/>
      <c r="G81" s="351"/>
    </row>
    <row r="82" spans="1:7" ht="10.5" customHeight="1">
      <c r="A82" s="351"/>
      <c r="B82" s="351"/>
      <c r="C82" s="351"/>
      <c r="D82" s="351"/>
      <c r="E82" s="351"/>
      <c r="F82" s="351"/>
      <c r="G82" s="351"/>
    </row>
    <row r="83" spans="1:7" ht="10.5" customHeight="1">
      <c r="A83" s="351"/>
      <c r="B83" s="351"/>
      <c r="C83" s="351"/>
      <c r="D83" s="351"/>
      <c r="E83" s="351"/>
      <c r="F83" s="351"/>
      <c r="G83" s="351"/>
    </row>
    <row r="84" spans="1:7" ht="10.5" customHeight="1">
      <c r="A84" s="351"/>
      <c r="B84" s="351"/>
      <c r="C84" s="351"/>
      <c r="D84" s="351"/>
      <c r="E84" s="351"/>
      <c r="F84" s="351"/>
      <c r="G84" s="351"/>
    </row>
    <row r="85" spans="1:7" ht="10.5" customHeight="1">
      <c r="A85" s="351"/>
      <c r="B85" s="351"/>
      <c r="C85" s="351"/>
      <c r="D85" s="351"/>
      <c r="E85" s="351"/>
      <c r="F85" s="351"/>
      <c r="G85" s="351"/>
    </row>
    <row r="86" spans="1:7" ht="10.5" customHeight="1">
      <c r="A86" s="351"/>
      <c r="B86" s="351"/>
      <c r="C86" s="351"/>
      <c r="D86" s="351"/>
      <c r="E86" s="351"/>
      <c r="F86" s="351"/>
      <c r="G86" s="351"/>
    </row>
    <row r="87" spans="1:7" ht="10.5" customHeight="1">
      <c r="A87" s="351"/>
      <c r="B87" s="351"/>
      <c r="C87" s="351"/>
      <c r="D87" s="351"/>
      <c r="E87" s="351"/>
      <c r="F87" s="351"/>
      <c r="G87" s="351"/>
    </row>
    <row r="88" spans="1:7" ht="10.5" customHeight="1">
      <c r="A88" s="351"/>
      <c r="B88" s="351"/>
      <c r="C88" s="351"/>
      <c r="D88" s="351"/>
      <c r="E88" s="351"/>
      <c r="F88" s="351"/>
      <c r="G88" s="351"/>
    </row>
    <row r="89" spans="1:7" ht="10.5" customHeight="1">
      <c r="A89" s="351"/>
      <c r="B89" s="351"/>
      <c r="C89" s="351"/>
      <c r="D89" s="351"/>
      <c r="E89" s="351"/>
      <c r="F89" s="351"/>
      <c r="G89" s="351"/>
    </row>
    <row r="90" spans="1:7" ht="10.5" customHeight="1">
      <c r="A90" s="351"/>
      <c r="B90" s="351"/>
      <c r="C90" s="351"/>
      <c r="D90" s="351"/>
      <c r="E90" s="351"/>
      <c r="F90" s="351"/>
      <c r="G90" s="351"/>
    </row>
    <row r="91" spans="1:7" ht="10.5" customHeight="1">
      <c r="A91" s="351"/>
      <c r="B91" s="351"/>
      <c r="C91" s="351"/>
      <c r="D91" s="351"/>
      <c r="E91" s="351"/>
      <c r="F91" s="351"/>
      <c r="G91" s="351"/>
    </row>
    <row r="92" spans="1:7" ht="10.5" customHeight="1">
      <c r="A92" s="351"/>
      <c r="B92" s="351"/>
      <c r="C92" s="351"/>
      <c r="D92" s="351"/>
      <c r="E92" s="351"/>
      <c r="F92" s="351"/>
      <c r="G92" s="351"/>
    </row>
    <row r="93" spans="1:7" ht="10.5" customHeight="1">
      <c r="A93" s="351"/>
      <c r="B93" s="351"/>
      <c r="C93" s="351"/>
      <c r="D93" s="351"/>
      <c r="E93" s="351"/>
      <c r="F93" s="351"/>
      <c r="G93" s="351"/>
    </row>
    <row r="94" spans="1:7" ht="10.5" customHeight="1">
      <c r="A94" s="351"/>
      <c r="B94" s="351"/>
      <c r="C94" s="351"/>
      <c r="D94" s="351"/>
      <c r="E94" s="351"/>
      <c r="F94" s="351"/>
      <c r="G94" s="351"/>
    </row>
    <row r="95" spans="1:7" ht="10.5" customHeight="1">
      <c r="A95" s="351"/>
      <c r="B95" s="351"/>
      <c r="C95" s="351"/>
      <c r="D95" s="351"/>
      <c r="E95" s="351"/>
      <c r="F95" s="351"/>
      <c r="G95" s="351"/>
    </row>
    <row r="96" spans="1:7" ht="10.5" customHeight="1">
      <c r="A96" s="351"/>
      <c r="B96" s="351"/>
      <c r="C96" s="351"/>
      <c r="D96" s="351"/>
      <c r="E96" s="351"/>
      <c r="F96" s="351"/>
      <c r="G96" s="351"/>
    </row>
    <row r="97" spans="1:7" ht="10.5" customHeight="1">
      <c r="A97" s="351"/>
      <c r="B97" s="351"/>
      <c r="C97" s="351"/>
      <c r="D97" s="351"/>
      <c r="E97" s="351"/>
      <c r="F97" s="351"/>
      <c r="G97" s="351"/>
    </row>
    <row r="98" spans="1:7" ht="10.5" customHeight="1">
      <c r="A98" s="351"/>
      <c r="B98" s="351"/>
      <c r="C98" s="351"/>
      <c r="D98" s="351"/>
      <c r="E98" s="351"/>
      <c r="F98" s="351"/>
      <c r="G98" s="351"/>
    </row>
    <row r="99" spans="1:7" ht="10.5" customHeight="1">
      <c r="A99" s="351"/>
      <c r="B99" s="351"/>
      <c r="C99" s="351"/>
      <c r="D99" s="351"/>
      <c r="E99" s="351"/>
      <c r="F99" s="351"/>
      <c r="G99" s="351"/>
    </row>
    <row r="100" spans="1:7" ht="10.5" customHeight="1">
      <c r="A100" s="351"/>
      <c r="B100" s="351"/>
      <c r="C100" s="351"/>
      <c r="D100" s="351"/>
      <c r="E100" s="351"/>
      <c r="F100" s="351"/>
      <c r="G100" s="351"/>
    </row>
    <row r="101" spans="1:7" ht="10.5" customHeight="1">
      <c r="A101" s="351"/>
      <c r="B101" s="351"/>
      <c r="C101" s="351"/>
      <c r="D101" s="351"/>
      <c r="E101" s="351"/>
      <c r="F101" s="351"/>
      <c r="G101" s="351"/>
    </row>
    <row r="102" spans="1:7" ht="10.5" customHeight="1">
      <c r="A102" s="351"/>
      <c r="B102" s="351"/>
      <c r="C102" s="351"/>
      <c r="D102" s="351"/>
      <c r="E102" s="351"/>
      <c r="F102" s="351"/>
      <c r="G102" s="351"/>
    </row>
    <row r="103" spans="1:7" ht="10.5" customHeight="1">
      <c r="A103" s="351"/>
      <c r="B103" s="351"/>
      <c r="C103" s="351"/>
      <c r="D103" s="351"/>
      <c r="E103" s="351"/>
      <c r="F103" s="351"/>
      <c r="G103" s="351"/>
    </row>
    <row r="104" spans="1:7" ht="10.5" customHeight="1">
      <c r="A104" s="351"/>
      <c r="B104" s="351"/>
      <c r="C104" s="351"/>
      <c r="D104" s="351"/>
      <c r="E104" s="351"/>
      <c r="F104" s="351"/>
      <c r="G104" s="351"/>
    </row>
    <row r="105" spans="1:7" ht="10.5" customHeight="1">
      <c r="A105" s="351"/>
      <c r="B105" s="351"/>
      <c r="C105" s="351"/>
      <c r="D105" s="351"/>
      <c r="E105" s="351"/>
      <c r="F105" s="351"/>
      <c r="G105" s="351"/>
    </row>
    <row r="106" spans="1:7" ht="10.5" customHeight="1">
      <c r="A106" s="351"/>
      <c r="B106" s="351"/>
      <c r="C106" s="351"/>
      <c r="D106" s="351"/>
      <c r="E106" s="351"/>
      <c r="F106" s="351"/>
      <c r="G106" s="351"/>
    </row>
    <row r="107" spans="1:7" ht="10.5" customHeight="1">
      <c r="A107" s="351"/>
      <c r="B107" s="351"/>
      <c r="C107" s="351"/>
      <c r="D107" s="351"/>
      <c r="E107" s="351"/>
      <c r="F107" s="351"/>
      <c r="G107" s="351"/>
    </row>
    <row r="108" spans="1:7" ht="10.5" customHeight="1">
      <c r="A108" s="351"/>
      <c r="B108" s="351"/>
      <c r="C108" s="351"/>
      <c r="D108" s="351"/>
      <c r="E108" s="351"/>
      <c r="F108" s="351"/>
      <c r="G108" s="351"/>
    </row>
    <row r="109" spans="1:7" ht="10.5" customHeight="1">
      <c r="A109" s="351"/>
      <c r="B109" s="351"/>
      <c r="C109" s="351"/>
      <c r="D109" s="351"/>
      <c r="E109" s="351"/>
      <c r="F109" s="351"/>
      <c r="G109" s="351"/>
    </row>
    <row r="110" spans="1:7" ht="10.5" customHeight="1">
      <c r="A110" s="351"/>
      <c r="B110" s="351"/>
      <c r="C110" s="351"/>
      <c r="D110" s="351"/>
      <c r="E110" s="351"/>
      <c r="F110" s="351"/>
      <c r="G110" s="351"/>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2019&amp;C19&amp;R&amp;7Dirección Ejecutiva
Sub Dirección de Gestión de Información</oddFooter>
  </headerFooter>
  <rowBreaks count="1" manualBreakCount="1">
    <brk id="72"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008FC8"/>
  </sheetPr>
  <dimension ref="A1:H61"/>
  <sheetViews>
    <sheetView showGridLines="0" view="pageBreakPreview" zoomScale="160" zoomScaleNormal="100" zoomScaleSheetLayoutView="160" zoomScalePageLayoutView="160" workbookViewId="0"/>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44" t="s">
        <v>261</v>
      </c>
      <c r="B1" s="947" t="s">
        <v>55</v>
      </c>
      <c r="C1" s="950" t="str">
        <f>+'19. ANEXOI-2'!C1:F1</f>
        <v>ENERGÍA PRODUCIDA DICIEMBRE 2019</v>
      </c>
      <c r="D1" s="950"/>
      <c r="E1" s="950"/>
      <c r="F1" s="950"/>
      <c r="G1" s="685" t="s">
        <v>287</v>
      </c>
      <c r="H1" s="203"/>
    </row>
    <row r="2" spans="1:8" ht="11.25" customHeight="1">
      <c r="A2" s="945"/>
      <c r="B2" s="948"/>
      <c r="C2" s="951" t="s">
        <v>288</v>
      </c>
      <c r="D2" s="951"/>
      <c r="E2" s="951"/>
      <c r="F2" s="952" t="str">
        <f>"TOTAL 
"&amp;UPPER('1. Resumen'!Q4)</f>
        <v>TOTAL 
DICIEMBRE</v>
      </c>
      <c r="G2" s="686" t="s">
        <v>289</v>
      </c>
      <c r="H2" s="194"/>
    </row>
    <row r="3" spans="1:8" ht="11.25" customHeight="1">
      <c r="A3" s="945"/>
      <c r="B3" s="948"/>
      <c r="C3" s="677" t="s">
        <v>222</v>
      </c>
      <c r="D3" s="677" t="s">
        <v>223</v>
      </c>
      <c r="E3" s="677" t="s">
        <v>290</v>
      </c>
      <c r="F3" s="953"/>
      <c r="G3" s="686">
        <v>2019</v>
      </c>
      <c r="H3" s="196"/>
    </row>
    <row r="4" spans="1:8" ht="11.25" customHeight="1">
      <c r="A4" s="954"/>
      <c r="B4" s="955"/>
      <c r="C4" s="678" t="s">
        <v>291</v>
      </c>
      <c r="D4" s="678" t="s">
        <v>291</v>
      </c>
      <c r="E4" s="678" t="s">
        <v>291</v>
      </c>
      <c r="F4" s="678" t="s">
        <v>291</v>
      </c>
      <c r="G4" s="687" t="s">
        <v>210</v>
      </c>
      <c r="H4" s="196"/>
    </row>
    <row r="5" spans="1:8" s="351" customFormat="1" ht="9" customHeight="1">
      <c r="A5" s="728" t="s">
        <v>255</v>
      </c>
      <c r="B5" s="680" t="s">
        <v>380</v>
      </c>
      <c r="C5" s="681"/>
      <c r="D5" s="681">
        <v>773.94599999999991</v>
      </c>
      <c r="E5" s="681"/>
      <c r="F5" s="681">
        <v>773.94599999999991</v>
      </c>
      <c r="G5" s="733">
        <v>3516.6435175000001</v>
      </c>
    </row>
    <row r="6" spans="1:8" s="351" customFormat="1" ht="9" customHeight="1">
      <c r="A6" s="730" t="s">
        <v>381</v>
      </c>
      <c r="B6" s="557"/>
      <c r="C6" s="558"/>
      <c r="D6" s="558">
        <v>773.94599999999991</v>
      </c>
      <c r="E6" s="558"/>
      <c r="F6" s="558">
        <v>773.94599999999991</v>
      </c>
      <c r="G6" s="734">
        <v>3516.6435175000001</v>
      </c>
    </row>
    <row r="7" spans="1:8" s="351" customFormat="1" ht="9" customHeight="1">
      <c r="A7" s="728" t="s">
        <v>96</v>
      </c>
      <c r="B7" s="680" t="s">
        <v>382</v>
      </c>
      <c r="C7" s="681">
        <v>77696.076197499991</v>
      </c>
      <c r="D7" s="681"/>
      <c r="E7" s="681"/>
      <c r="F7" s="681">
        <v>77696.076197499991</v>
      </c>
      <c r="G7" s="733">
        <v>728240.41779500002</v>
      </c>
    </row>
    <row r="8" spans="1:8" s="351" customFormat="1" ht="9" customHeight="1">
      <c r="A8" s="730" t="s">
        <v>383</v>
      </c>
      <c r="B8" s="557"/>
      <c r="C8" s="558">
        <v>77696.076197499991</v>
      </c>
      <c r="D8" s="558"/>
      <c r="E8" s="558"/>
      <c r="F8" s="558">
        <v>77696.076197499991</v>
      </c>
      <c r="G8" s="734">
        <v>728240.41779500002</v>
      </c>
    </row>
    <row r="9" spans="1:8" s="351" customFormat="1" ht="9" customHeight="1">
      <c r="A9" s="728" t="s">
        <v>519</v>
      </c>
      <c r="B9" s="680" t="s">
        <v>643</v>
      </c>
      <c r="C9" s="681"/>
      <c r="D9" s="681"/>
      <c r="E9" s="681">
        <v>5253.5959999999995</v>
      </c>
      <c r="F9" s="681">
        <v>5253.5959999999995</v>
      </c>
      <c r="G9" s="733">
        <v>42675.145099999994</v>
      </c>
    </row>
    <row r="10" spans="1:8" s="351" customFormat="1" ht="9" customHeight="1">
      <c r="A10" s="730" t="s">
        <v>524</v>
      </c>
      <c r="B10" s="557"/>
      <c r="C10" s="558"/>
      <c r="D10" s="558"/>
      <c r="E10" s="558">
        <v>5253.5959999999995</v>
      </c>
      <c r="F10" s="558">
        <v>5253.5959999999995</v>
      </c>
      <c r="G10" s="734">
        <v>42675.145099999994</v>
      </c>
    </row>
    <row r="11" spans="1:8" s="351" customFormat="1" ht="9" customHeight="1">
      <c r="A11" s="728" t="s">
        <v>462</v>
      </c>
      <c r="B11" s="680" t="s">
        <v>469</v>
      </c>
      <c r="C11" s="681"/>
      <c r="D11" s="681"/>
      <c r="E11" s="681">
        <v>14363.5200525</v>
      </c>
      <c r="F11" s="681">
        <v>14363.5200525</v>
      </c>
      <c r="G11" s="733">
        <v>161380.2891625</v>
      </c>
    </row>
    <row r="12" spans="1:8" s="351" customFormat="1" ht="9" customHeight="1">
      <c r="A12" s="730" t="s">
        <v>464</v>
      </c>
      <c r="B12" s="557"/>
      <c r="C12" s="558"/>
      <c r="D12" s="558"/>
      <c r="E12" s="558">
        <v>14363.5200525</v>
      </c>
      <c r="F12" s="558">
        <v>14363.5200525</v>
      </c>
      <c r="G12" s="734">
        <v>161380.2891625</v>
      </c>
    </row>
    <row r="13" spans="1:8" s="351" customFormat="1" ht="9" customHeight="1">
      <c r="A13" s="728" t="s">
        <v>103</v>
      </c>
      <c r="B13" s="680" t="s">
        <v>384</v>
      </c>
      <c r="C13" s="681"/>
      <c r="D13" s="681">
        <v>19284.171415000001</v>
      </c>
      <c r="E13" s="681"/>
      <c r="F13" s="681">
        <v>19284.171415000001</v>
      </c>
      <c r="G13" s="733">
        <v>239591.52819250003</v>
      </c>
    </row>
    <row r="14" spans="1:8" s="351" customFormat="1" ht="9" customHeight="1">
      <c r="A14" s="730" t="s">
        <v>385</v>
      </c>
      <c r="B14" s="557"/>
      <c r="C14" s="558"/>
      <c r="D14" s="558">
        <v>19284.171415000001</v>
      </c>
      <c r="E14" s="558"/>
      <c r="F14" s="558">
        <v>19284.171415000001</v>
      </c>
      <c r="G14" s="734">
        <v>239591.52819250003</v>
      </c>
    </row>
    <row r="15" spans="1:8" s="351" customFormat="1" ht="9" customHeight="1">
      <c r="A15" s="728" t="s">
        <v>120</v>
      </c>
      <c r="B15" s="680" t="s">
        <v>386</v>
      </c>
      <c r="C15" s="681"/>
      <c r="D15" s="681">
        <v>1878.2589924999997</v>
      </c>
      <c r="E15" s="681"/>
      <c r="F15" s="681">
        <v>1878.2589924999997</v>
      </c>
      <c r="G15" s="733">
        <v>47672.637474999989</v>
      </c>
    </row>
    <row r="16" spans="1:8" s="351" customFormat="1" ht="9" customHeight="1">
      <c r="A16" s="730" t="s">
        <v>387</v>
      </c>
      <c r="B16" s="557"/>
      <c r="C16" s="558"/>
      <c r="D16" s="558">
        <v>1878.2589924999997</v>
      </c>
      <c r="E16" s="558"/>
      <c r="F16" s="558">
        <v>1878.2589924999997</v>
      </c>
      <c r="G16" s="734">
        <v>47672.637474999989</v>
      </c>
    </row>
    <row r="17" spans="1:7" s="351" customFormat="1" ht="9" customHeight="1">
      <c r="A17" s="728" t="s">
        <v>114</v>
      </c>
      <c r="B17" s="680" t="s">
        <v>644</v>
      </c>
      <c r="C17" s="681"/>
      <c r="D17" s="681"/>
      <c r="E17" s="681">
        <v>13974.380004999999</v>
      </c>
      <c r="F17" s="681">
        <v>13974.380004999999</v>
      </c>
      <c r="G17" s="733">
        <v>91997.941522499998</v>
      </c>
    </row>
    <row r="18" spans="1:7" s="351" customFormat="1" ht="9" customHeight="1">
      <c r="A18" s="728"/>
      <c r="B18" s="680" t="s">
        <v>70</v>
      </c>
      <c r="C18" s="681"/>
      <c r="D18" s="681"/>
      <c r="E18" s="681">
        <v>2650.7902800000002</v>
      </c>
      <c r="F18" s="681">
        <v>2650.7902800000002</v>
      </c>
      <c r="G18" s="733">
        <v>51347.677812499991</v>
      </c>
    </row>
    <row r="19" spans="1:7" s="351" customFormat="1" ht="9" customHeight="1">
      <c r="A19" s="730" t="s">
        <v>388</v>
      </c>
      <c r="B19" s="557"/>
      <c r="C19" s="558"/>
      <c r="D19" s="558"/>
      <c r="E19" s="558">
        <v>16625.170285</v>
      </c>
      <c r="F19" s="558">
        <v>16625.170285</v>
      </c>
      <c r="G19" s="734">
        <v>143345.619335</v>
      </c>
    </row>
    <row r="20" spans="1:7" s="351" customFormat="1" ht="9" customHeight="1">
      <c r="A20" s="728" t="s">
        <v>91</v>
      </c>
      <c r="B20" s="680" t="s">
        <v>389</v>
      </c>
      <c r="C20" s="681">
        <v>31779.6558425</v>
      </c>
      <c r="D20" s="681"/>
      <c r="E20" s="681"/>
      <c r="F20" s="681">
        <v>31779.6558425</v>
      </c>
      <c r="G20" s="733">
        <v>277991.35246249998</v>
      </c>
    </row>
    <row r="21" spans="1:7" s="351" customFormat="1" ht="9" customHeight="1">
      <c r="A21" s="728"/>
      <c r="B21" s="680" t="s">
        <v>390</v>
      </c>
      <c r="C21" s="681">
        <v>96085.392489999998</v>
      </c>
      <c r="D21" s="681"/>
      <c r="E21" s="681"/>
      <c r="F21" s="681">
        <v>96085.392489999998</v>
      </c>
      <c r="G21" s="733">
        <v>778042.79618750012</v>
      </c>
    </row>
    <row r="22" spans="1:7" s="351" customFormat="1" ht="9" customHeight="1">
      <c r="A22" s="728"/>
      <c r="B22" s="680" t="s">
        <v>391</v>
      </c>
      <c r="C22" s="681">
        <v>23049.978945000003</v>
      </c>
      <c r="D22" s="681"/>
      <c r="E22" s="681"/>
      <c r="F22" s="681">
        <v>23049.978945000003</v>
      </c>
      <c r="G22" s="733">
        <v>143807.96742999996</v>
      </c>
    </row>
    <row r="23" spans="1:7" s="351" customFormat="1" ht="9" customHeight="1">
      <c r="A23" s="728"/>
      <c r="B23" s="680" t="s">
        <v>392</v>
      </c>
      <c r="C23" s="681">
        <v>19.768014999999998</v>
      </c>
      <c r="D23" s="681"/>
      <c r="E23" s="681"/>
      <c r="F23" s="681">
        <v>19.768014999999998</v>
      </c>
      <c r="G23" s="733">
        <v>706.59660499999995</v>
      </c>
    </row>
    <row r="24" spans="1:7" s="351" customFormat="1" ht="9" customHeight="1">
      <c r="A24" s="728"/>
      <c r="B24" s="680" t="s">
        <v>393</v>
      </c>
      <c r="C24" s="681">
        <v>28568.618717500001</v>
      </c>
      <c r="D24" s="681"/>
      <c r="E24" s="681"/>
      <c r="F24" s="681">
        <v>28568.618717500001</v>
      </c>
      <c r="G24" s="733">
        <v>247258.25940750001</v>
      </c>
    </row>
    <row r="25" spans="1:7" s="351" customFormat="1" ht="9" customHeight="1">
      <c r="A25" s="728"/>
      <c r="B25" s="680" t="s">
        <v>394</v>
      </c>
      <c r="C25" s="681">
        <v>1272.82752</v>
      </c>
      <c r="D25" s="681"/>
      <c r="E25" s="681"/>
      <c r="F25" s="681">
        <v>1272.82752</v>
      </c>
      <c r="G25" s="733">
        <v>22659.81841</v>
      </c>
    </row>
    <row r="26" spans="1:7" s="351" customFormat="1" ht="9" customHeight="1">
      <c r="A26" s="728"/>
      <c r="B26" s="680" t="s">
        <v>395</v>
      </c>
      <c r="C26" s="681">
        <v>5887.7379000000001</v>
      </c>
      <c r="D26" s="681"/>
      <c r="E26" s="681"/>
      <c r="F26" s="681">
        <v>5887.7379000000001</v>
      </c>
      <c r="G26" s="733">
        <v>52507.22868</v>
      </c>
    </row>
    <row r="27" spans="1:7" s="351" customFormat="1" ht="8.25" customHeight="1">
      <c r="A27" s="728"/>
      <c r="B27" s="680" t="s">
        <v>396</v>
      </c>
      <c r="C27" s="681">
        <v>3247.6250575000004</v>
      </c>
      <c r="D27" s="681"/>
      <c r="E27" s="681"/>
      <c r="F27" s="681">
        <v>3247.6250575000004</v>
      </c>
      <c r="G27" s="733">
        <v>34648.272319999996</v>
      </c>
    </row>
    <row r="28" spans="1:7" s="351" customFormat="1" ht="9" customHeight="1">
      <c r="A28" s="728"/>
      <c r="B28" s="680" t="s">
        <v>397</v>
      </c>
      <c r="C28" s="681">
        <v>2173.0391</v>
      </c>
      <c r="D28" s="681"/>
      <c r="E28" s="681"/>
      <c r="F28" s="681">
        <v>2173.0391</v>
      </c>
      <c r="G28" s="733">
        <v>16577.927424999998</v>
      </c>
    </row>
    <row r="29" spans="1:7" s="351" customFormat="1" ht="9" customHeight="1">
      <c r="A29" s="728"/>
      <c r="B29" s="680" t="s">
        <v>398</v>
      </c>
      <c r="C29" s="681">
        <v>32.632534999999997</v>
      </c>
      <c r="D29" s="681"/>
      <c r="E29" s="681"/>
      <c r="F29" s="681">
        <v>32.632534999999997</v>
      </c>
      <c r="G29" s="733">
        <v>2857.2993550000001</v>
      </c>
    </row>
    <row r="30" spans="1:7" s="351" customFormat="1" ht="9" customHeight="1">
      <c r="A30" s="728"/>
      <c r="B30" s="680" t="s">
        <v>399</v>
      </c>
      <c r="C30" s="681">
        <v>25.50224</v>
      </c>
      <c r="D30" s="681"/>
      <c r="E30" s="681"/>
      <c r="F30" s="681">
        <v>25.50224</v>
      </c>
      <c r="G30" s="733">
        <v>2153.7015100000003</v>
      </c>
    </row>
    <row r="31" spans="1:7" s="351" customFormat="1" ht="9" customHeight="1">
      <c r="A31" s="728"/>
      <c r="B31" s="680" t="s">
        <v>400</v>
      </c>
      <c r="C31" s="681">
        <v>75073.935840000006</v>
      </c>
      <c r="D31" s="681"/>
      <c r="E31" s="681"/>
      <c r="F31" s="681">
        <v>75073.935840000006</v>
      </c>
      <c r="G31" s="733">
        <v>795718.37181749998</v>
      </c>
    </row>
    <row r="32" spans="1:7" s="351" customFormat="1" ht="9" customHeight="1">
      <c r="A32" s="730" t="s">
        <v>401</v>
      </c>
      <c r="B32" s="557"/>
      <c r="C32" s="558">
        <v>267216.71420250001</v>
      </c>
      <c r="D32" s="558"/>
      <c r="E32" s="558"/>
      <c r="F32" s="558">
        <v>267216.71420250001</v>
      </c>
      <c r="G32" s="734">
        <v>2374929.59161</v>
      </c>
    </row>
    <row r="33" spans="1:8" s="351" customFormat="1" ht="9" customHeight="1">
      <c r="A33" s="728" t="s">
        <v>110</v>
      </c>
      <c r="B33" s="680" t="s">
        <v>242</v>
      </c>
      <c r="C33" s="681"/>
      <c r="D33" s="681"/>
      <c r="E33" s="681">
        <v>4153.5138975</v>
      </c>
      <c r="F33" s="681">
        <v>4153.5138975</v>
      </c>
      <c r="G33" s="733">
        <v>46744.861697500004</v>
      </c>
    </row>
    <row r="34" spans="1:8" s="351" customFormat="1" ht="9" customHeight="1">
      <c r="A34" s="730" t="s">
        <v>402</v>
      </c>
      <c r="B34" s="557"/>
      <c r="C34" s="558"/>
      <c r="D34" s="558"/>
      <c r="E34" s="558">
        <v>4153.5138975</v>
      </c>
      <c r="F34" s="558">
        <v>4153.5138975</v>
      </c>
      <c r="G34" s="734">
        <v>46744.861697500004</v>
      </c>
    </row>
    <row r="35" spans="1:8">
      <c r="A35" s="728" t="s">
        <v>101</v>
      </c>
      <c r="B35" s="680" t="s">
        <v>521</v>
      </c>
      <c r="C35" s="680"/>
      <c r="D35" s="680">
        <v>85630.024040000004</v>
      </c>
      <c r="E35" s="680"/>
      <c r="F35" s="680">
        <v>85630.024040000004</v>
      </c>
      <c r="G35" s="735">
        <v>1628112.8102274998</v>
      </c>
    </row>
    <row r="36" spans="1:8">
      <c r="A36" s="730" t="s">
        <v>403</v>
      </c>
      <c r="B36" s="557"/>
      <c r="C36" s="558"/>
      <c r="D36" s="558">
        <v>85630.024040000004</v>
      </c>
      <c r="E36" s="558"/>
      <c r="F36" s="558">
        <v>85630.024040000004</v>
      </c>
      <c r="G36" s="734">
        <v>1628112.8102274998</v>
      </c>
    </row>
    <row r="37" spans="1:8">
      <c r="A37" s="736" t="s">
        <v>106</v>
      </c>
      <c r="B37" s="692" t="s">
        <v>404</v>
      </c>
      <c r="C37" s="693"/>
      <c r="D37" s="693">
        <v>1668.9536324999999</v>
      </c>
      <c r="E37" s="693"/>
      <c r="F37" s="693">
        <v>1668.9536324999999</v>
      </c>
      <c r="G37" s="737">
        <v>323707.49704750004</v>
      </c>
    </row>
    <row r="38" spans="1:8">
      <c r="A38" s="738" t="s">
        <v>405</v>
      </c>
      <c r="B38" s="739"/>
      <c r="C38" s="740"/>
      <c r="D38" s="740">
        <v>1668.9536324999999</v>
      </c>
      <c r="E38" s="740"/>
      <c r="F38" s="740">
        <v>1668.9536324999999</v>
      </c>
      <c r="G38" s="741">
        <v>323707.49704750004</v>
      </c>
    </row>
    <row r="39" spans="1:8">
      <c r="A39" s="538" t="s">
        <v>497</v>
      </c>
      <c r="B39" s="538"/>
      <c r="C39" s="537">
        <v>2914664.902605</v>
      </c>
      <c r="D39" s="537">
        <v>1208731.2632974999</v>
      </c>
      <c r="E39" s="537">
        <v>467827.0797375</v>
      </c>
      <c r="F39" s="537">
        <v>4591223.2456400013</v>
      </c>
      <c r="G39" s="694">
        <v>52889143.633405037</v>
      </c>
    </row>
    <row r="40" spans="1:8">
      <c r="A40" s="538" t="s">
        <v>406</v>
      </c>
      <c r="B40" s="538"/>
      <c r="C40" s="539"/>
      <c r="D40" s="539"/>
      <c r="E40" s="582"/>
      <c r="F40" s="540">
        <f>+'3. Tipo Generación'!D14*1000</f>
        <v>238.71</v>
      </c>
      <c r="G40" s="695">
        <f>+'4. Tipo Recurso'!$G$21*1000</f>
        <v>60050.445309999996</v>
      </c>
    </row>
    <row r="41" spans="1:8">
      <c r="A41" s="696" t="s">
        <v>407</v>
      </c>
      <c r="B41" s="538"/>
      <c r="C41" s="539"/>
      <c r="D41" s="539"/>
      <c r="E41" s="582"/>
      <c r="F41" s="540"/>
      <c r="G41" s="695"/>
    </row>
    <row r="42" spans="1:8" ht="6.75" customHeight="1">
      <c r="A42" s="697"/>
      <c r="B42" s="697"/>
      <c r="C42" s="697"/>
      <c r="D42" s="697"/>
      <c r="E42" s="697"/>
      <c r="F42" s="697"/>
      <c r="G42" s="697"/>
    </row>
    <row r="43" spans="1:8" ht="23.25" customHeight="1">
      <c r="A43" s="957" t="s">
        <v>532</v>
      </c>
      <c r="B43" s="957"/>
      <c r="C43" s="957"/>
      <c r="D43" s="957"/>
      <c r="E43" s="957"/>
      <c r="F43" s="957"/>
      <c r="G43" s="957"/>
    </row>
    <row r="44" spans="1:8" ht="17.25" customHeight="1">
      <c r="A44" s="765" t="s">
        <v>558</v>
      </c>
      <c r="B44" s="765"/>
      <c r="C44" s="765"/>
      <c r="D44" s="765"/>
      <c r="E44" s="765"/>
      <c r="F44" s="765"/>
      <c r="G44" s="765"/>
      <c r="H44" s="46"/>
    </row>
    <row r="45" spans="1:8" ht="17.25" customHeight="1">
      <c r="A45" s="765" t="s">
        <v>559</v>
      </c>
      <c r="B45" s="765"/>
      <c r="C45" s="765"/>
      <c r="D45" s="765"/>
      <c r="E45" s="765"/>
      <c r="F45" s="765"/>
      <c r="G45" s="765"/>
      <c r="H45" s="46"/>
    </row>
    <row r="46" spans="1:8" s="435" customFormat="1" ht="17.25" customHeight="1">
      <c r="A46" s="765" t="s">
        <v>560</v>
      </c>
      <c r="B46" s="765"/>
      <c r="C46" s="765"/>
      <c r="D46" s="765"/>
      <c r="E46" s="765"/>
      <c r="F46" s="765"/>
      <c r="G46" s="765"/>
      <c r="H46" s="46"/>
    </row>
    <row r="47" spans="1:8" ht="17.25" customHeight="1">
      <c r="A47" s="765" t="s">
        <v>561</v>
      </c>
      <c r="B47" s="765"/>
      <c r="C47" s="765"/>
      <c r="D47" s="765"/>
      <c r="E47" s="765"/>
      <c r="F47" s="765"/>
      <c r="G47" s="765"/>
      <c r="H47" s="46"/>
    </row>
    <row r="48" spans="1:8" ht="17.25" customHeight="1">
      <c r="A48" s="765" t="s">
        <v>577</v>
      </c>
      <c r="B48" s="288"/>
      <c r="C48" s="288"/>
      <c r="D48" s="288"/>
      <c r="E48" s="288"/>
      <c r="F48" s="288"/>
      <c r="G48" s="46"/>
      <c r="H48" s="46"/>
    </row>
    <row r="49" spans="1:8" ht="17.25" customHeight="1">
      <c r="A49" s="765" t="s">
        <v>576</v>
      </c>
      <c r="B49" s="288"/>
      <c r="C49" s="288"/>
      <c r="D49" s="288"/>
      <c r="E49" s="288"/>
      <c r="F49" s="288"/>
      <c r="G49" s="46"/>
      <c r="H49" s="46"/>
    </row>
    <row r="50" spans="1:8" ht="22.5" customHeight="1">
      <c r="A50" s="956" t="s">
        <v>585</v>
      </c>
      <c r="B50" s="956"/>
      <c r="C50" s="956"/>
      <c r="D50" s="956"/>
      <c r="E50" s="956"/>
      <c r="F50" s="956"/>
      <c r="G50" s="956"/>
    </row>
    <row r="51" spans="1:8" ht="16.5" customHeight="1">
      <c r="A51" s="765" t="s">
        <v>583</v>
      </c>
      <c r="B51" s="279"/>
      <c r="C51" s="279"/>
      <c r="D51" s="279"/>
      <c r="E51" s="279"/>
      <c r="F51" s="279"/>
    </row>
    <row r="52" spans="1:8" s="797" customFormat="1" ht="16.5" customHeight="1">
      <c r="A52" s="765" t="s">
        <v>616</v>
      </c>
      <c r="B52" s="279"/>
      <c r="C52" s="279"/>
      <c r="D52" s="279"/>
      <c r="E52" s="279"/>
      <c r="F52" s="279"/>
    </row>
    <row r="53" spans="1:8" s="797" customFormat="1" ht="16.5" customHeight="1">
      <c r="A53" s="765" t="s">
        <v>649</v>
      </c>
      <c r="B53" s="279"/>
      <c r="C53" s="279"/>
      <c r="D53" s="279"/>
      <c r="E53" s="279"/>
      <c r="F53" s="279"/>
    </row>
    <row r="54" spans="1:8">
      <c r="A54" s="351" t="s">
        <v>758</v>
      </c>
      <c r="B54" s="279"/>
      <c r="C54" s="279"/>
      <c r="D54" s="279"/>
      <c r="E54" s="279"/>
      <c r="F54" s="279"/>
    </row>
    <row r="55" spans="1:8">
      <c r="A55" s="351"/>
      <c r="B55" s="279"/>
      <c r="C55" s="279"/>
      <c r="D55" s="279"/>
      <c r="E55" s="279"/>
      <c r="F55" s="279"/>
    </row>
    <row r="56" spans="1:8">
      <c r="A56" s="351"/>
      <c r="B56" s="279"/>
      <c r="C56" s="279"/>
      <c r="D56" s="279"/>
      <c r="E56" s="279"/>
      <c r="F56" s="279"/>
    </row>
    <row r="57" spans="1:8">
      <c r="A57" s="351"/>
      <c r="B57" s="279"/>
      <c r="C57" s="279"/>
      <c r="D57" s="279"/>
      <c r="E57" s="279"/>
      <c r="F57" s="279"/>
    </row>
    <row r="58" spans="1:8">
      <c r="A58" s="351"/>
      <c r="B58" s="279"/>
      <c r="C58" s="279"/>
      <c r="D58" s="279"/>
      <c r="E58" s="279"/>
      <c r="F58" s="279"/>
    </row>
    <row r="59" spans="1:8">
      <c r="A59" s="351"/>
    </row>
    <row r="60" spans="1:8">
      <c r="A60" s="351"/>
    </row>
    <row r="61" spans="1:8">
      <c r="A61" s="351"/>
    </row>
  </sheetData>
  <mergeCells count="7">
    <mergeCell ref="A50:G50"/>
    <mergeCell ref="A43:G43"/>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008FC8"/>
  </sheetPr>
  <dimension ref="A1:P191"/>
  <sheetViews>
    <sheetView showGridLines="0" view="pageBreakPreview" zoomScale="130" zoomScaleNormal="100" zoomScaleSheetLayoutView="130" zoomScalePageLayoutView="160" workbookViewId="0"/>
  </sheetViews>
  <sheetFormatPr defaultColWidth="9.33203125" defaultRowHeight="9"/>
  <cols>
    <col min="1" max="1" width="24" style="279" customWidth="1"/>
    <col min="2" max="2" width="22.1640625" style="279" customWidth="1"/>
    <col min="3" max="4" width="17.6640625" style="279" customWidth="1"/>
    <col min="5" max="5" width="15.1640625" style="279" customWidth="1"/>
    <col min="6" max="6" width="12.1640625" style="279" customWidth="1"/>
    <col min="7" max="7" width="9.33203125" style="279"/>
    <col min="8" max="8" width="15.6640625" style="279" customWidth="1"/>
    <col min="9" max="9" width="9.33203125" style="279"/>
    <col min="10" max="11" width="9.33203125" style="279" customWidth="1"/>
    <col min="12" max="16384" width="9.33203125" style="279"/>
  </cols>
  <sheetData>
    <row r="1" spans="1:12" ht="11.25" customHeight="1">
      <c r="A1" s="706" t="s">
        <v>410</v>
      </c>
      <c r="B1" s="707"/>
      <c r="C1" s="707"/>
      <c r="D1" s="707"/>
      <c r="E1" s="707"/>
      <c r="F1" s="707"/>
    </row>
    <row r="2" spans="1:12" s="351" customFormat="1" ht="11.25" customHeight="1">
      <c r="A2" s="958" t="s">
        <v>261</v>
      </c>
      <c r="B2" s="961" t="s">
        <v>55</v>
      </c>
      <c r="C2" s="961" t="s">
        <v>411</v>
      </c>
      <c r="D2" s="961"/>
      <c r="E2" s="961"/>
      <c r="F2" s="964"/>
      <c r="G2" s="462"/>
      <c r="H2" s="462"/>
      <c r="I2" s="462"/>
      <c r="J2" s="462"/>
      <c r="K2" s="462"/>
    </row>
    <row r="3" spans="1:12" s="351" customFormat="1" ht="11.25" customHeight="1">
      <c r="A3" s="959"/>
      <c r="B3" s="962"/>
      <c r="C3" s="541" t="str">
        <f>UPPER('1. Resumen'!Q4)&amp;" "&amp;'1. Resumen'!Q5</f>
        <v>DICIEMBRE 2019</v>
      </c>
      <c r="D3" s="542" t="str">
        <f>UPPER('1. Resumen'!Q4)&amp;" "&amp;'1. Resumen'!Q5-1</f>
        <v>DICIEMBRE 2018</v>
      </c>
      <c r="E3" s="542" t="str">
        <f>UPPER('1. Resumen'!Q4)&amp;" "&amp;'1. Resumen'!Q5-2</f>
        <v>DICIEMBRE 2017</v>
      </c>
      <c r="F3" s="698" t="s">
        <v>526</v>
      </c>
      <c r="G3" s="463"/>
      <c r="H3" s="463"/>
      <c r="I3" s="463"/>
      <c r="J3" s="463"/>
      <c r="K3" s="463"/>
      <c r="L3" s="462"/>
    </row>
    <row r="4" spans="1:12" s="351" customFormat="1" ht="11.25" customHeight="1">
      <c r="A4" s="959"/>
      <c r="B4" s="962"/>
      <c r="C4" s="544">
        <f>+'8. Max Potencia'!D8</f>
        <v>43801.8125</v>
      </c>
      <c r="D4" s="544">
        <f>+'8. Max Potencia'!E8</f>
        <v>43451.822916666664</v>
      </c>
      <c r="E4" s="544">
        <v>43087.822916666664</v>
      </c>
      <c r="F4" s="699" t="s">
        <v>408</v>
      </c>
      <c r="G4" s="464"/>
      <c r="H4" s="464"/>
      <c r="I4" s="465"/>
      <c r="J4" s="465"/>
      <c r="K4" s="465"/>
      <c r="L4" s="462"/>
    </row>
    <row r="5" spans="1:12" s="351" customFormat="1" ht="11.25" customHeight="1">
      <c r="A5" s="960"/>
      <c r="B5" s="963"/>
      <c r="C5" s="701">
        <f>+'8. Max Potencia'!D9</f>
        <v>43801.8125</v>
      </c>
      <c r="D5" s="701">
        <f>+'8. Max Potencia'!E9</f>
        <v>43451.822916666664</v>
      </c>
      <c r="E5" s="701">
        <f>+E4</f>
        <v>43087.822916666664</v>
      </c>
      <c r="F5" s="702" t="s">
        <v>409</v>
      </c>
      <c r="G5" s="464"/>
      <c r="H5" s="464"/>
      <c r="I5" s="464"/>
      <c r="J5" s="464"/>
      <c r="K5" s="464"/>
      <c r="L5" s="466"/>
    </row>
    <row r="6" spans="1:12" s="351" customFormat="1" ht="9" customHeight="1">
      <c r="A6" s="749" t="s">
        <v>122</v>
      </c>
      <c r="B6" s="459" t="s">
        <v>87</v>
      </c>
      <c r="C6" s="467">
        <v>0</v>
      </c>
      <c r="D6" s="467">
        <v>13.55499</v>
      </c>
      <c r="E6" s="467">
        <v>0</v>
      </c>
      <c r="F6" s="754">
        <f>+IF(D6=0,"",C6/D6-1)</f>
        <v>-1</v>
      </c>
      <c r="G6" s="464"/>
      <c r="H6" s="823"/>
      <c r="I6" s="823"/>
      <c r="J6" s="464"/>
      <c r="K6" s="464"/>
      <c r="L6" s="468"/>
    </row>
    <row r="7" spans="1:12" s="351" customFormat="1" ht="9" customHeight="1">
      <c r="A7" s="730" t="s">
        <v>292</v>
      </c>
      <c r="B7" s="557"/>
      <c r="C7" s="559">
        <v>0</v>
      </c>
      <c r="D7" s="559">
        <v>13.55499</v>
      </c>
      <c r="E7" s="559">
        <v>0</v>
      </c>
      <c r="F7" s="731">
        <f t="shared" ref="F7:F70" si="0">+IF(D7=0,"",C7/D7-1)</f>
        <v>-1</v>
      </c>
      <c r="G7" s="464"/>
      <c r="H7" s="823"/>
      <c r="I7" s="823"/>
      <c r="J7" s="464"/>
      <c r="K7" s="464"/>
      <c r="L7" s="469"/>
    </row>
    <row r="8" spans="1:12" s="351" customFormat="1" ht="9" customHeight="1">
      <c r="A8" s="749" t="s">
        <v>121</v>
      </c>
      <c r="B8" s="459" t="s">
        <v>64</v>
      </c>
      <c r="C8" s="467">
        <v>19.05782</v>
      </c>
      <c r="D8" s="467">
        <v>15.892329999999999</v>
      </c>
      <c r="E8" s="467">
        <v>0</v>
      </c>
      <c r="F8" s="755">
        <f t="shared" si="0"/>
        <v>0.19918350550233987</v>
      </c>
      <c r="G8" s="464"/>
      <c r="H8" s="823"/>
      <c r="I8" s="823"/>
      <c r="J8" s="464"/>
      <c r="K8" s="464"/>
      <c r="L8" s="470"/>
    </row>
    <row r="9" spans="1:12" s="351" customFormat="1" ht="9" customHeight="1">
      <c r="A9" s="730" t="s">
        <v>293</v>
      </c>
      <c r="B9" s="557"/>
      <c r="C9" s="559">
        <v>19.05782</v>
      </c>
      <c r="D9" s="559">
        <v>15.892329999999999</v>
      </c>
      <c r="E9" s="559">
        <v>0</v>
      </c>
      <c r="F9" s="731">
        <f t="shared" si="0"/>
        <v>0.19918350550233987</v>
      </c>
      <c r="G9" s="464"/>
      <c r="H9" s="823"/>
      <c r="I9" s="823"/>
      <c r="J9" s="464"/>
      <c r="K9" s="464"/>
      <c r="L9" s="469"/>
    </row>
    <row r="10" spans="1:12" s="351" customFormat="1" ht="9" customHeight="1">
      <c r="A10" s="728" t="s">
        <v>107</v>
      </c>
      <c r="B10" s="680" t="s">
        <v>84</v>
      </c>
      <c r="C10" s="682">
        <v>0</v>
      </c>
      <c r="D10" s="682">
        <v>12.84328</v>
      </c>
      <c r="E10" s="682">
        <v>11.179410000000001</v>
      </c>
      <c r="F10" s="729">
        <f t="shared" si="0"/>
        <v>-1</v>
      </c>
      <c r="G10" s="464"/>
      <c r="H10" s="823"/>
      <c r="I10" s="823"/>
      <c r="J10" s="464"/>
      <c r="K10" s="464"/>
      <c r="L10" s="469"/>
    </row>
    <row r="11" spans="1:12" s="351" customFormat="1" ht="9" customHeight="1">
      <c r="A11" s="730" t="s">
        <v>294</v>
      </c>
      <c r="B11" s="557"/>
      <c r="C11" s="559">
        <v>0</v>
      </c>
      <c r="D11" s="559">
        <v>12.84328</v>
      </c>
      <c r="E11" s="559">
        <v>11.179410000000001</v>
      </c>
      <c r="F11" s="731">
        <f t="shared" si="0"/>
        <v>-1</v>
      </c>
      <c r="G11" s="464"/>
      <c r="H11" s="823"/>
      <c r="I11" s="823"/>
      <c r="J11" s="464"/>
      <c r="K11" s="464"/>
      <c r="L11" s="469"/>
    </row>
    <row r="12" spans="1:12" s="351" customFormat="1" ht="9" customHeight="1">
      <c r="A12" s="728" t="s">
        <v>488</v>
      </c>
      <c r="B12" s="680" t="s">
        <v>492</v>
      </c>
      <c r="C12" s="682">
        <v>20.720690000000001</v>
      </c>
      <c r="D12" s="682">
        <v>20.367170000000002</v>
      </c>
      <c r="E12" s="682"/>
      <c r="F12" s="729">
        <f t="shared" si="0"/>
        <v>1.7357345178539818E-2</v>
      </c>
      <c r="G12" s="464"/>
      <c r="H12" s="823"/>
      <c r="I12" s="823"/>
      <c r="J12" s="464"/>
      <c r="K12" s="464"/>
      <c r="L12" s="469"/>
    </row>
    <row r="13" spans="1:12" s="351" customFormat="1" ht="9" customHeight="1">
      <c r="A13" s="730" t="s">
        <v>489</v>
      </c>
      <c r="B13" s="557"/>
      <c r="C13" s="559">
        <v>20.720690000000001</v>
      </c>
      <c r="D13" s="559">
        <v>20.367170000000002</v>
      </c>
      <c r="E13" s="559"/>
      <c r="F13" s="731">
        <f t="shared" si="0"/>
        <v>1.7357345178539818E-2</v>
      </c>
      <c r="G13" s="464"/>
      <c r="H13" s="823"/>
      <c r="I13" s="823"/>
      <c r="J13" s="464"/>
      <c r="K13" s="464"/>
      <c r="L13" s="469"/>
    </row>
    <row r="14" spans="1:12" s="351" customFormat="1" ht="9" customHeight="1">
      <c r="A14" s="728" t="s">
        <v>635</v>
      </c>
      <c r="B14" s="680" t="s">
        <v>762</v>
      </c>
      <c r="C14" s="682">
        <v>8.9375</v>
      </c>
      <c r="D14" s="682"/>
      <c r="E14" s="682"/>
      <c r="F14" s="729" t="str">
        <f t="shared" si="0"/>
        <v/>
      </c>
      <c r="G14" s="464"/>
      <c r="H14" s="823"/>
      <c r="I14" s="823"/>
      <c r="J14" s="464"/>
      <c r="K14" s="464"/>
      <c r="L14" s="469"/>
    </row>
    <row r="15" spans="1:12" s="351" customFormat="1" ht="9" customHeight="1">
      <c r="A15" s="730" t="s">
        <v>636</v>
      </c>
      <c r="B15" s="557"/>
      <c r="C15" s="559">
        <v>8.9375</v>
      </c>
      <c r="D15" s="559"/>
      <c r="E15" s="559"/>
      <c r="F15" s="731" t="str">
        <f t="shared" si="0"/>
        <v/>
      </c>
      <c r="G15" s="464"/>
      <c r="H15" s="823"/>
      <c r="I15" s="823"/>
      <c r="J15" s="464"/>
      <c r="K15" s="464"/>
      <c r="L15" s="469"/>
    </row>
    <row r="16" spans="1:12" s="351" customFormat="1" ht="9" customHeight="1">
      <c r="A16" s="728" t="s">
        <v>95</v>
      </c>
      <c r="B16" s="680" t="s">
        <v>295</v>
      </c>
      <c r="C16" s="682">
        <v>190.60316</v>
      </c>
      <c r="D16" s="682">
        <v>134.03176999999999</v>
      </c>
      <c r="E16" s="682">
        <v>215.91407000000001</v>
      </c>
      <c r="F16" s="729">
        <f t="shared" si="0"/>
        <v>0.42207448278867021</v>
      </c>
      <c r="G16" s="464"/>
      <c r="H16" s="823"/>
      <c r="I16" s="823"/>
      <c r="J16" s="464"/>
      <c r="K16" s="464"/>
      <c r="L16" s="469"/>
    </row>
    <row r="17" spans="1:16" s="351" customFormat="1" ht="9" customHeight="1">
      <c r="A17" s="730" t="s">
        <v>296</v>
      </c>
      <c r="B17" s="557"/>
      <c r="C17" s="559">
        <v>190.60316</v>
      </c>
      <c r="D17" s="559">
        <v>134.03176999999999</v>
      </c>
      <c r="E17" s="559">
        <v>215.91407000000001</v>
      </c>
      <c r="F17" s="731">
        <f t="shared" si="0"/>
        <v>0.42207448278867021</v>
      </c>
      <c r="G17" s="464"/>
      <c r="H17" s="823"/>
      <c r="I17" s="823"/>
      <c r="J17" s="464"/>
      <c r="K17" s="464"/>
      <c r="L17" s="470"/>
    </row>
    <row r="18" spans="1:16" s="351" customFormat="1" ht="9" customHeight="1">
      <c r="A18" s="728" t="s">
        <v>247</v>
      </c>
      <c r="B18" s="680" t="s">
        <v>297</v>
      </c>
      <c r="C18" s="682">
        <v>0</v>
      </c>
      <c r="D18" s="682">
        <v>0</v>
      </c>
      <c r="E18" s="682">
        <v>0</v>
      </c>
      <c r="F18" s="729" t="str">
        <f t="shared" si="0"/>
        <v/>
      </c>
      <c r="G18" s="464"/>
      <c r="H18" s="823"/>
      <c r="I18" s="823"/>
      <c r="J18" s="464"/>
      <c r="K18" s="464"/>
      <c r="L18" s="470"/>
    </row>
    <row r="19" spans="1:16" s="351" customFormat="1" ht="9" customHeight="1">
      <c r="A19" s="730" t="s">
        <v>298</v>
      </c>
      <c r="B19" s="557"/>
      <c r="C19" s="559">
        <v>0</v>
      </c>
      <c r="D19" s="559">
        <v>0</v>
      </c>
      <c r="E19" s="559">
        <v>0</v>
      </c>
      <c r="F19" s="731" t="str">
        <f t="shared" si="0"/>
        <v/>
      </c>
      <c r="G19" s="464"/>
      <c r="H19" s="823"/>
      <c r="I19" s="823"/>
      <c r="J19" s="464"/>
      <c r="K19" s="464"/>
      <c r="L19" s="470"/>
    </row>
    <row r="20" spans="1:16" s="351" customFormat="1" ht="9" customHeight="1">
      <c r="A20" s="728" t="s">
        <v>94</v>
      </c>
      <c r="B20" s="680" t="s">
        <v>299</v>
      </c>
      <c r="C20" s="682">
        <v>0</v>
      </c>
      <c r="D20" s="682">
        <v>152.38419999999999</v>
      </c>
      <c r="E20" s="682">
        <v>122.23562000000001</v>
      </c>
      <c r="F20" s="729">
        <f t="shared" si="0"/>
        <v>-1</v>
      </c>
      <c r="G20" s="464"/>
      <c r="H20" s="823"/>
      <c r="I20" s="823"/>
      <c r="J20" s="464"/>
      <c r="K20" s="464"/>
      <c r="L20" s="464"/>
      <c r="M20" s="464"/>
      <c r="N20" s="464"/>
      <c r="O20" s="464"/>
      <c r="P20" s="464"/>
    </row>
    <row r="21" spans="1:16" s="351" customFormat="1" ht="9" customHeight="1">
      <c r="A21" s="728"/>
      <c r="B21" s="680" t="s">
        <v>300</v>
      </c>
      <c r="C21" s="682">
        <v>9.8530200000000008</v>
      </c>
      <c r="D21" s="682">
        <v>29.73847</v>
      </c>
      <c r="E21" s="682">
        <v>20.350449999999999</v>
      </c>
      <c r="F21" s="729">
        <f t="shared" si="0"/>
        <v>-0.66867764212483016</v>
      </c>
      <c r="G21" s="464"/>
      <c r="H21" s="823"/>
      <c r="I21" s="823"/>
      <c r="J21" s="464"/>
      <c r="K21" s="464"/>
      <c r="L21" s="464"/>
      <c r="M21" s="464"/>
      <c r="N21" s="464"/>
      <c r="O21" s="464"/>
      <c r="P21" s="464"/>
    </row>
    <row r="22" spans="1:16" s="351" customFormat="1" ht="9" customHeight="1">
      <c r="A22" s="730" t="s">
        <v>301</v>
      </c>
      <c r="B22" s="557"/>
      <c r="C22" s="559">
        <v>9.8530200000000008</v>
      </c>
      <c r="D22" s="559">
        <v>182.12267</v>
      </c>
      <c r="E22" s="559">
        <v>142.58607000000001</v>
      </c>
      <c r="F22" s="731">
        <f t="shared" si="0"/>
        <v>-0.94589899214633744</v>
      </c>
      <c r="G22" s="464"/>
      <c r="H22" s="823"/>
      <c r="I22" s="823"/>
      <c r="J22" s="464"/>
      <c r="K22" s="464"/>
      <c r="L22" s="469"/>
    </row>
    <row r="23" spans="1:16" s="351" customFormat="1" ht="9" customHeight="1">
      <c r="A23" s="728" t="s">
        <v>580</v>
      </c>
      <c r="B23" s="680" t="s">
        <v>86</v>
      </c>
      <c r="C23" s="682"/>
      <c r="D23" s="682"/>
      <c r="E23" s="682">
        <v>0</v>
      </c>
      <c r="F23" s="729" t="str">
        <f t="shared" si="0"/>
        <v/>
      </c>
      <c r="G23" s="464"/>
      <c r="H23" s="823"/>
      <c r="I23" s="823"/>
      <c r="J23" s="464"/>
      <c r="K23" s="464"/>
      <c r="L23" s="469"/>
    </row>
    <row r="24" spans="1:16" s="351" customFormat="1" ht="9" customHeight="1">
      <c r="A24" s="730" t="s">
        <v>581</v>
      </c>
      <c r="B24" s="557"/>
      <c r="C24" s="559"/>
      <c r="D24" s="559"/>
      <c r="E24" s="559">
        <v>0</v>
      </c>
      <c r="F24" s="731" t="str">
        <f t="shared" si="0"/>
        <v/>
      </c>
      <c r="G24" s="464"/>
      <c r="H24" s="823"/>
      <c r="I24" s="823"/>
      <c r="J24" s="464"/>
      <c r="K24" s="464"/>
      <c r="L24" s="469"/>
    </row>
    <row r="25" spans="1:16" s="351" customFormat="1" ht="9" customHeight="1">
      <c r="A25" s="728" t="s">
        <v>92</v>
      </c>
      <c r="B25" s="680" t="s">
        <v>302</v>
      </c>
      <c r="C25" s="682">
        <v>1.69496</v>
      </c>
      <c r="D25" s="682">
        <v>1.6976300000000002</v>
      </c>
      <c r="E25" s="682">
        <v>1.6663399999999999</v>
      </c>
      <c r="F25" s="729">
        <f t="shared" si="0"/>
        <v>-1.5727808768696283E-3</v>
      </c>
      <c r="G25" s="464"/>
      <c r="H25" s="823"/>
      <c r="I25" s="823"/>
      <c r="J25" s="464"/>
      <c r="K25" s="464"/>
      <c r="L25" s="469"/>
    </row>
    <row r="26" spans="1:16" s="351" customFormat="1" ht="9" customHeight="1">
      <c r="A26" s="728"/>
      <c r="B26" s="680" t="s">
        <v>303</v>
      </c>
      <c r="C26" s="682">
        <v>0.57045999999999997</v>
      </c>
      <c r="D26" s="682">
        <v>0.57686000000000004</v>
      </c>
      <c r="E26" s="682">
        <v>0.57579999999999998</v>
      </c>
      <c r="F26" s="729">
        <f t="shared" si="0"/>
        <v>-1.1094546337066302E-2</v>
      </c>
      <c r="G26" s="464"/>
      <c r="H26" s="823"/>
      <c r="I26" s="823"/>
      <c r="J26" s="464"/>
      <c r="K26" s="464"/>
      <c r="L26" s="469"/>
    </row>
    <row r="27" spans="1:16" s="351" customFormat="1" ht="9" customHeight="1">
      <c r="A27" s="728"/>
      <c r="B27" s="680" t="s">
        <v>304</v>
      </c>
      <c r="C27" s="682">
        <v>4.6663899999999998</v>
      </c>
      <c r="D27" s="682">
        <v>4.5559399999999997</v>
      </c>
      <c r="E27" s="682">
        <v>4.5405600000000002</v>
      </c>
      <c r="F27" s="729">
        <f t="shared" si="0"/>
        <v>2.4243076072116843E-2</v>
      </c>
      <c r="G27" s="464"/>
      <c r="H27" s="823"/>
      <c r="I27" s="823"/>
      <c r="J27" s="464"/>
      <c r="K27" s="464"/>
      <c r="L27" s="469"/>
    </row>
    <row r="28" spans="1:16" s="351" customFormat="1" ht="9" customHeight="1">
      <c r="A28" s="728"/>
      <c r="B28" s="680" t="s">
        <v>305</v>
      </c>
      <c r="C28" s="682">
        <v>13.677249999999999</v>
      </c>
      <c r="D28" s="682">
        <v>14.319739999999999</v>
      </c>
      <c r="E28" s="682">
        <v>14.243010000000002</v>
      </c>
      <c r="F28" s="729">
        <f t="shared" si="0"/>
        <v>-4.4867434743926959E-2</v>
      </c>
      <c r="G28" s="464"/>
      <c r="H28" s="823"/>
      <c r="I28" s="823"/>
      <c r="J28" s="464"/>
      <c r="K28" s="464"/>
      <c r="L28" s="469"/>
    </row>
    <row r="29" spans="1:16" s="351" customFormat="1" ht="9" customHeight="1">
      <c r="A29" s="728"/>
      <c r="B29" s="680" t="s">
        <v>306</v>
      </c>
      <c r="C29" s="682">
        <v>139.86081999999999</v>
      </c>
      <c r="D29" s="682">
        <v>137.85575</v>
      </c>
      <c r="E29" s="682">
        <v>130.48275999999998</v>
      </c>
      <c r="F29" s="729">
        <f t="shared" si="0"/>
        <v>1.4544696176981953E-2</v>
      </c>
      <c r="G29" s="464"/>
      <c r="H29" s="823"/>
      <c r="I29" s="823"/>
      <c r="J29" s="464"/>
      <c r="K29" s="464"/>
      <c r="L29" s="471"/>
    </row>
    <row r="30" spans="1:16" s="351" customFormat="1" ht="9" customHeight="1">
      <c r="A30" s="728"/>
      <c r="B30" s="680" t="s">
        <v>307</v>
      </c>
      <c r="C30" s="682">
        <v>8.5049100000000006</v>
      </c>
      <c r="D30" s="682">
        <v>8.7155699999999996</v>
      </c>
      <c r="E30" s="682">
        <v>8.4524100000000004</v>
      </c>
      <c r="F30" s="729">
        <f t="shared" si="0"/>
        <v>-2.4170536178356516E-2</v>
      </c>
      <c r="G30" s="464"/>
      <c r="H30" s="823"/>
      <c r="I30" s="823"/>
      <c r="J30" s="464"/>
      <c r="K30" s="464"/>
      <c r="L30" s="469"/>
    </row>
    <row r="31" spans="1:16" s="351" customFormat="1" ht="9" customHeight="1">
      <c r="A31" s="728"/>
      <c r="B31" s="680" t="s">
        <v>308</v>
      </c>
      <c r="C31" s="682">
        <v>0</v>
      </c>
      <c r="D31" s="682">
        <v>0</v>
      </c>
      <c r="E31" s="682">
        <v>0</v>
      </c>
      <c r="F31" s="729" t="str">
        <f t="shared" si="0"/>
        <v/>
      </c>
      <c r="G31" s="464"/>
      <c r="H31" s="823"/>
      <c r="I31" s="823"/>
      <c r="J31" s="464"/>
      <c r="K31" s="464"/>
      <c r="L31" s="469"/>
    </row>
    <row r="32" spans="1:16" s="351" customFormat="1" ht="9" customHeight="1">
      <c r="A32" s="728"/>
      <c r="B32" s="680" t="s">
        <v>309</v>
      </c>
      <c r="C32" s="682">
        <v>0</v>
      </c>
      <c r="D32" s="682">
        <v>0</v>
      </c>
      <c r="E32" s="682">
        <v>0</v>
      </c>
      <c r="F32" s="729" t="str">
        <f t="shared" si="0"/>
        <v/>
      </c>
      <c r="G32" s="464"/>
      <c r="H32" s="823"/>
      <c r="I32" s="823"/>
      <c r="J32" s="464"/>
      <c r="K32" s="464"/>
      <c r="L32" s="469"/>
    </row>
    <row r="33" spans="1:12" s="351" customFormat="1" ht="9" customHeight="1">
      <c r="A33" s="728"/>
      <c r="B33" s="680" t="s">
        <v>310</v>
      </c>
      <c r="C33" s="682">
        <v>0</v>
      </c>
      <c r="D33" s="682">
        <v>0</v>
      </c>
      <c r="E33" s="682">
        <v>68.642009999999999</v>
      </c>
      <c r="F33" s="729" t="str">
        <f t="shared" si="0"/>
        <v/>
      </c>
      <c r="G33" s="464"/>
      <c r="H33" s="823"/>
      <c r="I33" s="823"/>
      <c r="J33" s="464"/>
      <c r="K33" s="464"/>
      <c r="L33" s="471"/>
    </row>
    <row r="34" spans="1:12" s="351" customFormat="1" ht="9" customHeight="1">
      <c r="A34" s="730" t="s">
        <v>311</v>
      </c>
      <c r="B34" s="557"/>
      <c r="C34" s="559">
        <v>168.97478999999998</v>
      </c>
      <c r="D34" s="559">
        <v>167.72149000000002</v>
      </c>
      <c r="E34" s="559">
        <v>228.60288999999997</v>
      </c>
      <c r="F34" s="731">
        <f t="shared" si="0"/>
        <v>7.472506951851976E-3</v>
      </c>
      <c r="G34" s="464"/>
      <c r="H34" s="823"/>
      <c r="I34" s="823"/>
      <c r="J34" s="464"/>
      <c r="K34" s="464"/>
      <c r="L34" s="469"/>
    </row>
    <row r="35" spans="1:12" s="351" customFormat="1" ht="9" customHeight="1">
      <c r="A35" s="728" t="s">
        <v>115</v>
      </c>
      <c r="B35" s="680" t="s">
        <v>71</v>
      </c>
      <c r="C35" s="682">
        <v>2.4837899999999999</v>
      </c>
      <c r="D35" s="682">
        <v>4.9903599999999999</v>
      </c>
      <c r="E35" s="682">
        <v>4.1999999999999993</v>
      </c>
      <c r="F35" s="729">
        <f t="shared" si="0"/>
        <v>-0.50228240046810257</v>
      </c>
      <c r="G35" s="464"/>
      <c r="H35" s="823"/>
      <c r="I35" s="823"/>
      <c r="J35" s="464"/>
      <c r="K35" s="464"/>
      <c r="L35" s="469"/>
    </row>
    <row r="36" spans="1:12" s="351" customFormat="1" ht="9" customHeight="1">
      <c r="A36" s="730" t="s">
        <v>312</v>
      </c>
      <c r="B36" s="557"/>
      <c r="C36" s="559">
        <v>2.4837899999999999</v>
      </c>
      <c r="D36" s="559">
        <v>4.9903599999999999</v>
      </c>
      <c r="E36" s="559">
        <v>4.1999999999999993</v>
      </c>
      <c r="F36" s="731">
        <f t="shared" si="0"/>
        <v>-0.50228240046810257</v>
      </c>
      <c r="G36" s="464"/>
      <c r="H36" s="823"/>
      <c r="I36" s="823"/>
      <c r="J36" s="464"/>
      <c r="K36" s="464"/>
      <c r="L36" s="469"/>
    </row>
    <row r="37" spans="1:12" s="351" customFormat="1" ht="9" customHeight="1">
      <c r="A37" s="728" t="s">
        <v>93</v>
      </c>
      <c r="B37" s="680" t="s">
        <v>313</v>
      </c>
      <c r="C37" s="682">
        <v>164.24513999999999</v>
      </c>
      <c r="D37" s="682">
        <v>166.62601000000001</v>
      </c>
      <c r="E37" s="682">
        <v>167.16457</v>
      </c>
      <c r="F37" s="729">
        <f t="shared" si="0"/>
        <v>-1.4288705586840922E-2</v>
      </c>
      <c r="G37" s="464"/>
      <c r="H37" s="823"/>
      <c r="I37" s="823"/>
      <c r="J37" s="464"/>
      <c r="K37" s="464"/>
      <c r="L37" s="469"/>
    </row>
    <row r="38" spans="1:12" s="351" customFormat="1" ht="9" customHeight="1">
      <c r="A38" s="730" t="s">
        <v>314</v>
      </c>
      <c r="B38" s="557"/>
      <c r="C38" s="559">
        <v>164.24513999999999</v>
      </c>
      <c r="D38" s="559">
        <v>166.62601000000001</v>
      </c>
      <c r="E38" s="559">
        <v>167.16457</v>
      </c>
      <c r="F38" s="731">
        <f t="shared" si="0"/>
        <v>-1.4288705586840922E-2</v>
      </c>
      <c r="G38" s="464"/>
      <c r="H38" s="823"/>
      <c r="I38" s="823"/>
      <c r="J38" s="464"/>
      <c r="K38" s="464"/>
      <c r="L38" s="469"/>
    </row>
    <row r="39" spans="1:12" s="351" customFormat="1" ht="9" customHeight="1">
      <c r="A39" s="728" t="s">
        <v>102</v>
      </c>
      <c r="B39" s="680" t="s">
        <v>315</v>
      </c>
      <c r="C39" s="682">
        <v>7.2839999999999998</v>
      </c>
      <c r="D39" s="682">
        <v>15.618</v>
      </c>
      <c r="E39" s="682">
        <v>17.009999999999998</v>
      </c>
      <c r="F39" s="729">
        <f t="shared" si="0"/>
        <v>-0.53361505954667687</v>
      </c>
      <c r="G39" s="464"/>
      <c r="H39" s="823"/>
      <c r="I39" s="823"/>
      <c r="J39" s="464"/>
      <c r="K39" s="464"/>
      <c r="L39" s="469"/>
    </row>
    <row r="40" spans="1:12" s="351" customFormat="1" ht="9" customHeight="1">
      <c r="A40" s="728"/>
      <c r="B40" s="680" t="s">
        <v>316</v>
      </c>
      <c r="C40" s="682">
        <v>4.992</v>
      </c>
      <c r="D40" s="682">
        <v>9.9359999999999999</v>
      </c>
      <c r="E40" s="682">
        <v>10.151999999999999</v>
      </c>
      <c r="F40" s="729">
        <f t="shared" si="0"/>
        <v>-0.49758454106280192</v>
      </c>
      <c r="G40" s="464"/>
      <c r="H40" s="823"/>
      <c r="I40" s="823"/>
      <c r="J40" s="464"/>
      <c r="K40" s="464"/>
      <c r="L40" s="469"/>
    </row>
    <row r="41" spans="1:12" s="351" customFormat="1" ht="9" customHeight="1">
      <c r="A41" s="728"/>
      <c r="B41" s="680" t="s">
        <v>317</v>
      </c>
      <c r="C41" s="682">
        <v>0</v>
      </c>
      <c r="D41" s="682">
        <v>20.652550000000002</v>
      </c>
      <c r="E41" s="682">
        <v>21.402819999999998</v>
      </c>
      <c r="F41" s="729">
        <f t="shared" si="0"/>
        <v>-1</v>
      </c>
      <c r="G41" s="464"/>
      <c r="H41" s="823"/>
      <c r="I41" s="823"/>
      <c r="J41" s="464"/>
      <c r="K41" s="464"/>
      <c r="L41" s="469"/>
    </row>
    <row r="42" spans="1:12" s="351" customFormat="1" ht="9" customHeight="1">
      <c r="A42" s="730" t="s">
        <v>318</v>
      </c>
      <c r="B42" s="557"/>
      <c r="C42" s="559">
        <v>12.276</v>
      </c>
      <c r="D42" s="559">
        <v>46.206550000000007</v>
      </c>
      <c r="E42" s="559">
        <v>48.564819999999997</v>
      </c>
      <c r="F42" s="731">
        <f t="shared" si="0"/>
        <v>-0.7343233805596826</v>
      </c>
      <c r="G42" s="464"/>
      <c r="H42" s="823"/>
      <c r="I42" s="823"/>
      <c r="J42" s="464"/>
      <c r="K42" s="464"/>
      <c r="L42" s="469"/>
    </row>
    <row r="43" spans="1:12" s="351" customFormat="1" ht="9" customHeight="1">
      <c r="A43" s="728" t="s">
        <v>588</v>
      </c>
      <c r="B43" s="680" t="s">
        <v>76</v>
      </c>
      <c r="C43" s="682">
        <v>0.14888000000000001</v>
      </c>
      <c r="D43" s="682">
        <v>0.94188000000000005</v>
      </c>
      <c r="E43" s="682">
        <v>0.74956</v>
      </c>
      <c r="F43" s="729">
        <f t="shared" si="0"/>
        <v>-0.84193315496666243</v>
      </c>
      <c r="G43" s="464"/>
      <c r="H43" s="823"/>
      <c r="I43" s="823"/>
      <c r="J43" s="464"/>
      <c r="K43" s="464"/>
      <c r="L43" s="469"/>
    </row>
    <row r="44" spans="1:12" s="351" customFormat="1" ht="9" customHeight="1">
      <c r="A44" s="730" t="s">
        <v>586</v>
      </c>
      <c r="B44" s="557"/>
      <c r="C44" s="559">
        <v>0.14888000000000001</v>
      </c>
      <c r="D44" s="559">
        <v>0.94188000000000005</v>
      </c>
      <c r="E44" s="559">
        <v>0.74956</v>
      </c>
      <c r="F44" s="731">
        <f t="shared" si="0"/>
        <v>-0.84193315496666243</v>
      </c>
      <c r="G44" s="464"/>
      <c r="H44" s="823"/>
      <c r="I44" s="823"/>
      <c r="J44" s="464"/>
      <c r="K44" s="464"/>
      <c r="L44" s="469"/>
    </row>
    <row r="45" spans="1:12" s="351" customFormat="1" ht="9" customHeight="1">
      <c r="A45" s="728" t="s">
        <v>116</v>
      </c>
      <c r="B45" s="680" t="s">
        <v>74</v>
      </c>
      <c r="C45" s="682">
        <v>3.4600600000000004</v>
      </c>
      <c r="D45" s="682">
        <v>3.60182</v>
      </c>
      <c r="E45" s="682">
        <v>3.5885800000000003</v>
      </c>
      <c r="F45" s="729">
        <f t="shared" si="0"/>
        <v>-3.9357880182796401E-2</v>
      </c>
      <c r="G45" s="464"/>
      <c r="H45" s="823"/>
      <c r="I45" s="823"/>
      <c r="J45" s="464"/>
      <c r="K45" s="464"/>
      <c r="L45" s="469"/>
    </row>
    <row r="46" spans="1:12" s="351" customFormat="1" ht="9" customHeight="1">
      <c r="A46" s="730" t="s">
        <v>319</v>
      </c>
      <c r="B46" s="557"/>
      <c r="C46" s="559">
        <v>3.4600600000000004</v>
      </c>
      <c r="D46" s="559">
        <v>3.60182</v>
      </c>
      <c r="E46" s="559">
        <v>3.5885800000000003</v>
      </c>
      <c r="F46" s="731">
        <f t="shared" si="0"/>
        <v>-3.9357880182796401E-2</v>
      </c>
      <c r="G46" s="464"/>
      <c r="H46" s="823"/>
      <c r="I46" s="823"/>
      <c r="J46" s="464"/>
      <c r="K46" s="464"/>
      <c r="L46" s="472"/>
    </row>
    <row r="47" spans="1:12" s="351" customFormat="1" ht="9" customHeight="1">
      <c r="A47" s="728" t="s">
        <v>493</v>
      </c>
      <c r="B47" s="680" t="s">
        <v>499</v>
      </c>
      <c r="C47" s="682">
        <v>10.88509</v>
      </c>
      <c r="D47" s="682">
        <v>0</v>
      </c>
      <c r="E47" s="682"/>
      <c r="F47" s="729" t="str">
        <f t="shared" si="0"/>
        <v/>
      </c>
      <c r="G47" s="464"/>
      <c r="H47" s="823"/>
      <c r="I47" s="823"/>
      <c r="J47" s="464"/>
      <c r="K47" s="464"/>
      <c r="L47" s="469"/>
    </row>
    <row r="48" spans="1:12" s="351" customFormat="1" ht="9" customHeight="1">
      <c r="A48" s="730" t="s">
        <v>494</v>
      </c>
      <c r="B48" s="557"/>
      <c r="C48" s="559">
        <v>10.88509</v>
      </c>
      <c r="D48" s="559">
        <v>0</v>
      </c>
      <c r="E48" s="559"/>
      <c r="F48" s="731" t="str">
        <f t="shared" si="0"/>
        <v/>
      </c>
      <c r="G48" s="464"/>
      <c r="H48" s="823"/>
      <c r="I48" s="823"/>
      <c r="J48" s="464"/>
      <c r="K48" s="464"/>
      <c r="L48" s="469"/>
    </row>
    <row r="49" spans="1:12" s="351" customFormat="1" ht="9" customHeight="1">
      <c r="A49" s="728" t="s">
        <v>90</v>
      </c>
      <c r="B49" s="680" t="s">
        <v>320</v>
      </c>
      <c r="C49" s="682">
        <v>649.15199999999993</v>
      </c>
      <c r="D49" s="682">
        <v>636.18000000000006</v>
      </c>
      <c r="E49" s="682">
        <v>645.67439999999999</v>
      </c>
      <c r="F49" s="729">
        <f t="shared" si="0"/>
        <v>2.0390455531453133E-2</v>
      </c>
      <c r="G49" s="464"/>
      <c r="H49" s="823"/>
      <c r="I49" s="823"/>
      <c r="J49" s="464"/>
      <c r="K49" s="464"/>
      <c r="L49" s="469"/>
    </row>
    <row r="50" spans="1:12" s="351" customFormat="1" ht="9" customHeight="1">
      <c r="A50" s="728"/>
      <c r="B50" s="680" t="s">
        <v>321</v>
      </c>
      <c r="C50" s="682">
        <v>212.85120000000001</v>
      </c>
      <c r="D50" s="682">
        <v>200.83967999999999</v>
      </c>
      <c r="E50" s="682">
        <v>204.85824000000002</v>
      </c>
      <c r="F50" s="729">
        <f t="shared" si="0"/>
        <v>5.9806508355321197E-2</v>
      </c>
      <c r="G50" s="464"/>
      <c r="H50" s="823"/>
      <c r="I50" s="823"/>
      <c r="J50" s="464"/>
      <c r="K50" s="464"/>
      <c r="L50" s="469"/>
    </row>
    <row r="51" spans="1:12" s="351" customFormat="1" ht="9" customHeight="1">
      <c r="A51" s="728"/>
      <c r="B51" s="680" t="s">
        <v>322</v>
      </c>
      <c r="C51" s="682">
        <v>0</v>
      </c>
      <c r="D51" s="682">
        <v>0</v>
      </c>
      <c r="E51" s="682">
        <v>0</v>
      </c>
      <c r="F51" s="729" t="str">
        <f t="shared" si="0"/>
        <v/>
      </c>
      <c r="G51" s="464"/>
      <c r="H51" s="823"/>
      <c r="I51" s="823"/>
      <c r="J51" s="464"/>
      <c r="K51" s="464"/>
      <c r="L51" s="469"/>
    </row>
    <row r="52" spans="1:12" s="351" customFormat="1" ht="9" customHeight="1">
      <c r="A52" s="730" t="s">
        <v>323</v>
      </c>
      <c r="B52" s="557"/>
      <c r="C52" s="559">
        <v>862.00319999999988</v>
      </c>
      <c r="D52" s="559">
        <v>837.01968000000011</v>
      </c>
      <c r="E52" s="559">
        <v>850.53264000000001</v>
      </c>
      <c r="F52" s="731">
        <f t="shared" si="0"/>
        <v>2.9848187082052613E-2</v>
      </c>
      <c r="G52" s="464"/>
      <c r="H52" s="823"/>
      <c r="I52" s="823"/>
      <c r="J52" s="464"/>
      <c r="K52" s="464"/>
      <c r="L52" s="469"/>
    </row>
    <row r="53" spans="1:12" s="351" customFormat="1" ht="9" customHeight="1">
      <c r="A53" s="728" t="s">
        <v>248</v>
      </c>
      <c r="B53" s="680" t="s">
        <v>324</v>
      </c>
      <c r="C53" s="682">
        <v>452.97059999999999</v>
      </c>
      <c r="D53" s="682">
        <v>353.85294999999996</v>
      </c>
      <c r="E53" s="682">
        <v>457.36342000000002</v>
      </c>
      <c r="F53" s="729">
        <f t="shared" si="0"/>
        <v>0.280109717892701</v>
      </c>
      <c r="G53" s="464"/>
      <c r="H53" s="823"/>
      <c r="I53" s="823"/>
      <c r="J53" s="464"/>
      <c r="K53" s="464"/>
      <c r="L53" s="469"/>
    </row>
    <row r="54" spans="1:12" s="351" customFormat="1" ht="9" customHeight="1">
      <c r="A54" s="728"/>
      <c r="B54" s="680" t="s">
        <v>325</v>
      </c>
      <c r="C54" s="682">
        <v>0</v>
      </c>
      <c r="D54" s="682">
        <v>6.4436</v>
      </c>
      <c r="E54" s="682">
        <v>6.5503200000000001</v>
      </c>
      <c r="F54" s="729">
        <f t="shared" si="0"/>
        <v>-1</v>
      </c>
      <c r="G54" s="464"/>
      <c r="H54" s="823"/>
      <c r="I54" s="823"/>
      <c r="J54" s="464"/>
      <c r="K54" s="464"/>
      <c r="L54" s="469"/>
    </row>
    <row r="55" spans="1:12" s="351" customFormat="1" ht="9" customHeight="1">
      <c r="A55" s="730" t="s">
        <v>326</v>
      </c>
      <c r="B55" s="557"/>
      <c r="C55" s="559">
        <v>452.97059999999999</v>
      </c>
      <c r="D55" s="559">
        <v>360.29654999999997</v>
      </c>
      <c r="E55" s="559">
        <v>463.91374000000002</v>
      </c>
      <c r="F55" s="731">
        <f t="shared" si="0"/>
        <v>0.25721603495787027</v>
      </c>
      <c r="G55" s="464"/>
      <c r="H55" s="823"/>
      <c r="I55" s="823"/>
      <c r="J55" s="464"/>
      <c r="K55" s="464"/>
    </row>
    <row r="56" spans="1:12" s="351" customFormat="1" ht="9" customHeight="1">
      <c r="A56" s="728" t="s">
        <v>249</v>
      </c>
      <c r="B56" s="680" t="s">
        <v>327</v>
      </c>
      <c r="C56" s="682">
        <v>80.862840000000006</v>
      </c>
      <c r="D56" s="682">
        <v>81.192689999999999</v>
      </c>
      <c r="E56" s="682">
        <v>95.914209999999997</v>
      </c>
      <c r="F56" s="729">
        <f t="shared" si="0"/>
        <v>-4.0625578484958513E-3</v>
      </c>
      <c r="G56" s="464"/>
      <c r="H56" s="823"/>
      <c r="I56" s="823"/>
      <c r="J56" s="464"/>
      <c r="K56" s="464"/>
    </row>
    <row r="57" spans="1:12" s="351" customFormat="1" ht="9" customHeight="1">
      <c r="A57" s="730" t="s">
        <v>328</v>
      </c>
      <c r="B57" s="557"/>
      <c r="C57" s="559">
        <v>80.862840000000006</v>
      </c>
      <c r="D57" s="559">
        <v>81.192689999999999</v>
      </c>
      <c r="E57" s="559">
        <v>95.914209999999997</v>
      </c>
      <c r="F57" s="731">
        <f t="shared" si="0"/>
        <v>-4.0625578484958513E-3</v>
      </c>
      <c r="G57" s="464"/>
      <c r="H57" s="823"/>
      <c r="I57" s="823"/>
      <c r="J57" s="464"/>
      <c r="K57" s="464"/>
    </row>
    <row r="58" spans="1:12" s="351" customFormat="1" ht="9" customHeight="1">
      <c r="A58" s="728" t="s">
        <v>596</v>
      </c>
      <c r="B58" s="680" t="s">
        <v>66</v>
      </c>
      <c r="C58" s="682">
        <v>3.4026000000000001</v>
      </c>
      <c r="D58" s="682">
        <v>4.6718500000000001</v>
      </c>
      <c r="E58" s="682">
        <v>4.8843699999999997</v>
      </c>
      <c r="F58" s="729">
        <f t="shared" si="0"/>
        <v>-0.27168038357395896</v>
      </c>
      <c r="G58" s="464"/>
      <c r="H58" s="823"/>
      <c r="I58" s="823"/>
      <c r="J58" s="464"/>
      <c r="K58" s="464"/>
    </row>
    <row r="59" spans="1:12" s="351" customFormat="1" ht="9" customHeight="1">
      <c r="A59" s="728"/>
      <c r="B59" s="680" t="s">
        <v>65</v>
      </c>
      <c r="C59" s="682">
        <v>3.4987400000000002</v>
      </c>
      <c r="D59" s="682">
        <v>4.8367300000000002</v>
      </c>
      <c r="E59" s="682">
        <v>5.0522499999999999</v>
      </c>
      <c r="F59" s="729">
        <f t="shared" si="0"/>
        <v>-0.27663111234242965</v>
      </c>
      <c r="G59" s="464"/>
      <c r="H59" s="823"/>
      <c r="I59" s="823"/>
      <c r="J59" s="464"/>
      <c r="K59" s="464"/>
    </row>
    <row r="60" spans="1:12" s="351" customFormat="1" ht="9" customHeight="1">
      <c r="A60" s="728"/>
      <c r="B60" s="680" t="s">
        <v>61</v>
      </c>
      <c r="C60" s="682">
        <v>14.218959999999999</v>
      </c>
      <c r="D60" s="682">
        <v>17.113340000000001</v>
      </c>
      <c r="E60" s="682">
        <v>10.8514</v>
      </c>
      <c r="F60" s="729">
        <f t="shared" si="0"/>
        <v>-0.16913004708607449</v>
      </c>
      <c r="G60" s="464"/>
      <c r="H60" s="823"/>
      <c r="I60" s="823"/>
      <c r="J60" s="464"/>
      <c r="K60" s="464"/>
    </row>
    <row r="61" spans="1:12" s="351" customFormat="1" ht="9" customHeight="1">
      <c r="A61" s="728"/>
      <c r="B61" s="680" t="s">
        <v>58</v>
      </c>
      <c r="C61" s="682">
        <v>18.914999999999999</v>
      </c>
      <c r="D61" s="682">
        <v>20.04721</v>
      </c>
      <c r="E61" s="682">
        <v>14.65976</v>
      </c>
      <c r="F61" s="729">
        <f t="shared" si="0"/>
        <v>-5.6477185603383218E-2</v>
      </c>
      <c r="G61" s="464"/>
      <c r="H61" s="823"/>
      <c r="I61" s="823"/>
      <c r="J61" s="464"/>
      <c r="K61" s="464"/>
    </row>
    <row r="62" spans="1:12" s="351" customFormat="1" ht="9" customHeight="1">
      <c r="A62" s="728"/>
      <c r="B62" s="680" t="s">
        <v>69</v>
      </c>
      <c r="C62" s="682">
        <v>5.8388499999999999</v>
      </c>
      <c r="D62" s="682">
        <v>3.4198599999999999</v>
      </c>
      <c r="E62" s="682">
        <v>3.8876200000000001</v>
      </c>
      <c r="F62" s="729">
        <f t="shared" si="0"/>
        <v>0.70733597281760074</v>
      </c>
      <c r="G62" s="464"/>
      <c r="H62" s="823"/>
      <c r="I62" s="823"/>
      <c r="J62" s="464"/>
      <c r="K62" s="464"/>
    </row>
    <row r="63" spans="1:12" s="351" customFormat="1" ht="9" customHeight="1">
      <c r="A63" s="728"/>
      <c r="B63" s="680" t="s">
        <v>68</v>
      </c>
      <c r="C63" s="682">
        <v>6.5557600000000003</v>
      </c>
      <c r="D63" s="682">
        <v>3.8866399999999999</v>
      </c>
      <c r="E63" s="682">
        <v>4.6178299999999997</v>
      </c>
      <c r="F63" s="729">
        <f t="shared" si="0"/>
        <v>0.68674227610481053</v>
      </c>
      <c r="G63" s="464"/>
      <c r="H63" s="823"/>
      <c r="I63" s="823"/>
      <c r="J63" s="464"/>
      <c r="K63" s="464"/>
    </row>
    <row r="64" spans="1:12" s="351" customFormat="1" ht="9" customHeight="1">
      <c r="A64" s="730" t="s">
        <v>597</v>
      </c>
      <c r="B64" s="557"/>
      <c r="C64" s="559">
        <v>52.42991</v>
      </c>
      <c r="D64" s="559">
        <v>53.975630000000002</v>
      </c>
      <c r="E64" s="559">
        <v>43.953229999999998</v>
      </c>
      <c r="F64" s="731">
        <f t="shared" si="0"/>
        <v>-2.8637368382731343E-2</v>
      </c>
      <c r="G64" s="464"/>
      <c r="H64" s="823"/>
      <c r="I64" s="823"/>
      <c r="J64" s="464"/>
      <c r="K64" s="464"/>
    </row>
    <row r="65" spans="1:11" s="351" customFormat="1" ht="9" customHeight="1">
      <c r="A65" s="728" t="s">
        <v>89</v>
      </c>
      <c r="B65" s="680" t="s">
        <v>763</v>
      </c>
      <c r="C65" s="682">
        <v>77.661500000000004</v>
      </c>
      <c r="D65" s="682"/>
      <c r="E65" s="682"/>
      <c r="F65" s="729" t="str">
        <f t="shared" si="0"/>
        <v/>
      </c>
      <c r="G65" s="464"/>
      <c r="H65" s="823"/>
      <c r="I65" s="823"/>
      <c r="J65" s="464"/>
      <c r="K65" s="464"/>
    </row>
    <row r="66" spans="1:11" s="351" customFormat="1" ht="9" customHeight="1">
      <c r="A66" s="728"/>
      <c r="B66" s="680" t="s">
        <v>329</v>
      </c>
      <c r="C66" s="682">
        <v>29.274740000000001</v>
      </c>
      <c r="D66" s="682">
        <v>22.960940000000001</v>
      </c>
      <c r="E66" s="682">
        <v>30.605910000000002</v>
      </c>
      <c r="F66" s="729">
        <f t="shared" si="0"/>
        <v>0.27498003130533855</v>
      </c>
      <c r="G66" s="464"/>
      <c r="H66" s="824"/>
      <c r="I66" s="823"/>
      <c r="J66" s="464"/>
      <c r="K66" s="464"/>
    </row>
    <row r="67" spans="1:11" s="351" customFormat="1" ht="9" customHeight="1">
      <c r="A67" s="728"/>
      <c r="B67" s="680" t="s">
        <v>330</v>
      </c>
      <c r="C67" s="682">
        <v>170.20265000000001</v>
      </c>
      <c r="D67" s="682">
        <v>193.46397000000002</v>
      </c>
      <c r="E67" s="682">
        <v>206.30052999999998</v>
      </c>
      <c r="F67" s="729">
        <f t="shared" si="0"/>
        <v>-0.12023592816791684</v>
      </c>
      <c r="G67" s="464"/>
      <c r="H67" s="824"/>
      <c r="I67" s="823"/>
      <c r="J67" s="464"/>
      <c r="K67" s="464"/>
    </row>
    <row r="68" spans="1:11" s="351" customFormat="1" ht="9" customHeight="1">
      <c r="A68" s="728"/>
      <c r="B68" s="680" t="s">
        <v>331</v>
      </c>
      <c r="C68" s="682">
        <v>117.24812</v>
      </c>
      <c r="D68" s="682">
        <v>99.548149999999993</v>
      </c>
      <c r="E68" s="682">
        <v>112.32961</v>
      </c>
      <c r="F68" s="729">
        <f t="shared" si="0"/>
        <v>0.17780310332236215</v>
      </c>
      <c r="G68" s="473"/>
      <c r="H68" s="824"/>
      <c r="I68" s="823"/>
      <c r="J68" s="464"/>
      <c r="K68" s="464"/>
    </row>
    <row r="69" spans="1:11" s="351" customFormat="1" ht="9" customHeight="1">
      <c r="A69" s="728"/>
      <c r="B69" s="680" t="s">
        <v>332</v>
      </c>
      <c r="C69" s="682">
        <v>65.949629999999999</v>
      </c>
      <c r="D69" s="682">
        <v>47.379129999999996</v>
      </c>
      <c r="E69" s="682">
        <v>44.926519999999996</v>
      </c>
      <c r="F69" s="729">
        <f t="shared" si="0"/>
        <v>0.39195527651098705</v>
      </c>
      <c r="G69" s="473"/>
      <c r="H69" s="824"/>
      <c r="I69" s="823"/>
      <c r="J69" s="464"/>
      <c r="K69" s="464"/>
    </row>
    <row r="70" spans="1:11" s="351" customFormat="1" ht="9" customHeight="1">
      <c r="A70" s="728"/>
      <c r="B70" s="680" t="s">
        <v>333</v>
      </c>
      <c r="C70" s="682">
        <v>0</v>
      </c>
      <c r="D70" s="682">
        <v>0</v>
      </c>
      <c r="E70" s="682">
        <v>0</v>
      </c>
      <c r="F70" s="729" t="str">
        <f t="shared" si="0"/>
        <v/>
      </c>
      <c r="G70" s="473"/>
      <c r="H70" s="824"/>
      <c r="I70" s="823"/>
      <c r="J70" s="464"/>
      <c r="K70" s="464"/>
    </row>
    <row r="71" spans="1:11" s="351" customFormat="1" ht="9" customHeight="1">
      <c r="A71" s="728"/>
      <c r="B71" s="680" t="s">
        <v>334</v>
      </c>
      <c r="C71" s="682">
        <v>0</v>
      </c>
      <c r="D71" s="682">
        <v>0</v>
      </c>
      <c r="E71" s="682">
        <v>176.91575</v>
      </c>
      <c r="F71" s="729" t="str">
        <f t="shared" ref="F71:F81" si="1">+IF(D71=0,"",C71/D71-1)</f>
        <v/>
      </c>
      <c r="G71" s="473"/>
      <c r="H71" s="823"/>
      <c r="I71" s="823"/>
      <c r="J71" s="464"/>
      <c r="K71" s="464"/>
    </row>
    <row r="72" spans="1:11" s="351" customFormat="1" ht="9" customHeight="1">
      <c r="A72" s="728"/>
      <c r="B72" s="680" t="s">
        <v>335</v>
      </c>
      <c r="C72" s="682">
        <v>414.19335999999998</v>
      </c>
      <c r="D72" s="682">
        <v>421.93614000000002</v>
      </c>
      <c r="E72" s="682">
        <v>447.97730999999999</v>
      </c>
      <c r="F72" s="729">
        <f t="shared" si="1"/>
        <v>-1.8350596846243183E-2</v>
      </c>
      <c r="G72" s="473"/>
      <c r="H72" s="823"/>
      <c r="I72" s="823"/>
      <c r="J72" s="464"/>
      <c r="K72" s="464"/>
    </row>
    <row r="73" spans="1:11" s="351" customFormat="1" ht="9" customHeight="1">
      <c r="A73" s="728"/>
      <c r="B73" s="680" t="s">
        <v>484</v>
      </c>
      <c r="C73" s="682">
        <v>0.64266000000000001</v>
      </c>
      <c r="D73" s="682">
        <v>0</v>
      </c>
      <c r="E73" s="682"/>
      <c r="F73" s="729" t="str">
        <f t="shared" si="1"/>
        <v/>
      </c>
      <c r="G73" s="464"/>
      <c r="H73" s="823"/>
      <c r="I73" s="823"/>
      <c r="J73" s="464"/>
      <c r="K73" s="464"/>
    </row>
    <row r="74" spans="1:11" s="351" customFormat="1" ht="9" customHeight="1">
      <c r="A74" s="730" t="s">
        <v>336</v>
      </c>
      <c r="B74" s="557"/>
      <c r="C74" s="559">
        <v>875.17265999999995</v>
      </c>
      <c r="D74" s="559">
        <v>785.28833000000009</v>
      </c>
      <c r="E74" s="559">
        <v>1019.05563</v>
      </c>
      <c r="F74" s="731">
        <f t="shared" si="1"/>
        <v>0.11446029001857161</v>
      </c>
      <c r="G74" s="464"/>
      <c r="H74" s="823"/>
      <c r="I74" s="823"/>
      <c r="J74" s="464"/>
      <c r="K74" s="464"/>
    </row>
    <row r="75" spans="1:11" s="351" customFormat="1" ht="9" customHeight="1">
      <c r="A75" s="728" t="s">
        <v>97</v>
      </c>
      <c r="B75" s="680" t="s">
        <v>337</v>
      </c>
      <c r="C75" s="682">
        <v>0</v>
      </c>
      <c r="D75" s="682">
        <v>0</v>
      </c>
      <c r="E75" s="682">
        <v>0</v>
      </c>
      <c r="F75" s="729" t="str">
        <f t="shared" si="1"/>
        <v/>
      </c>
      <c r="G75" s="464"/>
      <c r="H75" s="823"/>
      <c r="I75" s="823"/>
      <c r="J75" s="464"/>
      <c r="K75" s="464"/>
    </row>
    <row r="76" spans="1:11" s="351" customFormat="1" ht="9" customHeight="1">
      <c r="A76" s="728"/>
      <c r="B76" s="680" t="s">
        <v>338</v>
      </c>
      <c r="C76" s="682">
        <v>88.887209999999996</v>
      </c>
      <c r="D76" s="682">
        <v>88.366280000000003</v>
      </c>
      <c r="E76" s="682">
        <v>90.647369999999995</v>
      </c>
      <c r="F76" s="729">
        <f t="shared" si="1"/>
        <v>5.8951219854450621E-3</v>
      </c>
      <c r="G76" s="474"/>
      <c r="H76" s="823"/>
      <c r="I76" s="823"/>
      <c r="J76" s="464"/>
      <c r="K76" s="464"/>
    </row>
    <row r="77" spans="1:11" s="351" customFormat="1" ht="9" customHeight="1">
      <c r="A77" s="728"/>
      <c r="B77" s="680" t="s">
        <v>339</v>
      </c>
      <c r="C77" s="682">
        <v>0</v>
      </c>
      <c r="D77" s="682">
        <v>0</v>
      </c>
      <c r="E77" s="682">
        <v>0</v>
      </c>
      <c r="F77" s="729" t="str">
        <f t="shared" si="1"/>
        <v/>
      </c>
      <c r="G77" s="474"/>
      <c r="H77" s="279"/>
      <c r="I77" s="823"/>
      <c r="J77" s="464"/>
      <c r="K77" s="464"/>
    </row>
    <row r="78" spans="1:11" s="351" customFormat="1" ht="9" customHeight="1">
      <c r="A78" s="730" t="s">
        <v>340</v>
      </c>
      <c r="B78" s="557"/>
      <c r="C78" s="559">
        <v>88.887209999999996</v>
      </c>
      <c r="D78" s="559">
        <v>88.366280000000003</v>
      </c>
      <c r="E78" s="559">
        <v>90.647369999999995</v>
      </c>
      <c r="F78" s="731">
        <f t="shared" si="1"/>
        <v>5.8951219854450621E-3</v>
      </c>
      <c r="G78" s="474"/>
      <c r="H78" s="279"/>
      <c r="I78" s="823"/>
      <c r="J78" s="464"/>
      <c r="K78" s="464"/>
    </row>
    <row r="79" spans="1:11" s="351" customFormat="1" ht="9" customHeight="1">
      <c r="A79" s="728" t="s">
        <v>99</v>
      </c>
      <c r="B79" s="680" t="s">
        <v>515</v>
      </c>
      <c r="C79" s="682">
        <v>0</v>
      </c>
      <c r="D79" s="682">
        <v>0</v>
      </c>
      <c r="E79" s="682">
        <v>0</v>
      </c>
      <c r="F79" s="729" t="str">
        <f t="shared" si="1"/>
        <v/>
      </c>
      <c r="H79" s="279"/>
      <c r="I79" s="823"/>
      <c r="J79" s="464"/>
      <c r="K79" s="464"/>
    </row>
    <row r="80" spans="1:11" s="351" customFormat="1" ht="9" customHeight="1">
      <c r="A80" s="728"/>
      <c r="B80" s="680" t="s">
        <v>514</v>
      </c>
      <c r="C80" s="682">
        <v>128.48525000000001</v>
      </c>
      <c r="D80" s="682">
        <v>84.311989999999994</v>
      </c>
      <c r="E80" s="682"/>
      <c r="F80" s="729">
        <f t="shared" si="1"/>
        <v>0.52392619365288406</v>
      </c>
      <c r="H80" s="279"/>
      <c r="I80" s="279"/>
      <c r="J80" s="464"/>
      <c r="K80" s="464"/>
    </row>
    <row r="81" spans="1:11" s="351" customFormat="1" ht="9" customHeight="1">
      <c r="A81" s="730" t="s">
        <v>341</v>
      </c>
      <c r="B81" s="557"/>
      <c r="C81" s="559">
        <v>128.48525000000001</v>
      </c>
      <c r="D81" s="559">
        <v>84.311989999999994</v>
      </c>
      <c r="E81" s="559">
        <v>0</v>
      </c>
      <c r="F81" s="731">
        <f t="shared" si="1"/>
        <v>0.52392619365288406</v>
      </c>
      <c r="H81" s="279"/>
      <c r="I81" s="279"/>
      <c r="J81" s="464"/>
      <c r="K81" s="464"/>
    </row>
    <row r="82" spans="1:11" s="351" customFormat="1" ht="10.5" customHeight="1"/>
    <row r="83" spans="1:11" s="351" customFormat="1" ht="10.5" customHeight="1"/>
    <row r="84" spans="1:11" s="351" customFormat="1" ht="10.5" customHeight="1"/>
    <row r="85" spans="1:11" s="351" customFormat="1" ht="10.5" customHeight="1"/>
    <row r="86" spans="1:11" s="351" customFormat="1" ht="10.5" customHeight="1"/>
    <row r="87" spans="1:11" s="351" customFormat="1" ht="10.5" customHeight="1"/>
    <row r="88" spans="1:11" s="351" customFormat="1" ht="10.5" customHeight="1"/>
    <row r="89" spans="1:11" s="351" customFormat="1" ht="10.5" customHeight="1"/>
    <row r="90" spans="1:11" s="351" customFormat="1" ht="10.5" customHeight="1"/>
    <row r="91" spans="1:11" s="351" customFormat="1" ht="10.5" customHeight="1"/>
    <row r="92" spans="1:11" s="351" customFormat="1" ht="10.5" customHeight="1"/>
    <row r="93" spans="1:11" s="351" customFormat="1" ht="10.5" customHeight="1"/>
    <row r="94" spans="1:11" s="351" customFormat="1" ht="10.5" customHeight="1"/>
    <row r="95" spans="1:11" s="351" customFormat="1" ht="10.5" customHeight="1"/>
    <row r="96" spans="1:11" s="351" customFormat="1" ht="10.5" customHeight="1"/>
    <row r="97" s="351" customFormat="1" ht="10.5" customHeight="1"/>
    <row r="98" s="351" customFormat="1" ht="10.5" customHeight="1"/>
    <row r="99" s="351" customFormat="1" ht="10.5" customHeight="1"/>
    <row r="100" s="351" customFormat="1" ht="10.5" customHeight="1"/>
    <row r="101" s="351" customFormat="1" ht="10.5" customHeight="1"/>
    <row r="102" s="351" customFormat="1" ht="10.5" customHeight="1"/>
    <row r="103" s="351" customFormat="1" ht="10.5" customHeight="1"/>
    <row r="104" s="351" customFormat="1" ht="10.5" customHeight="1"/>
    <row r="105" s="351" customFormat="1" ht="10.5" customHeight="1"/>
    <row r="106" s="351" customFormat="1" ht="10.5" customHeight="1"/>
    <row r="107" s="351" customFormat="1" ht="10.5" customHeight="1"/>
    <row r="108" s="351" customFormat="1" ht="10.5" customHeight="1"/>
    <row r="109" s="351" customFormat="1" ht="10.5" customHeight="1"/>
    <row r="110" s="351" customFormat="1" ht="10.5" customHeight="1"/>
    <row r="111" s="351" customFormat="1" ht="10.5" customHeight="1"/>
    <row r="112" s="351" customFormat="1" ht="10.5" customHeight="1"/>
    <row r="113" s="351" customFormat="1" ht="10.5" customHeight="1"/>
    <row r="114" s="351" customFormat="1" ht="10.5" customHeight="1"/>
    <row r="115" s="351" customFormat="1" ht="10.5" customHeight="1"/>
    <row r="116" s="351" customFormat="1" ht="10.5" customHeight="1"/>
    <row r="117" s="351" customFormat="1" ht="10.5" customHeight="1"/>
    <row r="118" s="351" customFormat="1" ht="10.5" customHeight="1"/>
    <row r="119" s="351" customFormat="1" ht="10.5" customHeight="1"/>
    <row r="120" s="351" customFormat="1" ht="10.5" customHeight="1"/>
    <row r="121" s="351" customFormat="1" ht="10.5" customHeight="1"/>
    <row r="122" s="351" customFormat="1" ht="10.5" customHeight="1"/>
    <row r="123" s="351" customFormat="1" ht="10.5" customHeight="1"/>
    <row r="124" s="351" customFormat="1" ht="10.5" customHeight="1"/>
    <row r="125" s="351" customFormat="1" ht="10.5" customHeight="1"/>
    <row r="126" s="351" customFormat="1" ht="10.5" customHeight="1"/>
    <row r="127" s="351" customFormat="1" ht="10.5" customHeight="1"/>
    <row r="128" s="351" customFormat="1" ht="10.5" customHeight="1"/>
    <row r="129" s="351" customFormat="1" ht="10.5" customHeight="1"/>
    <row r="130" s="351" customFormat="1" ht="10.5" customHeight="1"/>
    <row r="131" s="351" customFormat="1" ht="10.5" customHeight="1"/>
    <row r="132" s="351" customFormat="1" ht="10.5" customHeight="1"/>
    <row r="133" s="351" customFormat="1" ht="10.5" customHeight="1"/>
    <row r="134" s="351" customFormat="1" ht="10.5" customHeight="1"/>
    <row r="135" s="351" customFormat="1" ht="10.5" customHeight="1"/>
    <row r="136" s="351" customFormat="1" ht="10.5" customHeight="1"/>
    <row r="137" s="351" customFormat="1" ht="10.5" customHeight="1"/>
    <row r="138" s="351" customFormat="1" ht="10.5" customHeight="1"/>
    <row r="139" s="351" customFormat="1" ht="10.5" customHeight="1"/>
    <row r="140" s="351" customFormat="1" ht="10.5" customHeight="1"/>
    <row r="141" s="351" customFormat="1" ht="10.5" customHeight="1"/>
    <row r="142" s="351" customFormat="1" ht="10.5" customHeight="1"/>
    <row r="143" s="351" customFormat="1" ht="10.5" customHeight="1"/>
    <row r="144" s="351" customFormat="1" ht="10.5" customHeight="1"/>
    <row r="145" s="351" customFormat="1" ht="10.5" customHeight="1"/>
    <row r="146" s="351" customFormat="1" ht="10.5" customHeight="1"/>
    <row r="147" s="351" customFormat="1" ht="10.5" customHeight="1"/>
    <row r="148" s="351" customFormat="1" ht="10.5" customHeight="1"/>
    <row r="149" s="351" customFormat="1" ht="10.5" customHeight="1"/>
    <row r="150" s="351" customFormat="1" ht="10.5" customHeight="1"/>
    <row r="151" s="351" customFormat="1" ht="10.5" customHeight="1"/>
    <row r="152" s="351" customFormat="1" ht="10.5" customHeight="1"/>
    <row r="153" s="351" customFormat="1" ht="10.5" customHeight="1"/>
    <row r="154" s="351" customFormat="1" ht="10.5" customHeight="1"/>
    <row r="155" s="351" customFormat="1" ht="10.5" customHeight="1"/>
    <row r="156" s="351" customFormat="1" ht="10.5" customHeight="1"/>
    <row r="157" s="351" customFormat="1" ht="10.5" customHeight="1"/>
    <row r="158" s="351" customFormat="1" ht="10.5" customHeight="1"/>
    <row r="159" s="351" customFormat="1" ht="10.5" customHeight="1"/>
    <row r="160" s="351" customFormat="1" ht="10.5" customHeight="1"/>
    <row r="161" s="351" customFormat="1" ht="10.5" customHeight="1"/>
    <row r="162" s="351" customFormat="1" ht="10.5" customHeight="1"/>
    <row r="163" s="351" customFormat="1" ht="10.5" customHeight="1"/>
    <row r="164" s="351" customFormat="1" ht="10.5" customHeight="1"/>
    <row r="165" s="351" customFormat="1" ht="10.5" customHeight="1"/>
    <row r="166" s="351" customFormat="1" ht="10.5" customHeight="1"/>
    <row r="167" s="351" customFormat="1" ht="10.5" customHeight="1"/>
    <row r="168" s="351" customFormat="1" ht="10.5" customHeight="1"/>
    <row r="169" s="351" customFormat="1" ht="10.5" customHeight="1"/>
    <row r="170" s="351" customFormat="1" ht="10.5" customHeight="1"/>
    <row r="171" s="351" customFormat="1" ht="8.25"/>
    <row r="172" s="351" customFormat="1" ht="8.25"/>
    <row r="173" s="351" customFormat="1" ht="8.25"/>
    <row r="174" s="351" customFormat="1" ht="8.25"/>
    <row r="175" s="351" customFormat="1" ht="8.25"/>
    <row r="176" s="351" customFormat="1" ht="8.25"/>
    <row r="177" s="351" customFormat="1" ht="8.25"/>
    <row r="178" s="351" customFormat="1" ht="8.25"/>
    <row r="179" s="351" customFormat="1" ht="8.25"/>
    <row r="180" s="351" customFormat="1" ht="8.25"/>
    <row r="181" s="351" customFormat="1" ht="8.25"/>
    <row r="182" s="351" customFormat="1" ht="8.25"/>
    <row r="183" s="351" customFormat="1" ht="8.25"/>
    <row r="184" s="351" customFormat="1" ht="8.25"/>
    <row r="185" s="351" customFormat="1" ht="8.25"/>
    <row r="186" s="351" customFormat="1" ht="8.25"/>
    <row r="187" s="351" customFormat="1" ht="8.25"/>
    <row r="188" s="351" customFormat="1" ht="8.25"/>
    <row r="189" s="351" customFormat="1" ht="8.25"/>
    <row r="190" s="351" customFormat="1" ht="8.25"/>
    <row r="191" s="351" customFormat="1" ht="8.25"/>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
Diciembre 2019
INFSGI-MES-12-2019
15/01/2020
Versión: 01</oddHeader>
    <oddFooter>&amp;L&amp;7COES, 2019&amp;C21&amp;R&amp;7Dirección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008FC8"/>
  </sheetPr>
  <dimension ref="A1:K114"/>
  <sheetViews>
    <sheetView showGridLines="0" view="pageBreakPreview" zoomScale="120" zoomScaleNormal="100" zoomScaleSheetLayoutView="120" zoomScalePageLayoutView="160" workbookViewId="0"/>
  </sheetViews>
  <sheetFormatPr defaultColWidth="9.33203125" defaultRowHeight="9"/>
  <cols>
    <col min="1" max="1" width="28.6640625" style="279" customWidth="1"/>
    <col min="2" max="2" width="22.1640625" style="279" customWidth="1"/>
    <col min="3" max="4" width="17.6640625" style="279" customWidth="1"/>
    <col min="5" max="5" width="15.1640625" style="279" customWidth="1"/>
    <col min="6" max="6" width="13.33203125" style="279" customWidth="1"/>
    <col min="7" max="7" width="6.33203125" style="279" customWidth="1"/>
    <col min="8" max="16384" width="9.33203125" style="279"/>
  </cols>
  <sheetData>
    <row r="1" spans="1:11" s="351" customFormat="1" ht="11.25" customHeight="1">
      <c r="A1" s="965" t="s">
        <v>261</v>
      </c>
      <c r="B1" s="967" t="s">
        <v>55</v>
      </c>
      <c r="C1" s="967" t="s">
        <v>411</v>
      </c>
      <c r="D1" s="967"/>
      <c r="E1" s="967"/>
      <c r="F1" s="969"/>
      <c r="G1" s="462"/>
    </row>
    <row r="2" spans="1:11" s="351" customFormat="1" ht="11.25" customHeight="1">
      <c r="A2" s="959"/>
      <c r="B2" s="962"/>
      <c r="C2" s="541" t="s">
        <v>759</v>
      </c>
      <c r="D2" s="542" t="s">
        <v>760</v>
      </c>
      <c r="E2" s="543" t="s">
        <v>761</v>
      </c>
      <c r="F2" s="698" t="s">
        <v>526</v>
      </c>
      <c r="G2" s="463"/>
      <c r="H2" s="462"/>
    </row>
    <row r="3" spans="1:11" s="351" customFormat="1" ht="11.25" customHeight="1">
      <c r="A3" s="959"/>
      <c r="B3" s="962"/>
      <c r="C3" s="544">
        <f>'21. ANEXOII-1'!C4</f>
        <v>43801.8125</v>
      </c>
      <c r="D3" s="544">
        <f>'21. ANEXOII-1'!D4</f>
        <v>43451.822916666664</v>
      </c>
      <c r="E3" s="544">
        <f>'21. ANEXOII-1'!E4</f>
        <v>43087.822916666664</v>
      </c>
      <c r="F3" s="699" t="s">
        <v>408</v>
      </c>
      <c r="G3" s="464"/>
      <c r="H3" s="462"/>
    </row>
    <row r="4" spans="1:11" s="351" customFormat="1" ht="9" customHeight="1">
      <c r="A4" s="966"/>
      <c r="B4" s="968"/>
      <c r="C4" s="545">
        <f>+'8. Max Potencia'!D9</f>
        <v>43801.8125</v>
      </c>
      <c r="D4" s="545">
        <f>+'8. Max Potencia'!E9</f>
        <v>43451.822916666664</v>
      </c>
      <c r="E4" s="545">
        <f>+'21. ANEXOII-1'!E5</f>
        <v>43087.822916666664</v>
      </c>
      <c r="F4" s="700" t="s">
        <v>409</v>
      </c>
      <c r="G4" s="464"/>
      <c r="H4" s="466"/>
    </row>
    <row r="5" spans="1:11" s="351" customFormat="1" ht="9" customHeight="1">
      <c r="A5" s="728" t="s">
        <v>98</v>
      </c>
      <c r="B5" s="680" t="s">
        <v>78</v>
      </c>
      <c r="C5" s="682">
        <v>60.716000000000001</v>
      </c>
      <c r="D5" s="682">
        <v>53.3857</v>
      </c>
      <c r="E5" s="682">
        <v>62.647910000000003</v>
      </c>
      <c r="F5" s="729">
        <f t="shared" ref="F5:F71" si="0">+IF(D5=0,"",C5/D5-1)</f>
        <v>0.13730830540762784</v>
      </c>
      <c r="J5" s="576"/>
      <c r="K5" s="576"/>
    </row>
    <row r="6" spans="1:11" s="351" customFormat="1" ht="9" customHeight="1">
      <c r="A6" s="728"/>
      <c r="B6" s="680" t="s">
        <v>80</v>
      </c>
      <c r="C6" s="682">
        <v>4.8103699999999998</v>
      </c>
      <c r="D6" s="682">
        <v>3.42049</v>
      </c>
      <c r="E6" s="682">
        <v>23.366589999999999</v>
      </c>
      <c r="F6" s="729">
        <f t="shared" si="0"/>
        <v>0.40633944259448196</v>
      </c>
      <c r="J6" s="576"/>
      <c r="K6" s="576"/>
    </row>
    <row r="7" spans="1:11" s="351" customFormat="1" ht="9" customHeight="1">
      <c r="A7" s="730" t="s">
        <v>342</v>
      </c>
      <c r="B7" s="557"/>
      <c r="C7" s="559">
        <v>65.52637</v>
      </c>
      <c r="D7" s="559">
        <v>56.806190000000001</v>
      </c>
      <c r="E7" s="559">
        <v>86.014499999999998</v>
      </c>
      <c r="F7" s="731">
        <f t="shared" si="0"/>
        <v>0.15350756669299592</v>
      </c>
      <c r="J7" s="576"/>
      <c r="K7" s="576"/>
    </row>
    <row r="8" spans="1:11" s="351" customFormat="1" ht="9" customHeight="1">
      <c r="A8" s="728" t="s">
        <v>88</v>
      </c>
      <c r="B8" s="680" t="s">
        <v>343</v>
      </c>
      <c r="C8" s="682">
        <v>113.23772</v>
      </c>
      <c r="D8" s="682">
        <v>89.527320000000003</v>
      </c>
      <c r="E8" s="682">
        <v>56.129220000000004</v>
      </c>
      <c r="F8" s="729">
        <f t="shared" si="0"/>
        <v>0.26483982766377889</v>
      </c>
      <c r="K8" s="576"/>
    </row>
    <row r="9" spans="1:11" s="351" customFormat="1" ht="9" customHeight="1">
      <c r="A9" s="728"/>
      <c r="B9" s="680" t="s">
        <v>344</v>
      </c>
      <c r="C9" s="682">
        <v>103.61945</v>
      </c>
      <c r="D9" s="682">
        <v>129.71377000000001</v>
      </c>
      <c r="E9" s="682">
        <v>129.70477</v>
      </c>
      <c r="F9" s="729">
        <f t="shared" si="0"/>
        <v>-0.20116846499797214</v>
      </c>
      <c r="K9" s="576"/>
    </row>
    <row r="10" spans="1:11" s="351" customFormat="1" ht="9" customHeight="1">
      <c r="A10" s="728"/>
      <c r="B10" s="680" t="s">
        <v>345</v>
      </c>
      <c r="C10" s="682">
        <v>744.94549000000006</v>
      </c>
      <c r="D10" s="682">
        <v>734.36417000000006</v>
      </c>
      <c r="E10" s="682">
        <v>507.18386999999996</v>
      </c>
      <c r="F10" s="729">
        <f t="shared" si="0"/>
        <v>1.4408818447664729E-2</v>
      </c>
      <c r="K10" s="576"/>
    </row>
    <row r="11" spans="1:11" s="351" customFormat="1" ht="9" customHeight="1">
      <c r="A11" s="728"/>
      <c r="B11" s="680" t="s">
        <v>346</v>
      </c>
      <c r="C11" s="682">
        <v>0</v>
      </c>
      <c r="D11" s="682">
        <v>63.899379999999994</v>
      </c>
      <c r="E11" s="682">
        <v>105.46995</v>
      </c>
      <c r="F11" s="729">
        <f t="shared" si="0"/>
        <v>-1</v>
      </c>
      <c r="J11" s="576"/>
      <c r="K11" s="576"/>
    </row>
    <row r="12" spans="1:11" s="351" customFormat="1" ht="9" customHeight="1">
      <c r="A12" s="728"/>
      <c r="B12" s="680" t="s">
        <v>567</v>
      </c>
      <c r="C12" s="682"/>
      <c r="D12" s="682"/>
      <c r="E12" s="682">
        <v>0</v>
      </c>
      <c r="F12" s="729" t="str">
        <f t="shared" si="0"/>
        <v/>
      </c>
      <c r="J12" s="576"/>
      <c r="K12" s="576"/>
    </row>
    <row r="13" spans="1:11" s="351" customFormat="1" ht="9" customHeight="1">
      <c r="A13" s="728"/>
      <c r="B13" s="680" t="s">
        <v>347</v>
      </c>
      <c r="C13" s="682">
        <v>0</v>
      </c>
      <c r="D13" s="682">
        <v>0</v>
      </c>
      <c r="E13" s="682">
        <v>0</v>
      </c>
      <c r="F13" s="729" t="str">
        <f t="shared" si="0"/>
        <v/>
      </c>
      <c r="J13" s="576"/>
      <c r="K13" s="576"/>
    </row>
    <row r="14" spans="1:11" s="351" customFormat="1" ht="9" customHeight="1">
      <c r="A14" s="728"/>
      <c r="B14" s="680" t="s">
        <v>348</v>
      </c>
      <c r="C14" s="682">
        <v>0</v>
      </c>
      <c r="D14" s="682">
        <v>0</v>
      </c>
      <c r="E14" s="682">
        <v>0</v>
      </c>
      <c r="F14" s="729" t="str">
        <f t="shared" si="0"/>
        <v/>
      </c>
      <c r="J14" s="576"/>
      <c r="K14" s="576"/>
    </row>
    <row r="15" spans="1:11" s="351" customFormat="1" ht="9" customHeight="1">
      <c r="A15" s="728"/>
      <c r="B15" s="680" t="s">
        <v>349</v>
      </c>
      <c r="C15" s="682">
        <v>0</v>
      </c>
      <c r="D15" s="682">
        <v>0</v>
      </c>
      <c r="E15" s="682">
        <v>0</v>
      </c>
      <c r="F15" s="729" t="str">
        <f t="shared" si="0"/>
        <v/>
      </c>
      <c r="J15" s="576"/>
      <c r="K15" s="576"/>
    </row>
    <row r="16" spans="1:11" s="351" customFormat="1" ht="9" customHeight="1">
      <c r="A16" s="728"/>
      <c r="B16" s="680" t="s">
        <v>516</v>
      </c>
      <c r="C16" s="682">
        <v>0</v>
      </c>
      <c r="D16" s="682">
        <v>0</v>
      </c>
      <c r="E16" s="682">
        <v>0</v>
      </c>
      <c r="F16" s="729" t="str">
        <f t="shared" si="0"/>
        <v/>
      </c>
      <c r="J16" s="576"/>
      <c r="K16" s="576"/>
    </row>
    <row r="17" spans="1:11" s="351" customFormat="1" ht="9" customHeight="1">
      <c r="A17" s="730" t="s">
        <v>350</v>
      </c>
      <c r="B17" s="557"/>
      <c r="C17" s="559">
        <v>961.80266000000006</v>
      </c>
      <c r="D17" s="559">
        <v>1017.50464</v>
      </c>
      <c r="E17" s="559">
        <v>798.48780999999997</v>
      </c>
      <c r="F17" s="731">
        <f t="shared" si="0"/>
        <v>-5.474371104587783E-2</v>
      </c>
      <c r="J17" s="576"/>
      <c r="K17" s="576"/>
    </row>
    <row r="18" spans="1:11" s="351" customFormat="1" ht="9" customHeight="1">
      <c r="A18" s="728" t="s">
        <v>250</v>
      </c>
      <c r="B18" s="680" t="s">
        <v>351</v>
      </c>
      <c r="C18" s="682">
        <v>270.53350999999998</v>
      </c>
      <c r="D18" s="682">
        <v>541.04791</v>
      </c>
      <c r="E18" s="682">
        <v>548.05982000000006</v>
      </c>
      <c r="F18" s="729">
        <f t="shared" si="0"/>
        <v>-0.49998233982643059</v>
      </c>
      <c r="J18" s="576"/>
      <c r="K18" s="576"/>
    </row>
    <row r="19" spans="1:11" s="351" customFormat="1" ht="9" customHeight="1">
      <c r="A19" s="730" t="s">
        <v>352</v>
      </c>
      <c r="B19" s="557"/>
      <c r="C19" s="559">
        <v>270.53350999999998</v>
      </c>
      <c r="D19" s="559">
        <v>541.04791</v>
      </c>
      <c r="E19" s="559">
        <v>548.05982000000006</v>
      </c>
      <c r="F19" s="731">
        <f t="shared" si="0"/>
        <v>-0.49998233982643059</v>
      </c>
      <c r="J19" s="576"/>
      <c r="K19" s="576"/>
    </row>
    <row r="20" spans="1:11" s="351" customFormat="1" ht="9" customHeight="1">
      <c r="A20" s="728" t="s">
        <v>637</v>
      </c>
      <c r="B20" s="680" t="s">
        <v>691</v>
      </c>
      <c r="C20" s="682">
        <v>0</v>
      </c>
      <c r="D20" s="682"/>
      <c r="E20" s="682"/>
      <c r="F20" s="729"/>
      <c r="J20" s="576"/>
      <c r="K20" s="576"/>
    </row>
    <row r="21" spans="1:11" s="351" customFormat="1" ht="9" customHeight="1">
      <c r="A21" s="728"/>
      <c r="B21" s="680" t="s">
        <v>638</v>
      </c>
      <c r="C21" s="682">
        <v>8.335840000000001</v>
      </c>
      <c r="D21" s="682"/>
      <c r="E21" s="682"/>
      <c r="F21" s="729"/>
      <c r="J21" s="576"/>
      <c r="K21" s="576"/>
    </row>
    <row r="22" spans="1:11" s="351" customFormat="1" ht="9" customHeight="1">
      <c r="A22" s="730" t="s">
        <v>639</v>
      </c>
      <c r="B22" s="557"/>
      <c r="C22" s="559">
        <v>8.335840000000001</v>
      </c>
      <c r="D22" s="559"/>
      <c r="E22" s="559"/>
      <c r="F22" s="731"/>
      <c r="J22" s="576"/>
      <c r="K22" s="576"/>
    </row>
    <row r="23" spans="1:11" s="351" customFormat="1" ht="9" customHeight="1">
      <c r="A23" s="728" t="s">
        <v>109</v>
      </c>
      <c r="B23" s="680" t="s">
        <v>67</v>
      </c>
      <c r="C23" s="682">
        <v>7.1407500000000006</v>
      </c>
      <c r="D23" s="682">
        <v>4.4050000000000002</v>
      </c>
      <c r="E23" s="682">
        <v>6.56175</v>
      </c>
      <c r="F23" s="729">
        <f t="shared" si="0"/>
        <v>0.62105561861521008</v>
      </c>
      <c r="J23" s="576"/>
      <c r="K23" s="576"/>
    </row>
    <row r="24" spans="1:11" s="351" customFormat="1" ht="9" customHeight="1">
      <c r="A24" s="728"/>
      <c r="B24" s="680" t="s">
        <v>483</v>
      </c>
      <c r="C24" s="682">
        <v>20.122720000000001</v>
      </c>
      <c r="D24" s="682">
        <v>7.4499599999999999</v>
      </c>
      <c r="E24" s="682"/>
      <c r="F24" s="729">
        <f t="shared" si="0"/>
        <v>1.7010507438966118</v>
      </c>
      <c r="J24" s="576"/>
      <c r="K24" s="576"/>
    </row>
    <row r="25" spans="1:11" s="351" customFormat="1" ht="9" customHeight="1">
      <c r="A25" s="728"/>
      <c r="B25" s="680" t="s">
        <v>481</v>
      </c>
      <c r="C25" s="682">
        <v>20.121279999999999</v>
      </c>
      <c r="D25" s="682">
        <v>12.12335</v>
      </c>
      <c r="E25" s="682"/>
      <c r="F25" s="729">
        <f t="shared" si="0"/>
        <v>0.65971286814288121</v>
      </c>
      <c r="J25" s="576"/>
      <c r="K25" s="576"/>
    </row>
    <row r="26" spans="1:11" s="351" customFormat="1" ht="9" customHeight="1">
      <c r="A26" s="728"/>
      <c r="B26" s="680" t="s">
        <v>482</v>
      </c>
      <c r="C26" s="682">
        <v>20.079270000000001</v>
      </c>
      <c r="D26" s="682">
        <v>10.800599999999999</v>
      </c>
      <c r="E26" s="682"/>
      <c r="F26" s="729">
        <f t="shared" si="0"/>
        <v>0.85908838397866805</v>
      </c>
      <c r="J26" s="576"/>
      <c r="K26" s="576"/>
    </row>
    <row r="27" spans="1:11" s="351" customFormat="1" ht="9" customHeight="1">
      <c r="A27" s="730" t="s">
        <v>353</v>
      </c>
      <c r="B27" s="557"/>
      <c r="C27" s="559">
        <v>67.464020000000005</v>
      </c>
      <c r="D27" s="559">
        <v>34.778909999999996</v>
      </c>
      <c r="E27" s="559">
        <v>6.56175</v>
      </c>
      <c r="F27" s="731">
        <f t="shared" si="0"/>
        <v>0.93979684814734021</v>
      </c>
      <c r="J27" s="576"/>
      <c r="K27" s="576"/>
    </row>
    <row r="28" spans="1:11" s="351" customFormat="1" ht="9" customHeight="1">
      <c r="A28" s="728" t="s">
        <v>112</v>
      </c>
      <c r="B28" s="680" t="s">
        <v>244</v>
      </c>
      <c r="C28" s="682">
        <v>0</v>
      </c>
      <c r="D28" s="682">
        <v>0</v>
      </c>
      <c r="E28" s="682">
        <v>0</v>
      </c>
      <c r="F28" s="729" t="str">
        <f t="shared" si="0"/>
        <v/>
      </c>
      <c r="J28" s="576"/>
      <c r="K28" s="576"/>
    </row>
    <row r="29" spans="1:11" s="351" customFormat="1" ht="9" customHeight="1">
      <c r="A29" s="730" t="s">
        <v>354</v>
      </c>
      <c r="B29" s="557"/>
      <c r="C29" s="559">
        <v>0</v>
      </c>
      <c r="D29" s="559">
        <v>0</v>
      </c>
      <c r="E29" s="559">
        <v>0</v>
      </c>
      <c r="F29" s="731" t="str">
        <f t="shared" si="0"/>
        <v/>
      </c>
      <c r="J29" s="576"/>
      <c r="K29" s="576"/>
    </row>
    <row r="30" spans="1:11" s="351" customFormat="1" ht="9" customHeight="1">
      <c r="A30" s="728" t="s">
        <v>113</v>
      </c>
      <c r="B30" s="680" t="s">
        <v>83</v>
      </c>
      <c r="C30" s="682">
        <v>0</v>
      </c>
      <c r="D30" s="682">
        <v>0</v>
      </c>
      <c r="E30" s="682">
        <v>0</v>
      </c>
      <c r="F30" s="729" t="str">
        <f t="shared" si="0"/>
        <v/>
      </c>
      <c r="J30" s="576"/>
      <c r="K30" s="576"/>
    </row>
    <row r="31" spans="1:11" s="351" customFormat="1" ht="9" customHeight="1">
      <c r="A31" s="730" t="s">
        <v>355</v>
      </c>
      <c r="B31" s="557"/>
      <c r="C31" s="559">
        <v>0</v>
      </c>
      <c r="D31" s="559">
        <v>0</v>
      </c>
      <c r="E31" s="559">
        <v>0</v>
      </c>
      <c r="F31" s="731" t="str">
        <f t="shared" si="0"/>
        <v/>
      </c>
      <c r="J31" s="576"/>
      <c r="K31" s="576"/>
    </row>
    <row r="32" spans="1:11" s="351" customFormat="1" ht="9" customHeight="1">
      <c r="A32" s="728" t="s">
        <v>117</v>
      </c>
      <c r="B32" s="680" t="s">
        <v>75</v>
      </c>
      <c r="C32" s="682">
        <v>3.6</v>
      </c>
      <c r="D32" s="682">
        <v>2.4</v>
      </c>
      <c r="E32" s="682">
        <v>3.6</v>
      </c>
      <c r="F32" s="729">
        <f t="shared" si="0"/>
        <v>0.5</v>
      </c>
      <c r="J32" s="576"/>
      <c r="K32" s="576"/>
    </row>
    <row r="33" spans="1:11" s="351" customFormat="1" ht="9" customHeight="1">
      <c r="A33" s="730" t="s">
        <v>356</v>
      </c>
      <c r="B33" s="557"/>
      <c r="C33" s="559">
        <v>3.6</v>
      </c>
      <c r="D33" s="559">
        <v>2.4</v>
      </c>
      <c r="E33" s="559">
        <v>3.6</v>
      </c>
      <c r="F33" s="731">
        <f t="shared" si="0"/>
        <v>0.5</v>
      </c>
      <c r="J33" s="576"/>
      <c r="K33" s="576"/>
    </row>
    <row r="34" spans="1:11" s="351" customFormat="1" ht="9" customHeight="1">
      <c r="A34" s="728" t="s">
        <v>104</v>
      </c>
      <c r="B34" s="680" t="s">
        <v>357</v>
      </c>
      <c r="C34" s="682">
        <v>19.3874</v>
      </c>
      <c r="D34" s="682">
        <v>17.88</v>
      </c>
      <c r="E34" s="682">
        <v>17.423999999999999</v>
      </c>
      <c r="F34" s="729">
        <f t="shared" si="0"/>
        <v>8.4306487695749555E-2</v>
      </c>
      <c r="J34" s="576"/>
      <c r="K34" s="576"/>
    </row>
    <row r="35" spans="1:11" s="351" customFormat="1" ht="9" customHeight="1">
      <c r="A35" s="730" t="s">
        <v>358</v>
      </c>
      <c r="B35" s="557"/>
      <c r="C35" s="559">
        <v>19.3874</v>
      </c>
      <c r="D35" s="559">
        <v>17.88</v>
      </c>
      <c r="E35" s="559">
        <v>17.423999999999999</v>
      </c>
      <c r="F35" s="731">
        <f t="shared" si="0"/>
        <v>8.4306487695749555E-2</v>
      </c>
      <c r="J35" s="576"/>
      <c r="K35" s="576"/>
    </row>
    <row r="36" spans="1:11" s="351" customFormat="1" ht="9" customHeight="1">
      <c r="A36" s="728" t="s">
        <v>500</v>
      </c>
      <c r="B36" s="680" t="s">
        <v>359</v>
      </c>
      <c r="C36" s="682">
        <v>19.142140000000001</v>
      </c>
      <c r="D36" s="682">
        <v>18.877369999999999</v>
      </c>
      <c r="E36" s="682">
        <v>19.46772</v>
      </c>
      <c r="F36" s="729">
        <f t="shared" si="0"/>
        <v>1.4025788549994145E-2</v>
      </c>
      <c r="J36" s="576"/>
      <c r="K36" s="576"/>
    </row>
    <row r="37" spans="1:11" s="351" customFormat="1" ht="9" customHeight="1">
      <c r="A37" s="730" t="s">
        <v>495</v>
      </c>
      <c r="B37" s="557"/>
      <c r="C37" s="559">
        <v>19.142140000000001</v>
      </c>
      <c r="D37" s="559">
        <v>18.877369999999999</v>
      </c>
      <c r="E37" s="559">
        <v>19.46772</v>
      </c>
      <c r="F37" s="731">
        <f t="shared" si="0"/>
        <v>1.4025788549994145E-2</v>
      </c>
      <c r="J37" s="576"/>
      <c r="K37" s="576"/>
    </row>
    <row r="38" spans="1:11" s="351" customFormat="1" ht="9" customHeight="1">
      <c r="A38" s="728" t="s">
        <v>251</v>
      </c>
      <c r="B38" s="680" t="s">
        <v>60</v>
      </c>
      <c r="C38" s="682">
        <v>18.517849999999999</v>
      </c>
      <c r="D38" s="682">
        <v>18.104219999999998</v>
      </c>
      <c r="E38" s="682">
        <v>17.134370000000001</v>
      </c>
      <c r="F38" s="729">
        <f t="shared" si="0"/>
        <v>2.284715939156734E-2</v>
      </c>
      <c r="J38" s="576"/>
      <c r="K38" s="576"/>
    </row>
    <row r="39" spans="1:11" s="351" customFormat="1" ht="9" customHeight="1">
      <c r="A39" s="730" t="s">
        <v>360</v>
      </c>
      <c r="B39" s="557"/>
      <c r="C39" s="559">
        <v>18.517849999999999</v>
      </c>
      <c r="D39" s="559">
        <v>18.104219999999998</v>
      </c>
      <c r="E39" s="559">
        <v>17.134370000000001</v>
      </c>
      <c r="F39" s="731">
        <f t="shared" si="0"/>
        <v>2.284715939156734E-2</v>
      </c>
      <c r="J39" s="576"/>
      <c r="K39" s="576"/>
    </row>
    <row r="40" spans="1:11" s="351" customFormat="1" ht="9" customHeight="1">
      <c r="A40" s="728" t="s">
        <v>480</v>
      </c>
      <c r="B40" s="680" t="s">
        <v>764</v>
      </c>
      <c r="C40" s="682">
        <v>0.69699999999999995</v>
      </c>
      <c r="D40" s="682">
        <v>0.90700000000000003</v>
      </c>
      <c r="E40" s="682"/>
      <c r="F40" s="729">
        <f t="shared" si="0"/>
        <v>-0.23153252480705633</v>
      </c>
      <c r="J40" s="576"/>
      <c r="K40" s="576"/>
    </row>
    <row r="41" spans="1:11" s="351" customFormat="1" ht="9" customHeight="1">
      <c r="A41" s="730" t="s">
        <v>485</v>
      </c>
      <c r="B41" s="557"/>
      <c r="C41" s="559">
        <v>0.69699999999999995</v>
      </c>
      <c r="D41" s="559">
        <v>0.90700000000000003</v>
      </c>
      <c r="E41" s="559"/>
      <c r="F41" s="731">
        <f t="shared" si="0"/>
        <v>-0.23153252480705633</v>
      </c>
      <c r="J41" s="576"/>
      <c r="K41" s="576"/>
    </row>
    <row r="42" spans="1:11" s="351" customFormat="1" ht="9" customHeight="1">
      <c r="A42" s="728" t="s">
        <v>518</v>
      </c>
      <c r="B42" s="680" t="s">
        <v>522</v>
      </c>
      <c r="C42" s="682">
        <v>89.43329</v>
      </c>
      <c r="D42" s="682">
        <v>90.325099999999992</v>
      </c>
      <c r="E42" s="682">
        <v>90.423689999999993</v>
      </c>
      <c r="F42" s="729">
        <f t="shared" si="0"/>
        <v>-9.8733353187541173E-3</v>
      </c>
      <c r="J42" s="576"/>
      <c r="K42" s="576"/>
    </row>
    <row r="43" spans="1:11" s="351" customFormat="1" ht="9" customHeight="1">
      <c r="A43" s="730" t="s">
        <v>523</v>
      </c>
      <c r="B43" s="557"/>
      <c r="C43" s="559">
        <v>89.43329</v>
      </c>
      <c r="D43" s="559">
        <v>90.325099999999992</v>
      </c>
      <c r="E43" s="559">
        <v>90.423689999999993</v>
      </c>
      <c r="F43" s="731">
        <f t="shared" si="0"/>
        <v>-9.8733353187541173E-3</v>
      </c>
      <c r="J43" s="576"/>
      <c r="K43" s="576"/>
    </row>
    <row r="44" spans="1:11" s="351" customFormat="1" ht="9" customHeight="1">
      <c r="A44" s="728" t="s">
        <v>119</v>
      </c>
      <c r="B44" s="680" t="s">
        <v>361</v>
      </c>
      <c r="C44" s="682">
        <v>0</v>
      </c>
      <c r="D44" s="682">
        <v>0</v>
      </c>
      <c r="E44" s="682">
        <v>0</v>
      </c>
      <c r="F44" s="729" t="str">
        <f t="shared" si="0"/>
        <v/>
      </c>
      <c r="J44" s="576"/>
      <c r="K44" s="576"/>
    </row>
    <row r="45" spans="1:11" s="351" customFormat="1" ht="9" customHeight="1">
      <c r="A45" s="728"/>
      <c r="B45" s="680" t="s">
        <v>362</v>
      </c>
      <c r="C45" s="682">
        <v>0</v>
      </c>
      <c r="D45" s="682">
        <v>0</v>
      </c>
      <c r="E45" s="682">
        <v>0</v>
      </c>
      <c r="F45" s="729" t="str">
        <f t="shared" si="0"/>
        <v/>
      </c>
      <c r="J45" s="576"/>
      <c r="K45" s="576"/>
    </row>
    <row r="46" spans="1:11" s="351" customFormat="1" ht="9" customHeight="1">
      <c r="A46" s="730" t="s">
        <v>363</v>
      </c>
      <c r="B46" s="557"/>
      <c r="C46" s="559">
        <v>0</v>
      </c>
      <c r="D46" s="559">
        <v>0</v>
      </c>
      <c r="E46" s="559">
        <v>0</v>
      </c>
      <c r="F46" s="731" t="str">
        <f t="shared" si="0"/>
        <v/>
      </c>
      <c r="J46" s="576"/>
      <c r="K46" s="576"/>
    </row>
    <row r="47" spans="1:11" s="351" customFormat="1" ht="9" customHeight="1">
      <c r="A47" s="728" t="s">
        <v>477</v>
      </c>
      <c r="B47" s="680" t="s">
        <v>364</v>
      </c>
      <c r="C47" s="682">
        <v>781.59987999999998</v>
      </c>
      <c r="D47" s="682">
        <v>421.22234000000003</v>
      </c>
      <c r="E47" s="682">
        <v>0</v>
      </c>
      <c r="F47" s="729">
        <f t="shared" si="0"/>
        <v>0.8555518209219386</v>
      </c>
      <c r="J47" s="576"/>
      <c r="K47" s="576"/>
    </row>
    <row r="48" spans="1:11" s="351" customFormat="1" ht="9" customHeight="1">
      <c r="A48" s="728"/>
      <c r="B48" s="680" t="s">
        <v>365</v>
      </c>
      <c r="C48" s="682">
        <v>179.14744999999999</v>
      </c>
      <c r="D48" s="682">
        <v>0</v>
      </c>
      <c r="E48" s="682">
        <v>0</v>
      </c>
      <c r="F48" s="729" t="str">
        <f t="shared" si="0"/>
        <v/>
      </c>
      <c r="J48" s="576"/>
      <c r="K48" s="576"/>
    </row>
    <row r="49" spans="1:11" s="351" customFormat="1" ht="9" customHeight="1">
      <c r="A49" s="728"/>
      <c r="B49" s="680" t="s">
        <v>520</v>
      </c>
      <c r="C49" s="682">
        <v>356.92061000000001</v>
      </c>
      <c r="D49" s="682">
        <v>325.00319000000002</v>
      </c>
      <c r="E49" s="682">
        <v>398.60511000000002</v>
      </c>
      <c r="F49" s="729">
        <f t="shared" si="0"/>
        <v>9.8206482219451496E-2</v>
      </c>
      <c r="J49" s="576"/>
      <c r="K49" s="576"/>
    </row>
    <row r="50" spans="1:11" s="351" customFormat="1" ht="9" customHeight="1">
      <c r="A50" s="728"/>
      <c r="B50" s="680" t="s">
        <v>366</v>
      </c>
      <c r="C50" s="682">
        <v>10.117789999999999</v>
      </c>
      <c r="D50" s="682">
        <v>4.9887199999999998</v>
      </c>
      <c r="E50" s="682">
        <v>9.2215299999999996</v>
      </c>
      <c r="F50" s="729">
        <f t="shared" si="0"/>
        <v>1.028133469106304</v>
      </c>
      <c r="J50" s="576"/>
      <c r="K50" s="576"/>
    </row>
    <row r="51" spans="1:11" s="351" customFormat="1" ht="9" customHeight="1">
      <c r="A51" s="730" t="s">
        <v>367</v>
      </c>
      <c r="B51" s="557"/>
      <c r="C51" s="559">
        <v>1327.7857299999998</v>
      </c>
      <c r="D51" s="559">
        <v>751.21424999999999</v>
      </c>
      <c r="E51" s="559">
        <v>407.82664</v>
      </c>
      <c r="F51" s="731">
        <f t="shared" si="0"/>
        <v>0.76751935949031824</v>
      </c>
      <c r="J51" s="576"/>
      <c r="K51" s="576"/>
    </row>
    <row r="52" spans="1:11" s="351" customFormat="1" ht="9" customHeight="1">
      <c r="A52" s="728" t="s">
        <v>118</v>
      </c>
      <c r="B52" s="680" t="s">
        <v>73</v>
      </c>
      <c r="C52" s="682">
        <v>0</v>
      </c>
      <c r="D52" s="682">
        <v>1.5269999999999999</v>
      </c>
      <c r="E52" s="682">
        <v>3.1520000000000001</v>
      </c>
      <c r="F52" s="729">
        <f t="shared" si="0"/>
        <v>-1</v>
      </c>
      <c r="J52" s="576"/>
      <c r="K52" s="576"/>
    </row>
    <row r="53" spans="1:11" s="351" customFormat="1" ht="9" customHeight="1">
      <c r="A53" s="730" t="s">
        <v>368</v>
      </c>
      <c r="B53" s="557"/>
      <c r="C53" s="559">
        <v>0</v>
      </c>
      <c r="D53" s="559">
        <v>1.5269999999999999</v>
      </c>
      <c r="E53" s="559">
        <v>3.1520000000000001</v>
      </c>
      <c r="F53" s="731">
        <f t="shared" si="0"/>
        <v>-1</v>
      </c>
      <c r="J53" s="576"/>
      <c r="K53" s="576"/>
    </row>
    <row r="54" spans="1:11" s="351" customFormat="1" ht="9" customHeight="1">
      <c r="A54" s="728" t="s">
        <v>111</v>
      </c>
      <c r="B54" s="680" t="s">
        <v>82</v>
      </c>
      <c r="C54" s="682">
        <v>0</v>
      </c>
      <c r="D54" s="682">
        <v>0</v>
      </c>
      <c r="E54" s="682">
        <v>0</v>
      </c>
      <c r="F54" s="729" t="str">
        <f t="shared" si="0"/>
        <v/>
      </c>
      <c r="J54" s="576"/>
      <c r="K54" s="576"/>
    </row>
    <row r="55" spans="1:11" s="351" customFormat="1" ht="9" customHeight="1">
      <c r="A55" s="730" t="s">
        <v>369</v>
      </c>
      <c r="B55" s="557"/>
      <c r="C55" s="559">
        <v>0</v>
      </c>
      <c r="D55" s="559">
        <v>0</v>
      </c>
      <c r="E55" s="559">
        <v>0</v>
      </c>
      <c r="F55" s="731" t="str">
        <f t="shared" si="0"/>
        <v/>
      </c>
      <c r="J55" s="576"/>
      <c r="K55" s="576"/>
    </row>
    <row r="56" spans="1:11" s="351" customFormat="1" ht="9" customHeight="1">
      <c r="A56" s="728" t="s">
        <v>252</v>
      </c>
      <c r="B56" s="680" t="s">
        <v>72</v>
      </c>
      <c r="C56" s="682">
        <v>5.4690599999999998</v>
      </c>
      <c r="D56" s="682">
        <v>4.7496700000000001</v>
      </c>
      <c r="E56" s="682">
        <v>4.8937099999999996</v>
      </c>
      <c r="F56" s="729">
        <f t="shared" si="0"/>
        <v>0.15146104887286893</v>
      </c>
      <c r="J56" s="576"/>
      <c r="K56" s="576"/>
    </row>
    <row r="57" spans="1:11" s="351" customFormat="1" ht="9" customHeight="1">
      <c r="A57" s="728"/>
      <c r="B57" s="680" t="s">
        <v>370</v>
      </c>
      <c r="C57" s="682">
        <v>249.64059</v>
      </c>
      <c r="D57" s="682">
        <v>255.49514000000002</v>
      </c>
      <c r="E57" s="682">
        <v>251.64778999999999</v>
      </c>
      <c r="F57" s="729">
        <f t="shared" si="0"/>
        <v>-2.291452588882914E-2</v>
      </c>
      <c r="J57" s="576"/>
      <c r="K57" s="576"/>
    </row>
    <row r="58" spans="1:11" s="351" customFormat="1" ht="9" customHeight="1">
      <c r="A58" s="728"/>
      <c r="B58" s="680" t="s">
        <v>371</v>
      </c>
      <c r="C58" s="682">
        <v>90.573170000000005</v>
      </c>
      <c r="D58" s="682">
        <v>70.419589999999999</v>
      </c>
      <c r="E58" s="682">
        <v>90.142589999999998</v>
      </c>
      <c r="F58" s="729">
        <f t="shared" si="0"/>
        <v>0.28619280515549739</v>
      </c>
      <c r="J58" s="576"/>
      <c r="K58" s="576"/>
    </row>
    <row r="59" spans="1:11" s="351" customFormat="1" ht="9" customHeight="1">
      <c r="A59" s="728"/>
      <c r="B59" s="680" t="s">
        <v>63</v>
      </c>
      <c r="C59" s="682">
        <v>9.9161599999999996</v>
      </c>
      <c r="D59" s="682">
        <v>8.4359599999999997</v>
      </c>
      <c r="E59" s="682">
        <v>9.9318000000000008</v>
      </c>
      <c r="F59" s="729">
        <f t="shared" si="0"/>
        <v>0.1754631363828183</v>
      </c>
      <c r="J59" s="576"/>
      <c r="K59" s="576"/>
    </row>
    <row r="60" spans="1:11" s="351" customFormat="1" ht="9" customHeight="1">
      <c r="A60" s="730" t="s">
        <v>372</v>
      </c>
      <c r="B60" s="557"/>
      <c r="C60" s="559">
        <v>355.59897999999998</v>
      </c>
      <c r="D60" s="559">
        <v>339.10036000000002</v>
      </c>
      <c r="E60" s="559">
        <v>356.61588999999998</v>
      </c>
      <c r="F60" s="731">
        <f t="shared" si="0"/>
        <v>4.865409166772916E-2</v>
      </c>
      <c r="J60" s="576"/>
      <c r="K60" s="576"/>
    </row>
    <row r="61" spans="1:11" s="351" customFormat="1" ht="9" customHeight="1">
      <c r="A61" s="728" t="s">
        <v>253</v>
      </c>
      <c r="B61" s="680" t="s">
        <v>79</v>
      </c>
      <c r="C61" s="682">
        <v>20.784780000000001</v>
      </c>
      <c r="D61" s="682">
        <v>25.828679999999999</v>
      </c>
      <c r="E61" s="682">
        <v>10.36957</v>
      </c>
      <c r="F61" s="729">
        <f t="shared" si="0"/>
        <v>-0.19528291805853015</v>
      </c>
      <c r="J61" s="576"/>
      <c r="K61" s="576"/>
    </row>
    <row r="62" spans="1:11" s="351" customFormat="1" ht="9" customHeight="1">
      <c r="A62" s="730" t="s">
        <v>373</v>
      </c>
      <c r="B62" s="557"/>
      <c r="C62" s="559">
        <v>20.784780000000001</v>
      </c>
      <c r="D62" s="559">
        <v>25.828679999999999</v>
      </c>
      <c r="E62" s="559">
        <v>10.36957</v>
      </c>
      <c r="F62" s="731">
        <f t="shared" si="0"/>
        <v>-0.19528291805853015</v>
      </c>
      <c r="J62" s="576"/>
      <c r="K62" s="576"/>
    </row>
    <row r="63" spans="1:11" s="351" customFormat="1" ht="9" customHeight="1">
      <c r="A63" s="728" t="s">
        <v>100</v>
      </c>
      <c r="B63" s="680" t="s">
        <v>77</v>
      </c>
      <c r="C63" s="682">
        <v>71.902060000000006</v>
      </c>
      <c r="D63" s="682">
        <v>80.15558</v>
      </c>
      <c r="E63" s="682">
        <v>33.914949999999997</v>
      </c>
      <c r="F63" s="729">
        <f t="shared" si="0"/>
        <v>-0.10296875152048046</v>
      </c>
      <c r="J63" s="576"/>
      <c r="K63" s="576"/>
    </row>
    <row r="64" spans="1:11" s="351" customFormat="1" ht="9" customHeight="1">
      <c r="A64" s="730" t="s">
        <v>374</v>
      </c>
      <c r="B64" s="557"/>
      <c r="C64" s="559">
        <v>71.902060000000006</v>
      </c>
      <c r="D64" s="559">
        <v>80.15558</v>
      </c>
      <c r="E64" s="559">
        <v>33.914949999999997</v>
      </c>
      <c r="F64" s="731">
        <f t="shared" si="0"/>
        <v>-0.10296875152048046</v>
      </c>
      <c r="J64" s="576"/>
      <c r="K64" s="576"/>
    </row>
    <row r="65" spans="1:11" s="351" customFormat="1" ht="9" customHeight="1">
      <c r="A65" s="728" t="s">
        <v>108</v>
      </c>
      <c r="B65" s="680" t="s">
        <v>243</v>
      </c>
      <c r="C65" s="682">
        <v>0</v>
      </c>
      <c r="D65" s="682">
        <v>0</v>
      </c>
      <c r="E65" s="682">
        <v>0</v>
      </c>
      <c r="F65" s="729" t="str">
        <f t="shared" si="0"/>
        <v/>
      </c>
      <c r="J65" s="576"/>
      <c r="K65" s="576"/>
    </row>
    <row r="66" spans="1:11" s="351" customFormat="1" ht="9" customHeight="1">
      <c r="A66" s="730" t="s">
        <v>375</v>
      </c>
      <c r="B66" s="557"/>
      <c r="C66" s="559">
        <v>0</v>
      </c>
      <c r="D66" s="559">
        <v>0</v>
      </c>
      <c r="E66" s="559">
        <v>0</v>
      </c>
      <c r="F66" s="731" t="str">
        <f t="shared" si="0"/>
        <v/>
      </c>
      <c r="J66" s="576"/>
      <c r="K66" s="576"/>
    </row>
    <row r="67" spans="1:11" s="351" customFormat="1" ht="9" customHeight="1">
      <c r="A67" s="728" t="s">
        <v>478</v>
      </c>
      <c r="B67" s="680" t="s">
        <v>86</v>
      </c>
      <c r="C67" s="682">
        <v>0</v>
      </c>
      <c r="D67" s="682">
        <v>1.4024000000000001</v>
      </c>
      <c r="E67" s="682">
        <v>0</v>
      </c>
      <c r="F67" s="729">
        <f t="shared" si="0"/>
        <v>-1</v>
      </c>
      <c r="J67" s="576"/>
      <c r="K67" s="576"/>
    </row>
    <row r="68" spans="1:11" s="351" customFormat="1" ht="9" customHeight="1">
      <c r="A68" s="728"/>
      <c r="B68" s="680" t="s">
        <v>85</v>
      </c>
      <c r="C68" s="682">
        <v>3.9710000000000001</v>
      </c>
      <c r="D68" s="682">
        <v>3.0061</v>
      </c>
      <c r="E68" s="682">
        <v>4.3065999999999995</v>
      </c>
      <c r="F68" s="729">
        <f t="shared" si="0"/>
        <v>0.32098067263231433</v>
      </c>
      <c r="J68" s="576"/>
      <c r="K68" s="576"/>
    </row>
    <row r="69" spans="1:11" s="351" customFormat="1" ht="9" customHeight="1">
      <c r="A69" s="728"/>
      <c r="B69" s="680" t="s">
        <v>517</v>
      </c>
      <c r="C69" s="682">
        <v>2.1069</v>
      </c>
      <c r="D69" s="682">
        <v>2.3997000000000002</v>
      </c>
      <c r="E69" s="682"/>
      <c r="F69" s="729">
        <f t="shared" si="0"/>
        <v>-0.12201525190648832</v>
      </c>
      <c r="J69" s="576"/>
      <c r="K69" s="576"/>
    </row>
    <row r="70" spans="1:11" s="351" customFormat="1" ht="9" customHeight="1">
      <c r="A70" s="730" t="s">
        <v>376</v>
      </c>
      <c r="B70" s="557"/>
      <c r="C70" s="559">
        <v>6.0778999999999996</v>
      </c>
      <c r="D70" s="559">
        <v>6.8082000000000003</v>
      </c>
      <c r="E70" s="559">
        <v>4.3065999999999995</v>
      </c>
      <c r="F70" s="731">
        <f t="shared" si="0"/>
        <v>-0.10726770658911322</v>
      </c>
      <c r="J70" s="576"/>
      <c r="K70" s="576"/>
    </row>
    <row r="71" spans="1:11" s="351" customFormat="1" ht="9" customHeight="1">
      <c r="A71" s="728" t="s">
        <v>254</v>
      </c>
      <c r="B71" s="680" t="s">
        <v>377</v>
      </c>
      <c r="C71" s="682">
        <v>0</v>
      </c>
      <c r="D71" s="682">
        <v>0</v>
      </c>
      <c r="E71" s="682">
        <v>0</v>
      </c>
      <c r="F71" s="729" t="str">
        <f t="shared" si="0"/>
        <v/>
      </c>
      <c r="J71" s="576"/>
      <c r="K71" s="576"/>
    </row>
    <row r="72" spans="1:11" s="351" customFormat="1" ht="9" customHeight="1">
      <c r="A72" s="730" t="s">
        <v>378</v>
      </c>
      <c r="B72" s="557"/>
      <c r="C72" s="559">
        <v>0</v>
      </c>
      <c r="D72" s="559">
        <v>0</v>
      </c>
      <c r="E72" s="559">
        <v>0</v>
      </c>
      <c r="F72" s="731" t="str">
        <f t="shared" ref="F72" si="1">+IF(D72=0,"",C72/D72-1)</f>
        <v/>
      </c>
      <c r="J72" s="576"/>
      <c r="K72" s="576"/>
    </row>
    <row r="73" spans="1:11" s="351" customFormat="1" ht="10.5" customHeight="1"/>
    <row r="74" spans="1:11" s="351" customFormat="1" ht="10.5" customHeight="1"/>
    <row r="75" spans="1:11" s="351" customFormat="1" ht="10.5" customHeight="1"/>
    <row r="76" spans="1:11" s="351" customFormat="1" ht="10.5" customHeight="1"/>
    <row r="77" spans="1:11" s="351" customFormat="1" ht="10.5" customHeight="1"/>
    <row r="78" spans="1:11" s="351" customFormat="1" ht="10.5" customHeight="1"/>
    <row r="79" spans="1:11" s="351" customFormat="1" ht="10.5" customHeight="1"/>
    <row r="80" spans="1:11" s="351" customFormat="1" ht="10.5" customHeight="1"/>
    <row r="81" s="351" customFormat="1" ht="10.5" customHeight="1"/>
    <row r="82" s="351" customFormat="1" ht="8.25"/>
    <row r="83" s="351" customFormat="1" ht="8.25"/>
    <row r="84" s="351" customFormat="1" ht="8.25"/>
    <row r="85" s="351" customFormat="1" ht="8.25"/>
    <row r="86" s="351" customFormat="1" ht="8.25"/>
    <row r="87" s="351" customFormat="1" ht="8.25"/>
    <row r="88" s="351" customFormat="1" ht="8.25"/>
    <row r="89" s="351" customFormat="1" ht="8.25"/>
    <row r="90" s="351" customFormat="1" ht="8.25"/>
    <row r="91" s="351" customFormat="1" ht="8.25"/>
    <row r="92" s="351" customFormat="1" ht="8.25"/>
    <row r="93" s="351" customFormat="1" ht="8.25"/>
    <row r="94" s="351" customFormat="1" ht="8.25"/>
    <row r="95" s="351" customFormat="1" ht="8.25"/>
    <row r="96" s="351" customFormat="1" ht="8.25"/>
    <row r="97" s="351" customFormat="1" ht="8.25"/>
    <row r="98" s="351" customFormat="1" ht="8.25"/>
    <row r="99" s="351" customFormat="1" ht="8.25"/>
    <row r="100" s="351" customFormat="1" ht="8.25"/>
    <row r="101" s="351" customFormat="1" ht="8.25"/>
    <row r="102" s="351" customFormat="1" ht="8.25"/>
    <row r="103" s="351" customFormat="1" ht="8.25"/>
    <row r="104" s="351" customFormat="1" ht="8.25"/>
    <row r="105" s="351" customFormat="1" ht="8.25"/>
    <row r="106" s="351" customFormat="1" ht="8.25"/>
    <row r="107" s="351" customFormat="1" ht="8.25"/>
    <row r="108" s="351" customFormat="1" ht="8.25"/>
    <row r="109" s="351" customFormat="1" ht="8.25"/>
    <row r="110" s="351" customFormat="1" ht="8.25"/>
    <row r="111" s="351" customFormat="1" ht="8.25"/>
    <row r="112" s="351" customFormat="1" ht="8.25"/>
    <row r="113" s="351" customFormat="1" ht="8.25"/>
    <row r="114" s="351" customFormat="1" ht="8.25"/>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
Diciembre 2019
INFSGI-MES-12-2019
15/01/2020
Versión: 01</oddHeader>
    <oddFooter>&amp;L&amp;7COES, 2019&amp;C22&amp;R&amp;7Dirección Ejecutiva
Sub Dirección de Gestión de Información</oddFooter>
  </headerFooter>
  <rowBreaks count="1" manualBreakCount="1">
    <brk id="72"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G62"/>
  <sheetViews>
    <sheetView showGridLines="0" view="pageBreakPreview" zoomScale="130" zoomScaleNormal="100" zoomScaleSheetLayoutView="130" zoomScalePageLayoutView="140" workbookViewId="0"/>
  </sheetViews>
  <sheetFormatPr defaultColWidth="9.33203125" defaultRowHeight="9"/>
  <cols>
    <col min="1" max="1" width="27" style="279" customWidth="1"/>
    <col min="2" max="2" width="19.5" style="279" customWidth="1"/>
    <col min="3" max="3" width="16.5" style="279" customWidth="1"/>
    <col min="4" max="4" width="17.6640625" style="279" customWidth="1"/>
    <col min="5" max="5" width="15.1640625" style="279" customWidth="1"/>
    <col min="6" max="6" width="12.83203125" style="279" customWidth="1"/>
    <col min="7" max="16384" width="9.33203125" style="279"/>
  </cols>
  <sheetData>
    <row r="1" spans="1:6" s="351" customFormat="1" ht="11.25" customHeight="1">
      <c r="A1" s="965" t="s">
        <v>261</v>
      </c>
      <c r="B1" s="967" t="s">
        <v>55</v>
      </c>
      <c r="C1" s="967" t="s">
        <v>411</v>
      </c>
      <c r="D1" s="967"/>
      <c r="E1" s="967"/>
      <c r="F1" s="969"/>
    </row>
    <row r="2" spans="1:6" s="351" customFormat="1" ht="11.25" customHeight="1">
      <c r="A2" s="959"/>
      <c r="B2" s="962"/>
      <c r="C2" s="541" t="s">
        <v>759</v>
      </c>
      <c r="D2" s="542" t="s">
        <v>760</v>
      </c>
      <c r="E2" s="543" t="s">
        <v>761</v>
      </c>
      <c r="F2" s="698" t="s">
        <v>526</v>
      </c>
    </row>
    <row r="3" spans="1:6" s="351" customFormat="1" ht="11.25" customHeight="1">
      <c r="A3" s="959"/>
      <c r="B3" s="962"/>
      <c r="C3" s="544">
        <f>'21. ANEXOII-1'!C4</f>
        <v>43801.8125</v>
      </c>
      <c r="D3" s="544">
        <f>'21. ANEXOII-1'!D4</f>
        <v>43451.822916666664</v>
      </c>
      <c r="E3" s="544">
        <f>'21. ANEXOII-1'!E4</f>
        <v>43087.822916666664</v>
      </c>
      <c r="F3" s="699" t="s">
        <v>408</v>
      </c>
    </row>
    <row r="4" spans="1:6" s="351" customFormat="1" ht="11.25" customHeight="1">
      <c r="A4" s="966"/>
      <c r="B4" s="968"/>
      <c r="C4" s="545">
        <f>+'8. Max Potencia'!D9</f>
        <v>43801.8125</v>
      </c>
      <c r="D4" s="545">
        <f>+'8. Max Potencia'!E9</f>
        <v>43451.822916666664</v>
      </c>
      <c r="E4" s="545">
        <f>+'22. ANEXOII-2'!E4</f>
        <v>43087.822916666664</v>
      </c>
      <c r="F4" s="700" t="s">
        <v>409</v>
      </c>
    </row>
    <row r="5" spans="1:6" s="351" customFormat="1" ht="10.5" customHeight="1">
      <c r="A5" s="728" t="s">
        <v>554</v>
      </c>
      <c r="B5" s="680" t="s">
        <v>640</v>
      </c>
      <c r="C5" s="682">
        <v>16.593600000000002</v>
      </c>
      <c r="D5" s="682"/>
      <c r="E5" s="682">
        <v>0</v>
      </c>
      <c r="F5" s="729" t="str">
        <f t="shared" ref="F5:F43" si="0">+IF(D5=0,"",C5/D5-1)</f>
        <v/>
      </c>
    </row>
    <row r="6" spans="1:6" s="351" customFormat="1" ht="10.5" customHeight="1">
      <c r="A6" s="730" t="s">
        <v>555</v>
      </c>
      <c r="B6" s="557"/>
      <c r="C6" s="559">
        <v>16.593600000000002</v>
      </c>
      <c r="D6" s="559"/>
      <c r="E6" s="559">
        <v>0</v>
      </c>
      <c r="F6" s="731" t="str">
        <f t="shared" si="0"/>
        <v/>
      </c>
    </row>
    <row r="7" spans="1:6" s="351" customFormat="1" ht="10.5" customHeight="1">
      <c r="A7" s="728" t="s">
        <v>105</v>
      </c>
      <c r="B7" s="680" t="s">
        <v>62</v>
      </c>
      <c r="C7" s="682">
        <v>18.142810000000001</v>
      </c>
      <c r="D7" s="682">
        <v>9.4473900000000004</v>
      </c>
      <c r="E7" s="682">
        <v>13.553619999999999</v>
      </c>
      <c r="F7" s="729">
        <f t="shared" si="0"/>
        <v>0.92040447149953586</v>
      </c>
    </row>
    <row r="8" spans="1:6" s="351" customFormat="1" ht="10.5" customHeight="1">
      <c r="A8" s="730" t="s">
        <v>379</v>
      </c>
      <c r="B8" s="557"/>
      <c r="C8" s="559">
        <v>18.142810000000001</v>
      </c>
      <c r="D8" s="559">
        <v>9.4473900000000004</v>
      </c>
      <c r="E8" s="559">
        <v>13.553619999999999</v>
      </c>
      <c r="F8" s="731">
        <f t="shared" si="0"/>
        <v>0.92040447149953586</v>
      </c>
    </row>
    <row r="9" spans="1:6" s="351" customFormat="1" ht="10.5" customHeight="1">
      <c r="A9" s="728" t="s">
        <v>255</v>
      </c>
      <c r="B9" s="680" t="s">
        <v>380</v>
      </c>
      <c r="C9" s="682">
        <v>0</v>
      </c>
      <c r="D9" s="682">
        <v>0</v>
      </c>
      <c r="E9" s="682">
        <v>0</v>
      </c>
      <c r="F9" s="729" t="str">
        <f t="shared" si="0"/>
        <v/>
      </c>
    </row>
    <row r="10" spans="1:6" s="351" customFormat="1" ht="10.5" customHeight="1">
      <c r="A10" s="730" t="s">
        <v>381</v>
      </c>
      <c r="B10" s="557"/>
      <c r="C10" s="559">
        <v>0</v>
      </c>
      <c r="D10" s="559">
        <v>0</v>
      </c>
      <c r="E10" s="559">
        <v>0</v>
      </c>
      <c r="F10" s="731" t="str">
        <f t="shared" si="0"/>
        <v/>
      </c>
    </row>
    <row r="11" spans="1:6" s="351" customFormat="1" ht="10.5" customHeight="1">
      <c r="A11" s="728" t="s">
        <v>96</v>
      </c>
      <c r="B11" s="680" t="s">
        <v>382</v>
      </c>
      <c r="C11" s="682">
        <v>108.87512000000001</v>
      </c>
      <c r="D11" s="682">
        <v>110.10356</v>
      </c>
      <c r="E11" s="682">
        <v>110.82124999999999</v>
      </c>
      <c r="F11" s="729">
        <f t="shared" si="0"/>
        <v>-1.115713243059524E-2</v>
      </c>
    </row>
    <row r="12" spans="1:6" s="351" customFormat="1" ht="10.5" customHeight="1">
      <c r="A12" s="728"/>
      <c r="B12" s="680" t="s">
        <v>598</v>
      </c>
      <c r="C12" s="682"/>
      <c r="D12" s="682"/>
      <c r="E12" s="682">
        <v>0</v>
      </c>
      <c r="F12" s="729" t="str">
        <f t="shared" si="0"/>
        <v/>
      </c>
    </row>
    <row r="13" spans="1:6" s="351" customFormat="1" ht="10.5" customHeight="1">
      <c r="A13" s="730" t="s">
        <v>383</v>
      </c>
      <c r="B13" s="557"/>
      <c r="C13" s="559">
        <v>108.87512000000001</v>
      </c>
      <c r="D13" s="559">
        <v>110.10356</v>
      </c>
      <c r="E13" s="559">
        <v>110.82124999999999</v>
      </c>
      <c r="F13" s="731">
        <f t="shared" si="0"/>
        <v>-1.115713243059524E-2</v>
      </c>
    </row>
    <row r="14" spans="1:6" s="351" customFormat="1" ht="10.5" customHeight="1">
      <c r="A14" s="728" t="s">
        <v>519</v>
      </c>
      <c r="B14" s="680" t="s">
        <v>765</v>
      </c>
      <c r="C14" s="682">
        <v>6.4589999999999996</v>
      </c>
      <c r="D14" s="682"/>
      <c r="E14" s="682"/>
      <c r="F14" s="729" t="str">
        <f t="shared" si="0"/>
        <v/>
      </c>
    </row>
    <row r="15" spans="1:6" s="351" customFormat="1" ht="10.5" customHeight="1">
      <c r="A15" s="730" t="s">
        <v>524</v>
      </c>
      <c r="B15" s="557"/>
      <c r="C15" s="559">
        <v>6.4589999999999996</v>
      </c>
      <c r="D15" s="559"/>
      <c r="E15" s="559"/>
      <c r="F15" s="731" t="str">
        <f t="shared" si="0"/>
        <v/>
      </c>
    </row>
    <row r="16" spans="1:6" s="351" customFormat="1" ht="10.5" customHeight="1">
      <c r="A16" s="728" t="s">
        <v>462</v>
      </c>
      <c r="B16" s="680" t="s">
        <v>469</v>
      </c>
      <c r="C16" s="682">
        <v>20.062539999999998</v>
      </c>
      <c r="D16" s="682">
        <v>19.850020000000001</v>
      </c>
      <c r="E16" s="682"/>
      <c r="F16" s="729">
        <f t="shared" si="0"/>
        <v>1.0706286442028645E-2</v>
      </c>
    </row>
    <row r="17" spans="1:6" s="351" customFormat="1" ht="10.5" customHeight="1">
      <c r="A17" s="730" t="s">
        <v>464</v>
      </c>
      <c r="B17" s="557"/>
      <c r="C17" s="559">
        <v>20.062539999999998</v>
      </c>
      <c r="D17" s="559">
        <v>19.850020000000001</v>
      </c>
      <c r="E17" s="559"/>
      <c r="F17" s="731">
        <f t="shared" si="0"/>
        <v>1.0706286442028645E-2</v>
      </c>
    </row>
    <row r="18" spans="1:6" s="351" customFormat="1" ht="10.5" customHeight="1">
      <c r="A18" s="728" t="s">
        <v>103</v>
      </c>
      <c r="B18" s="680" t="s">
        <v>384</v>
      </c>
      <c r="C18" s="682">
        <v>27.175370000000001</v>
      </c>
      <c r="D18" s="682">
        <v>27.943930000000002</v>
      </c>
      <c r="E18" s="682">
        <v>27.69003</v>
      </c>
      <c r="F18" s="729">
        <f t="shared" si="0"/>
        <v>-2.7503647482655436E-2</v>
      </c>
    </row>
    <row r="19" spans="1:6" s="351" customFormat="1" ht="10.5" customHeight="1">
      <c r="A19" s="730" t="s">
        <v>385</v>
      </c>
      <c r="B19" s="557"/>
      <c r="C19" s="559">
        <v>27.175370000000001</v>
      </c>
      <c r="D19" s="559">
        <v>27.943930000000002</v>
      </c>
      <c r="E19" s="559">
        <v>27.69003</v>
      </c>
      <c r="F19" s="731">
        <f t="shared" si="0"/>
        <v>-2.7503647482655436E-2</v>
      </c>
    </row>
    <row r="20" spans="1:6" s="351" customFormat="1" ht="10.5" customHeight="1">
      <c r="A20" s="728" t="s">
        <v>120</v>
      </c>
      <c r="B20" s="680" t="s">
        <v>386</v>
      </c>
      <c r="C20" s="682">
        <v>0</v>
      </c>
      <c r="D20" s="682">
        <v>20.883690000000001</v>
      </c>
      <c r="E20" s="682">
        <v>0</v>
      </c>
      <c r="F20" s="729">
        <f t="shared" si="0"/>
        <v>-1</v>
      </c>
    </row>
    <row r="21" spans="1:6" s="351" customFormat="1" ht="10.5" customHeight="1">
      <c r="A21" s="730" t="s">
        <v>387</v>
      </c>
      <c r="B21" s="557"/>
      <c r="C21" s="559">
        <v>0</v>
      </c>
      <c r="D21" s="559">
        <v>20.883690000000001</v>
      </c>
      <c r="E21" s="559">
        <v>0</v>
      </c>
      <c r="F21" s="731">
        <f t="shared" si="0"/>
        <v>-1</v>
      </c>
    </row>
    <row r="22" spans="1:6" s="351" customFormat="1" ht="10.5" customHeight="1">
      <c r="A22" s="728" t="s">
        <v>114</v>
      </c>
      <c r="B22" s="680" t="s">
        <v>641</v>
      </c>
      <c r="C22" s="682">
        <v>19.05519</v>
      </c>
      <c r="D22" s="682"/>
      <c r="E22" s="682">
        <v>0</v>
      </c>
      <c r="F22" s="729" t="str">
        <f t="shared" si="0"/>
        <v/>
      </c>
    </row>
    <row r="23" spans="1:6" s="351" customFormat="1" ht="10.5" customHeight="1">
      <c r="A23" s="728"/>
      <c r="B23" s="680" t="s">
        <v>70</v>
      </c>
      <c r="C23" s="682">
        <v>4.3129099999999996</v>
      </c>
      <c r="D23" s="682">
        <v>2.3944800000000002</v>
      </c>
      <c r="E23" s="682">
        <v>2.8185899999999999</v>
      </c>
      <c r="F23" s="729">
        <f t="shared" si="0"/>
        <v>0.80118856703751939</v>
      </c>
    </row>
    <row r="24" spans="1:6" s="351" customFormat="1" ht="10.5" customHeight="1">
      <c r="A24" s="730" t="s">
        <v>388</v>
      </c>
      <c r="B24" s="557"/>
      <c r="C24" s="559">
        <v>23.368099999999998</v>
      </c>
      <c r="D24" s="559">
        <v>2.3944800000000002</v>
      </c>
      <c r="E24" s="559">
        <v>2.8185899999999999</v>
      </c>
      <c r="F24" s="731">
        <f t="shared" si="0"/>
        <v>8.7591543884267136</v>
      </c>
    </row>
    <row r="25" spans="1:6" s="351" customFormat="1" ht="10.5" customHeight="1">
      <c r="A25" s="728" t="s">
        <v>91</v>
      </c>
      <c r="B25" s="680" t="s">
        <v>389</v>
      </c>
      <c r="C25" s="682">
        <v>44.770299999999999</v>
      </c>
      <c r="D25" s="682">
        <v>42.447450000000003</v>
      </c>
      <c r="E25" s="682">
        <v>45.58549</v>
      </c>
      <c r="F25" s="729"/>
    </row>
    <row r="26" spans="1:6" s="351" customFormat="1" ht="10.5" customHeight="1">
      <c r="A26" s="728"/>
      <c r="B26" s="680" t="s">
        <v>390</v>
      </c>
      <c r="C26" s="682">
        <v>113.93071</v>
      </c>
      <c r="D26" s="682">
        <v>152.39676</v>
      </c>
      <c r="E26" s="682">
        <v>101.18937</v>
      </c>
      <c r="F26" s="729"/>
    </row>
    <row r="27" spans="1:6" s="351" customFormat="1" ht="10.5" customHeight="1">
      <c r="A27" s="728"/>
      <c r="B27" s="680" t="s">
        <v>391</v>
      </c>
      <c r="C27" s="682">
        <v>31.857410000000002</v>
      </c>
      <c r="D27" s="682">
        <v>14.91785</v>
      </c>
      <c r="E27" s="682">
        <v>30.554829999999999</v>
      </c>
      <c r="F27" s="729"/>
    </row>
    <row r="28" spans="1:6" s="351" customFormat="1" ht="10.5" customHeight="1">
      <c r="A28" s="728"/>
      <c r="B28" s="680" t="s">
        <v>392</v>
      </c>
      <c r="C28" s="682">
        <v>0</v>
      </c>
      <c r="D28" s="682">
        <v>0</v>
      </c>
      <c r="E28" s="682">
        <v>0</v>
      </c>
      <c r="F28" s="729"/>
    </row>
    <row r="29" spans="1:6" s="351" customFormat="1" ht="10.5" customHeight="1">
      <c r="A29" s="728"/>
      <c r="B29" s="680" t="s">
        <v>393</v>
      </c>
      <c r="C29" s="682">
        <v>29.44117</v>
      </c>
      <c r="D29" s="682">
        <v>29.68533</v>
      </c>
      <c r="E29" s="682">
        <v>30.70251</v>
      </c>
      <c r="F29" s="729"/>
    </row>
    <row r="30" spans="1:6" s="351" customFormat="1" ht="10.5" customHeight="1">
      <c r="A30" s="728"/>
      <c r="B30" s="680" t="s">
        <v>394</v>
      </c>
      <c r="C30" s="682">
        <v>2.4695999999999998</v>
      </c>
      <c r="D30" s="682">
        <v>0.96462999999999999</v>
      </c>
      <c r="E30" s="682">
        <v>1.4356800000000001</v>
      </c>
      <c r="F30" s="729">
        <f t="shared" si="0"/>
        <v>1.5601525973689392</v>
      </c>
    </row>
    <row r="31" spans="1:6" s="351" customFormat="1" ht="10.5" customHeight="1">
      <c r="A31" s="728"/>
      <c r="B31" s="680" t="s">
        <v>395</v>
      </c>
      <c r="C31" s="682">
        <v>8.2522800000000007</v>
      </c>
      <c r="D31" s="682">
        <v>8.2976400000000012</v>
      </c>
      <c r="E31" s="682">
        <v>7.4944799999999994</v>
      </c>
      <c r="F31" s="729">
        <f t="shared" si="0"/>
        <v>-5.4666146036704832E-3</v>
      </c>
    </row>
    <row r="32" spans="1:6" s="351" customFormat="1" ht="10.5" customHeight="1">
      <c r="A32" s="728"/>
      <c r="B32" s="680" t="s">
        <v>396</v>
      </c>
      <c r="C32" s="682">
        <v>4.3578600000000005</v>
      </c>
      <c r="D32" s="682">
        <v>5.0954300000000003</v>
      </c>
      <c r="E32" s="682">
        <v>4.4617599999999999</v>
      </c>
      <c r="F32" s="729">
        <f t="shared" si="0"/>
        <v>-0.14475127712479607</v>
      </c>
    </row>
    <row r="33" spans="1:6" s="351" customFormat="1" ht="10.5" customHeight="1">
      <c r="A33" s="728"/>
      <c r="B33" s="680" t="s">
        <v>397</v>
      </c>
      <c r="C33" s="682">
        <v>2.9281000000000001</v>
      </c>
      <c r="D33" s="682">
        <v>1.4777899999999999</v>
      </c>
      <c r="E33" s="682">
        <v>4.2775400000000001</v>
      </c>
      <c r="F33" s="729">
        <f t="shared" si="0"/>
        <v>0.98140466507419877</v>
      </c>
    </row>
    <row r="34" spans="1:6" s="351" customFormat="1" ht="10.5" customHeight="1">
      <c r="A34" s="728"/>
      <c r="B34" s="680" t="s">
        <v>398</v>
      </c>
      <c r="C34" s="682">
        <v>0</v>
      </c>
      <c r="D34" s="682">
        <v>0</v>
      </c>
      <c r="E34" s="682">
        <v>0</v>
      </c>
      <c r="F34" s="729" t="str">
        <f t="shared" si="0"/>
        <v/>
      </c>
    </row>
    <row r="35" spans="1:6" s="351" customFormat="1" ht="10.5" customHeight="1">
      <c r="A35" s="728"/>
      <c r="B35" s="680" t="s">
        <v>399</v>
      </c>
      <c r="C35" s="682">
        <v>0</v>
      </c>
      <c r="D35" s="682">
        <v>0</v>
      </c>
      <c r="E35" s="682">
        <v>0</v>
      </c>
      <c r="F35" s="729" t="str">
        <f t="shared" si="0"/>
        <v/>
      </c>
    </row>
    <row r="36" spans="1:6" s="351" customFormat="1" ht="10.5" customHeight="1">
      <c r="A36" s="728"/>
      <c r="B36" s="680" t="s">
        <v>400</v>
      </c>
      <c r="C36" s="682">
        <v>99.840260000000001</v>
      </c>
      <c r="D36" s="682">
        <v>84.296870000000013</v>
      </c>
      <c r="E36" s="682">
        <v>107.44102000000001</v>
      </c>
      <c r="F36" s="729">
        <f t="shared" si="0"/>
        <v>0.18438869675706804</v>
      </c>
    </row>
    <row r="37" spans="1:6" s="351" customFormat="1" ht="10.5" customHeight="1">
      <c r="A37" s="730" t="s">
        <v>401</v>
      </c>
      <c r="B37" s="557"/>
      <c r="C37" s="559">
        <v>337.84769000000006</v>
      </c>
      <c r="D37" s="559">
        <v>339.57974999999999</v>
      </c>
      <c r="E37" s="559">
        <v>333.14267999999998</v>
      </c>
      <c r="F37" s="731">
        <f t="shared" si="0"/>
        <v>-5.1005986075434162E-3</v>
      </c>
    </row>
    <row r="38" spans="1:6" s="351" customFormat="1" ht="10.5" customHeight="1">
      <c r="A38" s="728" t="s">
        <v>110</v>
      </c>
      <c r="B38" s="680" t="s">
        <v>242</v>
      </c>
      <c r="C38" s="682">
        <v>0</v>
      </c>
      <c r="D38" s="682">
        <v>0</v>
      </c>
      <c r="E38" s="682">
        <v>0</v>
      </c>
      <c r="F38" s="729" t="str">
        <f t="shared" si="0"/>
        <v/>
      </c>
    </row>
    <row r="39" spans="1:6" s="351" customFormat="1" ht="10.5" customHeight="1">
      <c r="A39" s="730" t="s">
        <v>402</v>
      </c>
      <c r="B39" s="557"/>
      <c r="C39" s="559">
        <v>0</v>
      </c>
      <c r="D39" s="559">
        <v>0</v>
      </c>
      <c r="E39" s="559">
        <v>0</v>
      </c>
      <c r="F39" s="731" t="str">
        <f t="shared" si="0"/>
        <v/>
      </c>
    </row>
    <row r="40" spans="1:6" s="351" customFormat="1" ht="10.5" customHeight="1">
      <c r="A40" s="728" t="s">
        <v>101</v>
      </c>
      <c r="B40" s="680" t="s">
        <v>521</v>
      </c>
      <c r="C40" s="682">
        <v>0</v>
      </c>
      <c r="D40" s="682">
        <v>291.77163999999999</v>
      </c>
      <c r="E40" s="682">
        <v>184.45033000000001</v>
      </c>
      <c r="F40" s="729">
        <f t="shared" si="0"/>
        <v>-1</v>
      </c>
    </row>
    <row r="41" spans="1:6" s="351" customFormat="1" ht="10.5" customHeight="1">
      <c r="A41" s="730" t="s">
        <v>403</v>
      </c>
      <c r="B41" s="557"/>
      <c r="C41" s="559">
        <v>0</v>
      </c>
      <c r="D41" s="559">
        <v>291.77163999999999</v>
      </c>
      <c r="E41" s="559">
        <v>184.45033000000001</v>
      </c>
      <c r="F41" s="731">
        <f t="shared" si="0"/>
        <v>-1</v>
      </c>
    </row>
    <row r="42" spans="1:6" s="351" customFormat="1" ht="10.5" customHeight="1">
      <c r="A42" s="728" t="s">
        <v>106</v>
      </c>
      <c r="B42" s="680" t="s">
        <v>404</v>
      </c>
      <c r="C42" s="682">
        <v>0</v>
      </c>
      <c r="D42" s="682">
        <v>0</v>
      </c>
      <c r="E42" s="682">
        <v>0</v>
      </c>
      <c r="F42" s="729" t="str">
        <f t="shared" si="0"/>
        <v/>
      </c>
    </row>
    <row r="43" spans="1:6" s="351" customFormat="1" ht="10.5" customHeight="1">
      <c r="A43" s="730" t="s">
        <v>405</v>
      </c>
      <c r="B43" s="557"/>
      <c r="C43" s="559">
        <v>0</v>
      </c>
      <c r="D43" s="559">
        <v>0</v>
      </c>
      <c r="E43" s="559">
        <v>0</v>
      </c>
      <c r="F43" s="731" t="str">
        <f t="shared" si="0"/>
        <v/>
      </c>
    </row>
    <row r="44" spans="1:6" s="434" customFormat="1" ht="12" customHeight="1">
      <c r="A44" s="538" t="s">
        <v>465</v>
      </c>
      <c r="B44" s="552"/>
      <c r="C44" s="673">
        <v>7017.5713699999997</v>
      </c>
      <c r="D44" s="537">
        <v>6884.591339999999</v>
      </c>
      <c r="E44" s="537">
        <v>6462.4026000000013</v>
      </c>
      <c r="F44" s="703">
        <f>+IF(D44=0,"",C44/D44-1)</f>
        <v>1.9315602543810595E-2</v>
      </c>
    </row>
    <row r="45" spans="1:6" s="434" customFormat="1" ht="12" customHeight="1">
      <c r="A45" s="552" t="s">
        <v>406</v>
      </c>
      <c r="B45" s="538"/>
      <c r="C45" s="537">
        <f>+'8. Max Potencia'!D16</f>
        <v>0</v>
      </c>
      <c r="D45" s="537">
        <f>+'8. Max Potencia'!E16</f>
        <v>0</v>
      </c>
      <c r="E45" s="540">
        <v>0</v>
      </c>
      <c r="F45" s="704">
        <v>0</v>
      </c>
    </row>
    <row r="46" spans="1:6" s="434" customFormat="1" ht="12" customHeight="1">
      <c r="A46" s="705" t="s">
        <v>407</v>
      </c>
      <c r="B46" s="705"/>
      <c r="C46" s="537">
        <v>0</v>
      </c>
      <c r="D46" s="537">
        <v>0</v>
      </c>
      <c r="E46" s="540">
        <v>0</v>
      </c>
      <c r="F46" s="704">
        <v>0</v>
      </c>
    </row>
    <row r="47" spans="1:6" ht="12" customHeight="1">
      <c r="A47" s="825" t="s">
        <v>589</v>
      </c>
      <c r="B47" s="705"/>
      <c r="C47" s="537">
        <f>+C44+C45</f>
        <v>7017.5713699999997</v>
      </c>
      <c r="D47" s="537">
        <f t="shared" ref="D47:E47" si="1">+D44+D45</f>
        <v>6884.591339999999</v>
      </c>
      <c r="E47" s="537">
        <f t="shared" si="1"/>
        <v>6462.4026000000013</v>
      </c>
      <c r="F47" s="703">
        <f>+IF(D47=0,"",C47/D47-1)</f>
        <v>1.9315602543810595E-2</v>
      </c>
    </row>
    <row r="48" spans="1:6" ht="12" customHeight="1">
      <c r="A48" s="680"/>
      <c r="B48" s="683"/>
      <c r="C48" s="683"/>
      <c r="D48" s="683"/>
      <c r="E48" s="683"/>
      <c r="F48" s="683"/>
    </row>
    <row r="49" spans="1:7" ht="27.75" customHeight="1">
      <c r="A49" s="957" t="s">
        <v>535</v>
      </c>
      <c r="B49" s="957"/>
      <c r="C49" s="957"/>
      <c r="D49" s="957"/>
      <c r="E49" s="957"/>
      <c r="F49" s="957"/>
    </row>
    <row r="50" spans="1:7" ht="15" customHeight="1">
      <c r="A50" s="970" t="s">
        <v>558</v>
      </c>
      <c r="B50" s="970"/>
      <c r="C50" s="970"/>
      <c r="D50" s="970"/>
      <c r="E50" s="970"/>
      <c r="F50" s="970"/>
      <c r="G50" s="765"/>
    </row>
    <row r="51" spans="1:7" ht="15" customHeight="1">
      <c r="A51" s="970" t="s">
        <v>559</v>
      </c>
      <c r="B51" s="970"/>
      <c r="C51" s="970"/>
      <c r="D51" s="970"/>
      <c r="E51" s="970"/>
      <c r="F51" s="970"/>
      <c r="G51" s="765"/>
    </row>
    <row r="52" spans="1:7" ht="15" customHeight="1">
      <c r="A52" s="970" t="s">
        <v>560</v>
      </c>
      <c r="B52" s="970"/>
      <c r="C52" s="970"/>
      <c r="D52" s="970"/>
      <c r="E52" s="970"/>
      <c r="F52" s="970"/>
      <c r="G52" s="765"/>
    </row>
    <row r="53" spans="1:7" ht="15" customHeight="1">
      <c r="A53" s="970" t="s">
        <v>561</v>
      </c>
      <c r="B53" s="970"/>
      <c r="C53" s="970"/>
      <c r="D53" s="970"/>
      <c r="E53" s="970"/>
      <c r="F53" s="970"/>
      <c r="G53" s="765"/>
    </row>
    <row r="54" spans="1:7" ht="15" customHeight="1">
      <c r="A54" s="970" t="s">
        <v>577</v>
      </c>
      <c r="B54" s="970"/>
      <c r="C54" s="970"/>
      <c r="D54" s="970"/>
      <c r="E54" s="970"/>
      <c r="F54" s="970"/>
      <c r="G54" s="46"/>
    </row>
    <row r="55" spans="1:7" ht="15" customHeight="1">
      <c r="A55" s="970" t="s">
        <v>576</v>
      </c>
      <c r="B55" s="970"/>
      <c r="C55" s="970"/>
      <c r="D55" s="970"/>
      <c r="E55" s="970"/>
      <c r="F55" s="970"/>
      <c r="G55" s="46"/>
    </row>
    <row r="56" spans="1:7" ht="22.5" customHeight="1">
      <c r="A56" s="956" t="s">
        <v>585</v>
      </c>
      <c r="B56" s="956"/>
      <c r="C56" s="956"/>
      <c r="D56" s="956"/>
      <c r="E56" s="956"/>
      <c r="F56" s="956"/>
      <c r="G56" s="838"/>
    </row>
    <row r="57" spans="1:7" ht="15.75" customHeight="1">
      <c r="A57" s="970" t="s">
        <v>583</v>
      </c>
      <c r="B57" s="970"/>
      <c r="C57" s="970"/>
      <c r="D57" s="970"/>
      <c r="E57" s="970"/>
      <c r="F57" s="970"/>
      <c r="G57" s="797"/>
    </row>
    <row r="58" spans="1:7" ht="12" customHeight="1">
      <c r="A58" s="970" t="s">
        <v>616</v>
      </c>
      <c r="B58" s="970"/>
      <c r="C58" s="970"/>
      <c r="D58" s="970"/>
      <c r="E58" s="970"/>
      <c r="F58" s="970"/>
      <c r="G58" s="797"/>
    </row>
    <row r="59" spans="1:7" ht="12" customHeight="1">
      <c r="A59" s="970" t="s">
        <v>649</v>
      </c>
      <c r="B59" s="970"/>
      <c r="C59" s="970"/>
      <c r="D59" s="970"/>
      <c r="E59" s="970"/>
      <c r="F59" s="970"/>
      <c r="G59" s="797"/>
    </row>
    <row r="60" spans="1:7" ht="12" customHeight="1">
      <c r="A60" s="351" t="s">
        <v>758</v>
      </c>
      <c r="G60" s="797"/>
    </row>
    <row r="61" spans="1:7" ht="12" customHeight="1">
      <c r="A61" s="351"/>
    </row>
    <row r="62" spans="1:7" ht="12" customHeight="1">
      <c r="A62" s="351"/>
    </row>
  </sheetData>
  <mergeCells count="14">
    <mergeCell ref="A57:F57"/>
    <mergeCell ref="A58:F58"/>
    <mergeCell ref="A59:F59"/>
    <mergeCell ref="A1:A4"/>
    <mergeCell ref="B1:B4"/>
    <mergeCell ref="C1:F1"/>
    <mergeCell ref="A49:F49"/>
    <mergeCell ref="A56:F56"/>
    <mergeCell ref="A50:F50"/>
    <mergeCell ref="A51:F51"/>
    <mergeCell ref="A52:F52"/>
    <mergeCell ref="A53:F53"/>
    <mergeCell ref="A54:F54"/>
    <mergeCell ref="A55:F55"/>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rgb="FF008FC8"/>
  </sheetPr>
  <dimension ref="A1:M65"/>
  <sheetViews>
    <sheetView showGridLines="0" view="pageBreakPreview" zoomScale="130" zoomScaleNormal="100" zoomScaleSheetLayoutView="130" zoomScalePageLayoutView="145" workbookViewId="0"/>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85" t="s">
        <v>419</v>
      </c>
      <c r="B3" s="283"/>
    </row>
    <row r="4" spans="1:13" ht="11.25" customHeight="1">
      <c r="B4" s="283"/>
    </row>
    <row r="5" spans="1:13" ht="11.25" customHeight="1">
      <c r="A5" s="284" t="s">
        <v>476</v>
      </c>
      <c r="C5" s="674">
        <v>7017.5709999999999</v>
      </c>
    </row>
    <row r="6" spans="1:13" ht="11.25" customHeight="1">
      <c r="A6" s="284" t="s">
        <v>420</v>
      </c>
      <c r="C6" s="578">
        <v>43801</v>
      </c>
    </row>
    <row r="7" spans="1:13" ht="11.25" customHeight="1">
      <c r="A7" s="284" t="s">
        <v>421</v>
      </c>
      <c r="C7" s="579">
        <v>0.8125</v>
      </c>
    </row>
    <row r="8" spans="1:13" ht="11.25" customHeight="1"/>
    <row r="9" spans="1:13" ht="14.25" customHeight="1">
      <c r="A9" s="971" t="s">
        <v>412</v>
      </c>
      <c r="B9" s="972" t="s">
        <v>413</v>
      </c>
      <c r="C9" s="972"/>
      <c r="D9" s="972"/>
      <c r="E9" s="972"/>
      <c r="F9" s="972"/>
      <c r="G9" s="972" t="s">
        <v>414</v>
      </c>
      <c r="H9" s="972"/>
      <c r="I9" s="972"/>
      <c r="J9" s="972"/>
      <c r="K9" s="972"/>
    </row>
    <row r="10" spans="1:13" ht="26.25" customHeight="1">
      <c r="A10" s="971"/>
      <c r="B10" s="546" t="s">
        <v>415</v>
      </c>
      <c r="C10" s="546" t="s">
        <v>201</v>
      </c>
      <c r="D10" s="546" t="s">
        <v>406</v>
      </c>
      <c r="E10" s="546" t="s">
        <v>407</v>
      </c>
      <c r="F10" s="547" t="s">
        <v>418</v>
      </c>
      <c r="G10" s="546" t="s">
        <v>415</v>
      </c>
      <c r="H10" s="546" t="s">
        <v>201</v>
      </c>
      <c r="I10" s="546" t="s">
        <v>406</v>
      </c>
      <c r="J10" s="546" t="s">
        <v>407</v>
      </c>
      <c r="K10" s="547" t="s">
        <v>418</v>
      </c>
      <c r="L10" s="36"/>
      <c r="M10" s="46"/>
    </row>
    <row r="11" spans="1:13" ht="11.25" customHeight="1">
      <c r="A11" s="971"/>
      <c r="B11" s="546" t="s">
        <v>416</v>
      </c>
      <c r="C11" s="546" t="s">
        <v>417</v>
      </c>
      <c r="D11" s="546" t="s">
        <v>417</v>
      </c>
      <c r="E11" s="546" t="s">
        <v>417</v>
      </c>
      <c r="F11" s="546" t="s">
        <v>417</v>
      </c>
      <c r="G11" s="546" t="s">
        <v>416</v>
      </c>
      <c r="H11" s="546" t="s">
        <v>417</v>
      </c>
      <c r="I11" s="546" t="s">
        <v>417</v>
      </c>
      <c r="J11" s="546" t="s">
        <v>417</v>
      </c>
      <c r="K11" s="546" t="s">
        <v>417</v>
      </c>
      <c r="L11" s="36"/>
      <c r="M11" s="46"/>
    </row>
    <row r="12" spans="1:13" ht="11.25" customHeight="1">
      <c r="A12" s="812" t="s">
        <v>711</v>
      </c>
      <c r="B12" s="836" t="s">
        <v>503</v>
      </c>
      <c r="C12" s="813">
        <v>5992.71713</v>
      </c>
      <c r="D12" s="813">
        <v>0</v>
      </c>
      <c r="E12" s="813">
        <v>0</v>
      </c>
      <c r="F12" s="813">
        <v>5992.71713</v>
      </c>
      <c r="G12" s="813" t="s">
        <v>556</v>
      </c>
      <c r="H12" s="813">
        <v>6707.2970500000001</v>
      </c>
      <c r="I12" s="813">
        <v>0</v>
      </c>
      <c r="J12" s="813">
        <v>0</v>
      </c>
      <c r="K12" s="813">
        <v>6707.2970500000001</v>
      </c>
      <c r="L12" s="205"/>
      <c r="M12" s="46"/>
    </row>
    <row r="13" spans="1:13" ht="11.25" customHeight="1">
      <c r="A13" s="812" t="s">
        <v>712</v>
      </c>
      <c r="B13" s="836" t="s">
        <v>623</v>
      </c>
      <c r="C13" s="813">
        <v>6929.5522899999996</v>
      </c>
      <c r="D13" s="813">
        <v>0</v>
      </c>
      <c r="E13" s="813">
        <v>0</v>
      </c>
      <c r="F13" s="813">
        <v>6929.5522899999996</v>
      </c>
      <c r="G13" s="814" t="s">
        <v>564</v>
      </c>
      <c r="H13" s="814">
        <v>7017.5713699999997</v>
      </c>
      <c r="I13" s="814">
        <v>0</v>
      </c>
      <c r="J13" s="814">
        <v>0</v>
      </c>
      <c r="K13" s="814">
        <v>7017.5713699999997</v>
      </c>
      <c r="L13" s="5"/>
    </row>
    <row r="14" spans="1:13" ht="11.25" customHeight="1">
      <c r="A14" s="812" t="s">
        <v>713</v>
      </c>
      <c r="B14" s="836" t="s">
        <v>479</v>
      </c>
      <c r="C14" s="813">
        <v>6879.1738100000002</v>
      </c>
      <c r="D14" s="813">
        <v>0</v>
      </c>
      <c r="E14" s="813">
        <v>0</v>
      </c>
      <c r="F14" s="813">
        <v>6879.1738100000002</v>
      </c>
      <c r="G14" s="813" t="s">
        <v>564</v>
      </c>
      <c r="H14" s="813">
        <v>6915.3850300000004</v>
      </c>
      <c r="I14" s="813">
        <v>0</v>
      </c>
      <c r="J14" s="813">
        <v>0</v>
      </c>
      <c r="K14" s="813">
        <v>6915.3850300000004</v>
      </c>
      <c r="L14" s="15"/>
    </row>
    <row r="15" spans="1:13" ht="11.25" customHeight="1">
      <c r="A15" s="812" t="s">
        <v>714</v>
      </c>
      <c r="B15" s="836" t="s">
        <v>715</v>
      </c>
      <c r="C15" s="813">
        <v>6882.1871099999998</v>
      </c>
      <c r="D15" s="813">
        <v>0</v>
      </c>
      <c r="E15" s="813">
        <v>0</v>
      </c>
      <c r="F15" s="813">
        <v>6882.1871099999998</v>
      </c>
      <c r="G15" s="813" t="s">
        <v>564</v>
      </c>
      <c r="H15" s="813">
        <v>6931.29378</v>
      </c>
      <c r="I15" s="813">
        <v>0</v>
      </c>
      <c r="J15" s="813">
        <v>0</v>
      </c>
      <c r="K15" s="813">
        <v>6931.29378</v>
      </c>
      <c r="L15" s="12"/>
    </row>
    <row r="16" spans="1:13" ht="11.25" customHeight="1">
      <c r="A16" s="812" t="s">
        <v>716</v>
      </c>
      <c r="B16" s="836" t="s">
        <v>468</v>
      </c>
      <c r="C16" s="813">
        <v>6902.8066200000003</v>
      </c>
      <c r="D16" s="813">
        <v>0</v>
      </c>
      <c r="E16" s="813">
        <v>0</v>
      </c>
      <c r="F16" s="813">
        <v>6902.8066200000003</v>
      </c>
      <c r="G16" s="813" t="s">
        <v>565</v>
      </c>
      <c r="H16" s="813">
        <v>7010.9312</v>
      </c>
      <c r="I16" s="813">
        <v>0</v>
      </c>
      <c r="J16" s="813">
        <v>0</v>
      </c>
      <c r="K16" s="813">
        <v>7010.9312</v>
      </c>
      <c r="L16" s="22"/>
    </row>
    <row r="17" spans="1:12" ht="11.25" customHeight="1">
      <c r="A17" s="812" t="s">
        <v>717</v>
      </c>
      <c r="B17" s="837" t="s">
        <v>605</v>
      </c>
      <c r="C17" s="814">
        <v>6986.1538300000002</v>
      </c>
      <c r="D17" s="814">
        <v>0</v>
      </c>
      <c r="E17" s="814">
        <v>0</v>
      </c>
      <c r="F17" s="814">
        <v>6986.1538300000002</v>
      </c>
      <c r="G17" s="813" t="s">
        <v>512</v>
      </c>
      <c r="H17" s="813">
        <v>6991.1737400000002</v>
      </c>
      <c r="I17" s="813">
        <v>0</v>
      </c>
      <c r="J17" s="813">
        <v>0</v>
      </c>
      <c r="K17" s="813">
        <v>6991.1737400000002</v>
      </c>
      <c r="L17" s="22"/>
    </row>
    <row r="18" spans="1:12" ht="11.25" customHeight="1">
      <c r="A18" s="812" t="s">
        <v>718</v>
      </c>
      <c r="B18" s="836" t="s">
        <v>479</v>
      </c>
      <c r="C18" s="813">
        <v>6702.5153899999996</v>
      </c>
      <c r="D18" s="813">
        <v>0</v>
      </c>
      <c r="E18" s="813">
        <v>0</v>
      </c>
      <c r="F18" s="813">
        <v>6702.5153899999996</v>
      </c>
      <c r="G18" s="813" t="s">
        <v>556</v>
      </c>
      <c r="H18" s="813">
        <v>6962.6723199999997</v>
      </c>
      <c r="I18" s="813">
        <v>0</v>
      </c>
      <c r="J18" s="813">
        <v>0</v>
      </c>
      <c r="K18" s="813">
        <v>6962.6723199999997</v>
      </c>
      <c r="L18" s="22"/>
    </row>
    <row r="19" spans="1:12" ht="11.25" customHeight="1">
      <c r="A19" s="812" t="s">
        <v>719</v>
      </c>
      <c r="B19" s="836" t="s">
        <v>503</v>
      </c>
      <c r="C19" s="813">
        <v>6128.16435</v>
      </c>
      <c r="D19" s="813">
        <v>0</v>
      </c>
      <c r="E19" s="813">
        <v>0</v>
      </c>
      <c r="F19" s="813">
        <v>6128.16435</v>
      </c>
      <c r="G19" s="813" t="s">
        <v>579</v>
      </c>
      <c r="H19" s="813">
        <v>6757.7043899999999</v>
      </c>
      <c r="I19" s="813">
        <v>0</v>
      </c>
      <c r="J19" s="813">
        <v>0</v>
      </c>
      <c r="K19" s="813">
        <v>6757.7043899999999</v>
      </c>
      <c r="L19" s="22"/>
    </row>
    <row r="20" spans="1:12" ht="11.25" customHeight="1">
      <c r="A20" s="812" t="s">
        <v>720</v>
      </c>
      <c r="B20" s="836" t="s">
        <v>606</v>
      </c>
      <c r="C20" s="813">
        <v>6910.98596</v>
      </c>
      <c r="D20" s="813">
        <v>0</v>
      </c>
      <c r="E20" s="813">
        <v>0</v>
      </c>
      <c r="F20" s="813">
        <v>6910.98596</v>
      </c>
      <c r="G20" s="813" t="s">
        <v>564</v>
      </c>
      <c r="H20" s="813">
        <v>6964.34094</v>
      </c>
      <c r="I20" s="813">
        <v>0</v>
      </c>
      <c r="J20" s="813">
        <v>0</v>
      </c>
      <c r="K20" s="813">
        <v>6964.34094</v>
      </c>
      <c r="L20" s="24"/>
    </row>
    <row r="21" spans="1:12" ht="11.25" customHeight="1">
      <c r="A21" s="812" t="s">
        <v>721</v>
      </c>
      <c r="B21" s="836" t="s">
        <v>467</v>
      </c>
      <c r="C21" s="813">
        <v>6912.3825900000002</v>
      </c>
      <c r="D21" s="813">
        <v>0</v>
      </c>
      <c r="E21" s="813">
        <v>0</v>
      </c>
      <c r="F21" s="813">
        <v>6912.3825900000002</v>
      </c>
      <c r="G21" s="813" t="s">
        <v>722</v>
      </c>
      <c r="H21" s="813">
        <v>6973.5420299999996</v>
      </c>
      <c r="I21" s="813">
        <v>0</v>
      </c>
      <c r="J21" s="813">
        <v>0</v>
      </c>
      <c r="K21" s="813">
        <v>6973.5420299999996</v>
      </c>
      <c r="L21" s="22"/>
    </row>
    <row r="22" spans="1:12" ht="11.25" customHeight="1">
      <c r="A22" s="812" t="s">
        <v>723</v>
      </c>
      <c r="B22" s="836" t="s">
        <v>593</v>
      </c>
      <c r="C22" s="813">
        <v>6784.2169999999996</v>
      </c>
      <c r="D22" s="813">
        <v>0</v>
      </c>
      <c r="E22" s="813">
        <v>0</v>
      </c>
      <c r="F22" s="813">
        <v>6784.2169999999996</v>
      </c>
      <c r="G22" s="813" t="s">
        <v>564</v>
      </c>
      <c r="H22" s="813">
        <v>6839.7529599999998</v>
      </c>
      <c r="I22" s="813">
        <v>0</v>
      </c>
      <c r="J22" s="813">
        <v>0</v>
      </c>
      <c r="K22" s="813">
        <v>6839.7529599999998</v>
      </c>
      <c r="L22" s="22"/>
    </row>
    <row r="23" spans="1:12" ht="11.25" customHeight="1">
      <c r="A23" s="812" t="s">
        <v>724</v>
      </c>
      <c r="B23" s="836" t="s">
        <v>479</v>
      </c>
      <c r="C23" s="813">
        <v>6794.2700299999997</v>
      </c>
      <c r="D23" s="813">
        <v>0</v>
      </c>
      <c r="E23" s="813">
        <v>0</v>
      </c>
      <c r="F23" s="813">
        <v>6794.2700299999997</v>
      </c>
      <c r="G23" s="813" t="s">
        <v>587</v>
      </c>
      <c r="H23" s="813">
        <v>6734.2002499999999</v>
      </c>
      <c r="I23" s="813">
        <v>48.04</v>
      </c>
      <c r="J23" s="813">
        <v>0</v>
      </c>
      <c r="K23" s="813">
        <v>6782.2402499999998</v>
      </c>
      <c r="L23" s="22"/>
    </row>
    <row r="24" spans="1:12" ht="11.25" customHeight="1">
      <c r="A24" s="812" t="s">
        <v>725</v>
      </c>
      <c r="B24" s="836" t="s">
        <v>726</v>
      </c>
      <c r="C24" s="813">
        <v>6794.7606800000003</v>
      </c>
      <c r="D24" s="813">
        <v>0</v>
      </c>
      <c r="E24" s="813">
        <v>0</v>
      </c>
      <c r="F24" s="813">
        <v>6794.7606800000003</v>
      </c>
      <c r="G24" s="813" t="s">
        <v>587</v>
      </c>
      <c r="H24" s="813">
        <v>6827.1568399999996</v>
      </c>
      <c r="I24" s="813">
        <v>0</v>
      </c>
      <c r="J24" s="813">
        <v>0</v>
      </c>
      <c r="K24" s="813">
        <v>6827.1568399999996</v>
      </c>
      <c r="L24" s="22"/>
    </row>
    <row r="25" spans="1:12" ht="11.25" customHeight="1">
      <c r="A25" s="812" t="s">
        <v>727</v>
      </c>
      <c r="B25" s="836" t="s">
        <v>468</v>
      </c>
      <c r="C25" s="813">
        <v>6688.0974999999999</v>
      </c>
      <c r="D25" s="813">
        <v>0</v>
      </c>
      <c r="E25" s="813">
        <v>0</v>
      </c>
      <c r="F25" s="813">
        <v>6688.0974999999999</v>
      </c>
      <c r="G25" s="813" t="s">
        <v>565</v>
      </c>
      <c r="H25" s="813">
        <v>6899.1966400000001</v>
      </c>
      <c r="I25" s="813">
        <v>0</v>
      </c>
      <c r="J25" s="813">
        <v>0</v>
      </c>
      <c r="K25" s="813">
        <v>6899.1966400000001</v>
      </c>
      <c r="L25" s="22"/>
    </row>
    <row r="26" spans="1:12" ht="11.25" customHeight="1">
      <c r="A26" s="812" t="s">
        <v>728</v>
      </c>
      <c r="B26" s="836" t="s">
        <v>503</v>
      </c>
      <c r="C26" s="813">
        <v>6107.3838100000003</v>
      </c>
      <c r="D26" s="813">
        <v>0</v>
      </c>
      <c r="E26" s="813">
        <v>0</v>
      </c>
      <c r="F26" s="813">
        <v>6107.3838100000003</v>
      </c>
      <c r="G26" s="813" t="s">
        <v>564</v>
      </c>
      <c r="H26" s="813">
        <v>6639.2197299999998</v>
      </c>
      <c r="I26" s="813">
        <v>0</v>
      </c>
      <c r="J26" s="813">
        <v>0</v>
      </c>
      <c r="K26" s="813">
        <v>6639.2197299999998</v>
      </c>
      <c r="L26" s="22"/>
    </row>
    <row r="27" spans="1:12" ht="11.25" customHeight="1">
      <c r="A27" s="812" t="s">
        <v>729</v>
      </c>
      <c r="B27" s="836" t="s">
        <v>468</v>
      </c>
      <c r="C27" s="813">
        <v>6845.1025799999998</v>
      </c>
      <c r="D27" s="813">
        <v>0</v>
      </c>
      <c r="E27" s="813">
        <v>0</v>
      </c>
      <c r="F27" s="813">
        <v>6845.1025799999998</v>
      </c>
      <c r="G27" s="813" t="s">
        <v>587</v>
      </c>
      <c r="H27" s="813">
        <v>6842.7956199999999</v>
      </c>
      <c r="I27" s="813">
        <v>0</v>
      </c>
      <c r="J27" s="813">
        <v>0</v>
      </c>
      <c r="K27" s="813">
        <v>6842.7956199999999</v>
      </c>
      <c r="L27" s="22"/>
    </row>
    <row r="28" spans="1:12" ht="11.25" customHeight="1">
      <c r="A28" s="812" t="s">
        <v>730</v>
      </c>
      <c r="B28" s="836" t="s">
        <v>605</v>
      </c>
      <c r="C28" s="813">
        <v>6944.7029300000004</v>
      </c>
      <c r="D28" s="813">
        <v>0</v>
      </c>
      <c r="E28" s="813">
        <v>0</v>
      </c>
      <c r="F28" s="813">
        <v>6944.7029300000004</v>
      </c>
      <c r="G28" s="813" t="s">
        <v>565</v>
      </c>
      <c r="H28" s="813">
        <v>6927.2617300000002</v>
      </c>
      <c r="I28" s="813">
        <v>0</v>
      </c>
      <c r="J28" s="813">
        <v>0</v>
      </c>
      <c r="K28" s="813">
        <v>6927.2617300000002</v>
      </c>
      <c r="L28" s="30"/>
    </row>
    <row r="29" spans="1:12" ht="11.25" customHeight="1">
      <c r="A29" s="812" t="s">
        <v>731</v>
      </c>
      <c r="B29" s="836" t="s">
        <v>726</v>
      </c>
      <c r="C29" s="813">
        <v>6904.7787099999996</v>
      </c>
      <c r="D29" s="813">
        <v>0</v>
      </c>
      <c r="E29" s="813">
        <v>0</v>
      </c>
      <c r="F29" s="813">
        <v>6904.7787099999996</v>
      </c>
      <c r="G29" s="813" t="s">
        <v>556</v>
      </c>
      <c r="H29" s="813">
        <v>6951.7937300000003</v>
      </c>
      <c r="I29" s="813">
        <v>0</v>
      </c>
      <c r="J29" s="813">
        <v>0</v>
      </c>
      <c r="K29" s="813">
        <v>6951.7937300000003</v>
      </c>
      <c r="L29" s="22"/>
    </row>
    <row r="30" spans="1:12" ht="11.25" customHeight="1">
      <c r="A30" s="812" t="s">
        <v>732</v>
      </c>
      <c r="B30" s="836" t="s">
        <v>606</v>
      </c>
      <c r="C30" s="813">
        <v>6930.2132300000003</v>
      </c>
      <c r="D30" s="813">
        <v>0</v>
      </c>
      <c r="E30" s="813">
        <v>0</v>
      </c>
      <c r="F30" s="813">
        <v>6930.2132300000003</v>
      </c>
      <c r="G30" s="813" t="s">
        <v>579</v>
      </c>
      <c r="H30" s="813">
        <v>6890.9886399999996</v>
      </c>
      <c r="I30" s="813">
        <v>0</v>
      </c>
      <c r="J30" s="813">
        <v>0</v>
      </c>
      <c r="K30" s="813">
        <v>6890.9886399999996</v>
      </c>
      <c r="L30" s="22"/>
    </row>
    <row r="31" spans="1:12" ht="11.25" customHeight="1">
      <c r="A31" s="812" t="s">
        <v>733</v>
      </c>
      <c r="B31" s="836" t="s">
        <v>467</v>
      </c>
      <c r="C31" s="813">
        <v>6875.9585999999999</v>
      </c>
      <c r="D31" s="813">
        <v>0</v>
      </c>
      <c r="E31" s="813">
        <v>0</v>
      </c>
      <c r="F31" s="813">
        <v>6875.9585999999999</v>
      </c>
      <c r="G31" s="813" t="s">
        <v>578</v>
      </c>
      <c r="H31" s="813">
        <v>6754.7806899999996</v>
      </c>
      <c r="I31" s="813">
        <v>0</v>
      </c>
      <c r="J31" s="813">
        <v>0</v>
      </c>
      <c r="K31" s="813">
        <v>6754.7806899999996</v>
      </c>
      <c r="L31" s="15"/>
    </row>
    <row r="32" spans="1:12" ht="11.25" customHeight="1">
      <c r="A32" s="812" t="s">
        <v>734</v>
      </c>
      <c r="B32" s="836" t="s">
        <v>467</v>
      </c>
      <c r="C32" s="813">
        <v>6726.7376700000004</v>
      </c>
      <c r="D32" s="813">
        <v>0</v>
      </c>
      <c r="E32" s="813">
        <v>0</v>
      </c>
      <c r="F32" s="813">
        <v>6726.7376700000004</v>
      </c>
      <c r="G32" s="813" t="s">
        <v>735</v>
      </c>
      <c r="H32" s="813">
        <v>6803.0977599999997</v>
      </c>
      <c r="I32" s="813">
        <v>0</v>
      </c>
      <c r="J32" s="813">
        <v>0</v>
      </c>
      <c r="K32" s="813">
        <v>6803.0977599999997</v>
      </c>
      <c r="L32" s="16"/>
    </row>
    <row r="33" spans="1:12" ht="11.25" customHeight="1">
      <c r="A33" s="812" t="s">
        <v>736</v>
      </c>
      <c r="B33" s="836" t="s">
        <v>503</v>
      </c>
      <c r="C33" s="813">
        <v>6136.5964999999997</v>
      </c>
      <c r="D33" s="813">
        <v>0</v>
      </c>
      <c r="E33" s="813">
        <v>0</v>
      </c>
      <c r="F33" s="813">
        <v>6136.5964999999997</v>
      </c>
      <c r="G33" s="813" t="s">
        <v>622</v>
      </c>
      <c r="H33" s="813">
        <v>6738.6613200000002</v>
      </c>
      <c r="I33" s="813">
        <v>0</v>
      </c>
      <c r="J33" s="813">
        <v>0</v>
      </c>
      <c r="K33" s="813">
        <v>6738.6613200000002</v>
      </c>
      <c r="L33" s="15"/>
    </row>
    <row r="34" spans="1:12" ht="11.25" customHeight="1">
      <c r="A34" s="812" t="s">
        <v>737</v>
      </c>
      <c r="B34" s="836" t="s">
        <v>467</v>
      </c>
      <c r="C34" s="813">
        <v>6843.1896800000004</v>
      </c>
      <c r="D34" s="813">
        <v>0</v>
      </c>
      <c r="E34" s="813">
        <v>0</v>
      </c>
      <c r="F34" s="813">
        <v>6843.1896800000004</v>
      </c>
      <c r="G34" s="813" t="s">
        <v>564</v>
      </c>
      <c r="H34" s="813">
        <v>6698.0858200000002</v>
      </c>
      <c r="I34" s="813">
        <v>0</v>
      </c>
      <c r="J34" s="813">
        <v>0</v>
      </c>
      <c r="K34" s="813">
        <v>6698.0858200000002</v>
      </c>
      <c r="L34" s="15"/>
    </row>
    <row r="35" spans="1:12" ht="11.25" customHeight="1">
      <c r="A35" s="812" t="s">
        <v>738</v>
      </c>
      <c r="B35" s="836" t="s">
        <v>593</v>
      </c>
      <c r="C35" s="813">
        <v>6400.7514799999999</v>
      </c>
      <c r="D35" s="813">
        <v>0</v>
      </c>
      <c r="E35" s="813">
        <v>0</v>
      </c>
      <c r="F35" s="813">
        <v>6400.7514799999999</v>
      </c>
      <c r="G35" s="813" t="s">
        <v>587</v>
      </c>
      <c r="H35" s="813">
        <v>6461.1329400000004</v>
      </c>
      <c r="I35" s="813">
        <v>0</v>
      </c>
      <c r="J35" s="813">
        <v>0</v>
      </c>
      <c r="K35" s="813">
        <v>6461.1329400000004</v>
      </c>
      <c r="L35" s="22"/>
    </row>
    <row r="36" spans="1:12" ht="11.25" customHeight="1">
      <c r="A36" s="812" t="s">
        <v>739</v>
      </c>
      <c r="B36" s="836" t="s">
        <v>503</v>
      </c>
      <c r="C36" s="813">
        <v>5680.62752</v>
      </c>
      <c r="D36" s="813">
        <v>0</v>
      </c>
      <c r="E36" s="813">
        <v>0</v>
      </c>
      <c r="F36" s="813">
        <v>5680.62752</v>
      </c>
      <c r="G36" s="813" t="s">
        <v>556</v>
      </c>
      <c r="H36" s="813">
        <v>6100.7036799999996</v>
      </c>
      <c r="I36" s="813">
        <v>0</v>
      </c>
      <c r="J36" s="813">
        <v>0</v>
      </c>
      <c r="K36" s="813">
        <v>6100.7036799999996</v>
      </c>
      <c r="L36" s="22"/>
    </row>
    <row r="37" spans="1:12" ht="11.25" customHeight="1">
      <c r="A37" s="812" t="s">
        <v>740</v>
      </c>
      <c r="B37" s="836" t="s">
        <v>479</v>
      </c>
      <c r="C37" s="813">
        <v>6744.8208999999997</v>
      </c>
      <c r="D37" s="813">
        <v>0</v>
      </c>
      <c r="E37" s="813">
        <v>0</v>
      </c>
      <c r="F37" s="813">
        <v>6744.8208999999997</v>
      </c>
      <c r="G37" s="813" t="s">
        <v>564</v>
      </c>
      <c r="H37" s="813">
        <v>6744.8331600000001</v>
      </c>
      <c r="I37" s="813">
        <v>0</v>
      </c>
      <c r="J37" s="813">
        <v>0</v>
      </c>
      <c r="K37" s="813">
        <v>6744.8331600000001</v>
      </c>
      <c r="L37" s="22"/>
    </row>
    <row r="38" spans="1:12" ht="11.25" customHeight="1">
      <c r="A38" s="812" t="s">
        <v>741</v>
      </c>
      <c r="B38" s="836" t="s">
        <v>468</v>
      </c>
      <c r="C38" s="813">
        <v>6826.1226800000004</v>
      </c>
      <c r="D38" s="813">
        <v>0</v>
      </c>
      <c r="E38" s="813">
        <v>0</v>
      </c>
      <c r="F38" s="813">
        <v>6826.1226800000004</v>
      </c>
      <c r="G38" s="813" t="s">
        <v>565</v>
      </c>
      <c r="H38" s="813">
        <v>6847.4958699999997</v>
      </c>
      <c r="I38" s="813">
        <v>0</v>
      </c>
      <c r="J38" s="813">
        <v>0</v>
      </c>
      <c r="K38" s="813">
        <v>6847.4958699999997</v>
      </c>
      <c r="L38" s="22"/>
    </row>
    <row r="39" spans="1:12" ht="11.25" customHeight="1">
      <c r="A39" s="812" t="s">
        <v>742</v>
      </c>
      <c r="B39" s="836" t="s">
        <v>467</v>
      </c>
      <c r="C39" s="813">
        <v>6602.5090200000004</v>
      </c>
      <c r="D39" s="813">
        <v>0</v>
      </c>
      <c r="E39" s="813">
        <v>0</v>
      </c>
      <c r="F39" s="813">
        <v>6602.5090200000004</v>
      </c>
      <c r="G39" s="813" t="s">
        <v>556</v>
      </c>
      <c r="H39" s="813">
        <v>6773.8722699999998</v>
      </c>
      <c r="I39" s="813">
        <v>0</v>
      </c>
      <c r="J39" s="813">
        <v>0</v>
      </c>
      <c r="K39" s="813">
        <v>6773.8722699999998</v>
      </c>
      <c r="L39" s="22"/>
    </row>
    <row r="40" spans="1:12" ht="11.25" customHeight="1">
      <c r="A40" s="812" t="s">
        <v>743</v>
      </c>
      <c r="B40" s="836" t="s">
        <v>744</v>
      </c>
      <c r="C40" s="813">
        <v>6069.5973100000001</v>
      </c>
      <c r="D40" s="813">
        <v>0</v>
      </c>
      <c r="E40" s="813">
        <v>0</v>
      </c>
      <c r="F40" s="813">
        <v>6069.5973100000001</v>
      </c>
      <c r="G40" s="813" t="s">
        <v>579</v>
      </c>
      <c r="H40" s="813">
        <v>6771.0422099999996</v>
      </c>
      <c r="I40" s="813">
        <v>0</v>
      </c>
      <c r="J40" s="813">
        <v>0</v>
      </c>
      <c r="K40" s="813">
        <v>6771.0422099999996</v>
      </c>
      <c r="L40" s="22"/>
    </row>
    <row r="41" spans="1:12" s="797" customFormat="1" ht="11.25" customHeight="1">
      <c r="A41" s="812" t="s">
        <v>745</v>
      </c>
      <c r="B41" s="836" t="s">
        <v>468</v>
      </c>
      <c r="C41" s="813">
        <v>6652.2761899999996</v>
      </c>
      <c r="D41" s="813">
        <v>0</v>
      </c>
      <c r="E41" s="813">
        <v>0</v>
      </c>
      <c r="F41" s="813">
        <v>6652.2761899999996</v>
      </c>
      <c r="G41" s="813" t="s">
        <v>556</v>
      </c>
      <c r="H41" s="813">
        <v>6773.1399199999996</v>
      </c>
      <c r="I41" s="813">
        <v>0</v>
      </c>
      <c r="J41" s="813">
        <v>0</v>
      </c>
      <c r="K41" s="813">
        <v>6773.1399199999996</v>
      </c>
      <c r="L41" s="22"/>
    </row>
    <row r="42" spans="1:12" s="797" customFormat="1" ht="11.25" customHeight="1">
      <c r="A42" s="812" t="s">
        <v>746</v>
      </c>
      <c r="B42" s="836" t="s">
        <v>468</v>
      </c>
      <c r="C42" s="813">
        <v>6534.87374</v>
      </c>
      <c r="D42" s="813">
        <v>0</v>
      </c>
      <c r="E42" s="813">
        <v>0</v>
      </c>
      <c r="F42" s="813">
        <v>6534.87374</v>
      </c>
      <c r="G42" s="813" t="s">
        <v>587</v>
      </c>
      <c r="H42" s="813">
        <v>6445.8739999999998</v>
      </c>
      <c r="I42" s="813">
        <v>0</v>
      </c>
      <c r="J42" s="813">
        <v>0</v>
      </c>
      <c r="K42" s="813">
        <v>6445.8739999999998</v>
      </c>
      <c r="L42" s="22"/>
    </row>
    <row r="43" spans="1:12" ht="11.25" customHeight="1">
      <c r="A43" s="943"/>
      <c r="B43" s="943"/>
      <c r="C43" s="943"/>
      <c r="D43" s="943"/>
      <c r="E43" s="943"/>
      <c r="F43" s="943"/>
      <c r="G43" s="943"/>
      <c r="H43" s="943"/>
      <c r="I43" s="943"/>
      <c r="J43" s="943"/>
      <c r="K43" s="943"/>
      <c r="L43" s="22"/>
    </row>
    <row r="44" spans="1:12" ht="11.25" customHeight="1">
      <c r="A44" s="196"/>
      <c r="B44" s="196"/>
      <c r="C44" s="196"/>
      <c r="D44" s="196"/>
      <c r="E44" s="196"/>
      <c r="F44" s="196"/>
      <c r="G44" s="196"/>
      <c r="H44" s="196"/>
      <c r="I44" s="196"/>
      <c r="J44" s="196"/>
      <c r="K44" s="198"/>
      <c r="L44" s="22"/>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9"/>
      <c r="L46" s="11"/>
    </row>
    <row r="47" spans="1:12" ht="11.25" customHeight="1">
      <c r="A47" s="196"/>
      <c r="B47" s="196"/>
      <c r="C47" s="196"/>
      <c r="D47" s="196"/>
      <c r="E47" s="196"/>
      <c r="F47" s="196"/>
      <c r="G47" s="196"/>
      <c r="H47" s="196"/>
      <c r="I47" s="196"/>
      <c r="J47" s="196"/>
      <c r="K47" s="199"/>
      <c r="L47" s="11"/>
    </row>
    <row r="48" spans="1:12" ht="11.25" customHeight="1">
      <c r="A48" s="196"/>
      <c r="B48" s="196"/>
      <c r="C48" s="196"/>
      <c r="D48" s="196"/>
      <c r="E48" s="196"/>
      <c r="F48" s="196"/>
      <c r="G48" s="196"/>
      <c r="H48" s="196"/>
      <c r="I48" s="196"/>
      <c r="J48" s="196"/>
      <c r="K48" s="198"/>
    </row>
    <row r="49" spans="1:11" ht="11.25" customHeight="1">
      <c r="A49" s="196"/>
      <c r="B49" s="196"/>
      <c r="C49" s="196"/>
      <c r="D49" s="196"/>
      <c r="E49" s="196"/>
      <c r="F49" s="196"/>
      <c r="G49" s="196"/>
      <c r="H49" s="196"/>
      <c r="I49" s="196"/>
      <c r="J49" s="196"/>
      <c r="K49" s="198"/>
    </row>
    <row r="50" spans="1:11" ht="12.75">
      <c r="A50" s="196"/>
      <c r="B50" s="196"/>
      <c r="C50" s="196"/>
      <c r="D50" s="196"/>
      <c r="E50" s="196"/>
      <c r="F50" s="196"/>
      <c r="G50" s="196"/>
      <c r="H50" s="196"/>
      <c r="I50" s="196"/>
      <c r="J50" s="196"/>
      <c r="K50" s="198"/>
    </row>
    <row r="51" spans="1:11" ht="12.75">
      <c r="A51" s="196"/>
      <c r="B51" s="196"/>
      <c r="C51" s="196"/>
      <c r="D51" s="196"/>
      <c r="E51" s="196"/>
      <c r="F51" s="196"/>
      <c r="G51" s="196"/>
      <c r="H51" s="196"/>
      <c r="I51" s="196"/>
      <c r="J51" s="196"/>
      <c r="K51" s="198"/>
    </row>
    <row r="52" spans="1:11" ht="12.75">
      <c r="A52" s="196"/>
      <c r="B52" s="196"/>
      <c r="C52" s="196"/>
      <c r="D52" s="196"/>
      <c r="E52" s="196"/>
      <c r="F52" s="196"/>
      <c r="G52" s="196"/>
      <c r="H52" s="196"/>
      <c r="I52" s="196"/>
      <c r="J52" s="196"/>
      <c r="K52" s="198"/>
    </row>
    <row r="53" spans="1:11" ht="12.75">
      <c r="A53" s="196"/>
      <c r="B53" s="196"/>
      <c r="C53" s="196"/>
      <c r="D53" s="196"/>
      <c r="E53" s="196"/>
      <c r="F53" s="196"/>
      <c r="G53" s="196"/>
      <c r="H53" s="196"/>
      <c r="I53" s="196"/>
      <c r="J53" s="196"/>
      <c r="K53" s="198"/>
    </row>
    <row r="54" spans="1:11" ht="12.75">
      <c r="A54" s="196"/>
      <c r="B54" s="196"/>
      <c r="C54" s="196"/>
      <c r="D54" s="196"/>
      <c r="E54" s="196"/>
      <c r="F54" s="196"/>
      <c r="G54" s="196"/>
      <c r="H54" s="196"/>
      <c r="I54" s="196"/>
      <c r="J54" s="196"/>
      <c r="K54" s="198"/>
    </row>
    <row r="55" spans="1:11" ht="12.75">
      <c r="A55" s="196"/>
      <c r="B55" s="111"/>
      <c r="C55" s="111"/>
      <c r="D55" s="111"/>
      <c r="E55" s="111"/>
      <c r="F55" s="111"/>
      <c r="G55" s="111"/>
      <c r="H55" s="111"/>
      <c r="I55" s="111"/>
      <c r="J55" s="111"/>
      <c r="K55" s="198"/>
    </row>
    <row r="56" spans="1:11" ht="12.75">
      <c r="A56" s="196"/>
      <c r="B56" s="111"/>
      <c r="C56" s="111"/>
      <c r="D56" s="111"/>
      <c r="E56" s="111"/>
      <c r="F56" s="111"/>
      <c r="G56" s="111"/>
      <c r="H56" s="111"/>
      <c r="I56" s="111"/>
      <c r="J56" s="111"/>
      <c r="K56" s="198"/>
    </row>
    <row r="57" spans="1:11" ht="12.75">
      <c r="A57" s="196"/>
      <c r="B57" s="111"/>
      <c r="C57" s="111"/>
      <c r="D57" s="111"/>
      <c r="E57" s="111"/>
      <c r="F57" s="111"/>
      <c r="G57" s="111"/>
      <c r="H57" s="111"/>
      <c r="I57" s="111"/>
      <c r="J57" s="111"/>
      <c r="K57" s="198"/>
    </row>
    <row r="58" spans="1:11" ht="12.75">
      <c r="A58" s="196"/>
      <c r="B58" s="111"/>
      <c r="C58" s="111"/>
      <c r="D58" s="111"/>
      <c r="E58" s="111"/>
      <c r="F58" s="111"/>
      <c r="G58" s="111"/>
      <c r="H58" s="111"/>
      <c r="I58" s="111"/>
      <c r="J58" s="111"/>
      <c r="K58" s="198"/>
    </row>
    <row r="59" spans="1:11" ht="12.75">
      <c r="A59" s="196"/>
      <c r="B59" s="111"/>
      <c r="C59" s="111"/>
      <c r="D59" s="111"/>
      <c r="E59" s="111"/>
      <c r="F59" s="111"/>
      <c r="G59" s="111"/>
      <c r="H59" s="111"/>
      <c r="I59" s="111"/>
      <c r="J59" s="111"/>
      <c r="K59" s="198"/>
    </row>
    <row r="60" spans="1:11" ht="12.75">
      <c r="A60" s="196"/>
      <c r="B60" s="197"/>
      <c r="C60" s="197"/>
      <c r="D60" s="197"/>
      <c r="E60" s="197"/>
      <c r="F60" s="197"/>
      <c r="G60" s="197"/>
      <c r="H60" s="197"/>
      <c r="I60" s="197"/>
      <c r="J60" s="197"/>
      <c r="K60" s="198"/>
    </row>
    <row r="61" spans="1:11" ht="12.75">
      <c r="A61" s="196"/>
      <c r="B61" s="197"/>
      <c r="C61" s="197"/>
      <c r="D61" s="197"/>
      <c r="E61" s="197"/>
      <c r="F61" s="197"/>
      <c r="G61" s="197"/>
      <c r="H61" s="197"/>
      <c r="I61" s="197"/>
      <c r="J61" s="197"/>
      <c r="K61" s="198"/>
    </row>
    <row r="62" spans="1:11" ht="12.75">
      <c r="A62" s="196"/>
      <c r="B62" s="200"/>
      <c r="C62" s="198"/>
      <c r="D62" s="198"/>
      <c r="E62" s="198"/>
      <c r="F62" s="198"/>
      <c r="G62" s="197"/>
      <c r="H62" s="197"/>
      <c r="I62" s="197"/>
      <c r="J62" s="197"/>
      <c r="K62" s="198"/>
    </row>
    <row r="63" spans="1:11" ht="12.75">
      <c r="A63" s="201"/>
      <c r="B63" s="202"/>
      <c r="C63" s="202"/>
      <c r="D63" s="202"/>
      <c r="E63" s="202"/>
      <c r="F63" s="202"/>
      <c r="G63" s="202"/>
      <c r="H63" s="197"/>
      <c r="I63" s="197"/>
      <c r="J63" s="197"/>
      <c r="K63" s="198"/>
    </row>
    <row r="64" spans="1:11" ht="12.75">
      <c r="A64" s="201"/>
      <c r="B64" s="202"/>
      <c r="C64" s="202"/>
      <c r="D64" s="202"/>
      <c r="E64" s="202"/>
      <c r="F64" s="202"/>
      <c r="G64" s="202"/>
      <c r="H64" s="197"/>
      <c r="I64" s="197"/>
      <c r="J64" s="197"/>
      <c r="K64" s="197"/>
    </row>
    <row r="65" spans="1:11" ht="12.75">
      <c r="A65" s="201"/>
      <c r="B65" s="202"/>
      <c r="C65" s="202"/>
      <c r="D65" s="202"/>
      <c r="E65" s="202"/>
      <c r="F65" s="202"/>
      <c r="G65" s="202"/>
      <c r="H65" s="197"/>
      <c r="I65" s="197"/>
      <c r="J65" s="197"/>
      <c r="K65" s="197"/>
    </row>
  </sheetData>
  <mergeCells count="4">
    <mergeCell ref="A9:A11"/>
    <mergeCell ref="B9:F9"/>
    <mergeCell ref="G9:K9"/>
    <mergeCell ref="A43:K43"/>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rgb="FF008FC8"/>
  </sheetPr>
  <dimension ref="A1:I162"/>
  <sheetViews>
    <sheetView showGridLines="0" view="pageBreakPreview" topLeftCell="A10" zoomScale="145" zoomScaleNormal="100" zoomScaleSheetLayoutView="145" workbookViewId="0"/>
  </sheetViews>
  <sheetFormatPr defaultColWidth="9.33203125" defaultRowHeight="9"/>
  <cols>
    <col min="1" max="1" width="16.1640625" style="288" customWidth="1"/>
    <col min="2" max="2" width="19.6640625" style="288" customWidth="1"/>
    <col min="3" max="3" width="12.1640625" style="288" bestFit="1" customWidth="1"/>
    <col min="4" max="4" width="47.1640625" style="288" customWidth="1"/>
    <col min="5" max="5" width="11.5" style="288" customWidth="1"/>
    <col min="6" max="6" width="10.5" style="288" customWidth="1"/>
    <col min="7" max="8" width="9.33203125" style="288" customWidth="1"/>
    <col min="9" max="16384" width="9.33203125" style="288"/>
  </cols>
  <sheetData>
    <row r="1" spans="1:9" ht="11.25" customHeight="1">
      <c r="A1" s="286" t="s">
        <v>422</v>
      </c>
      <c r="B1" s="287"/>
      <c r="C1" s="287"/>
      <c r="D1" s="287"/>
      <c r="E1" s="287"/>
      <c r="F1" s="287"/>
    </row>
    <row r="2" spans="1:9" ht="30" customHeight="1">
      <c r="A2" s="548" t="s">
        <v>261</v>
      </c>
      <c r="B2" s="549" t="s">
        <v>423</v>
      </c>
      <c r="C2" s="548" t="s">
        <v>412</v>
      </c>
      <c r="D2" s="550" t="s">
        <v>424</v>
      </c>
      <c r="E2" s="551" t="s">
        <v>425</v>
      </c>
      <c r="F2" s="551" t="s">
        <v>426</v>
      </c>
      <c r="G2" s="282"/>
      <c r="H2" s="289"/>
      <c r="I2" s="280"/>
    </row>
    <row r="3" spans="1:9" ht="55.5" customHeight="1">
      <c r="A3" s="295" t="s">
        <v>618</v>
      </c>
      <c r="B3" s="295" t="s">
        <v>619</v>
      </c>
      <c r="C3" s="296">
        <v>43804.572222222225</v>
      </c>
      <c r="D3" s="385" t="s">
        <v>650</v>
      </c>
      <c r="E3" s="297">
        <v>4</v>
      </c>
      <c r="F3" s="297"/>
      <c r="H3" s="282"/>
      <c r="I3" s="280"/>
    </row>
    <row r="4" spans="1:9" ht="54" customHeight="1">
      <c r="A4" s="295" t="s">
        <v>651</v>
      </c>
      <c r="B4" s="295" t="s">
        <v>652</v>
      </c>
      <c r="C4" s="296">
        <v>43804.595833333333</v>
      </c>
      <c r="D4" s="385" t="s">
        <v>653</v>
      </c>
      <c r="E4" s="297">
        <v>150</v>
      </c>
      <c r="F4" s="297"/>
      <c r="G4" s="281"/>
      <c r="H4" s="281"/>
      <c r="I4" s="290"/>
    </row>
    <row r="5" spans="1:9" ht="63" customHeight="1">
      <c r="A5" s="295" t="s">
        <v>427</v>
      </c>
      <c r="B5" s="295" t="s">
        <v>609</v>
      </c>
      <c r="C5" s="296">
        <v>43805.580555555556</v>
      </c>
      <c r="D5" s="385" t="s">
        <v>654</v>
      </c>
      <c r="E5" s="297">
        <v>15.5</v>
      </c>
      <c r="F5" s="297"/>
      <c r="G5" s="281"/>
      <c r="H5" s="281"/>
      <c r="I5" s="291"/>
    </row>
    <row r="6" spans="1:9" ht="42" customHeight="1">
      <c r="A6" s="295" t="s">
        <v>591</v>
      </c>
      <c r="B6" s="295" t="s">
        <v>621</v>
      </c>
      <c r="C6" s="296">
        <v>43806.760416666664</v>
      </c>
      <c r="D6" s="385" t="s">
        <v>655</v>
      </c>
      <c r="E6" s="297">
        <v>2.5299999999999998</v>
      </c>
      <c r="F6" s="297"/>
      <c r="G6" s="281"/>
      <c r="H6" s="281"/>
      <c r="I6" s="292"/>
    </row>
    <row r="7" spans="1:9" ht="70.5" customHeight="1">
      <c r="A7" s="295" t="s">
        <v>607</v>
      </c>
      <c r="B7" s="295" t="s">
        <v>695</v>
      </c>
      <c r="C7" s="296">
        <v>43808.793749999997</v>
      </c>
      <c r="D7" s="385" t="s">
        <v>697</v>
      </c>
      <c r="E7" s="297">
        <v>9</v>
      </c>
      <c r="F7" s="297"/>
      <c r="G7" s="281"/>
      <c r="H7" s="281"/>
      <c r="I7" s="293"/>
    </row>
    <row r="8" spans="1:9" ht="60" customHeight="1">
      <c r="A8" s="295" t="s">
        <v>590</v>
      </c>
      <c r="B8" s="295" t="s">
        <v>656</v>
      </c>
      <c r="C8" s="296">
        <v>43811.522222222222</v>
      </c>
      <c r="D8" s="385" t="s">
        <v>657</v>
      </c>
      <c r="E8" s="297">
        <v>10.16</v>
      </c>
      <c r="F8" s="297"/>
      <c r="G8" s="281"/>
      <c r="H8" s="281"/>
      <c r="I8" s="292"/>
    </row>
    <row r="9" spans="1:9" ht="45.75" customHeight="1">
      <c r="A9" s="607" t="s">
        <v>658</v>
      </c>
      <c r="B9" s="607" t="s">
        <v>659</v>
      </c>
      <c r="C9" s="384">
        <v>43811.690972222219</v>
      </c>
      <c r="D9" s="385" t="s">
        <v>660</v>
      </c>
      <c r="E9" s="386">
        <v>4</v>
      </c>
      <c r="F9" s="386"/>
      <c r="G9" s="281"/>
      <c r="H9" s="281"/>
      <c r="I9" s="292"/>
    </row>
    <row r="10" spans="1:9" ht="69" customHeight="1">
      <c r="A10" s="607" t="s">
        <v>592</v>
      </c>
      <c r="B10" s="607" t="s">
        <v>661</v>
      </c>
      <c r="C10" s="384">
        <v>43811.728472222225</v>
      </c>
      <c r="D10" s="385" t="s">
        <v>662</v>
      </c>
      <c r="E10" s="386">
        <v>66</v>
      </c>
      <c r="F10" s="386"/>
    </row>
    <row r="11" spans="1:9" ht="30" customHeight="1">
      <c r="A11" s="295" t="s">
        <v>663</v>
      </c>
      <c r="B11" s="295" t="s">
        <v>664</v>
      </c>
      <c r="C11" s="296">
        <v>43814.25</v>
      </c>
      <c r="D11" s="385" t="s">
        <v>665</v>
      </c>
      <c r="E11" s="297">
        <v>2</v>
      </c>
      <c r="F11" s="297"/>
    </row>
    <row r="12" spans="1:9" ht="25.5" customHeight="1">
      <c r="A12" s="295" t="s">
        <v>666</v>
      </c>
      <c r="B12" s="295" t="s">
        <v>667</v>
      </c>
      <c r="C12" s="296">
        <v>43814.25</v>
      </c>
      <c r="D12" s="385" t="s">
        <v>668</v>
      </c>
      <c r="E12" s="297">
        <v>10.5</v>
      </c>
      <c r="F12" s="297"/>
    </row>
    <row r="13" spans="1:9" ht="30.75" customHeight="1">
      <c r="A13" s="295" t="s">
        <v>591</v>
      </c>
      <c r="B13" s="295" t="s">
        <v>696</v>
      </c>
      <c r="C13" s="296">
        <v>43814.25</v>
      </c>
      <c r="D13" s="385" t="s">
        <v>669</v>
      </c>
      <c r="E13" s="297">
        <v>2</v>
      </c>
      <c r="F13" s="297"/>
    </row>
    <row r="14" spans="1:9" ht="31.5" customHeight="1">
      <c r="A14" s="295" t="s">
        <v>694</v>
      </c>
      <c r="B14" s="295" t="s">
        <v>670</v>
      </c>
      <c r="C14" s="296">
        <v>43814.25</v>
      </c>
      <c r="D14" s="385" t="s">
        <v>671</v>
      </c>
      <c r="E14" s="297">
        <v>8.5</v>
      </c>
      <c r="F14" s="297"/>
    </row>
    <row r="15" spans="1:9" ht="63.75" customHeight="1">
      <c r="A15" s="295" t="s">
        <v>590</v>
      </c>
      <c r="B15" s="295" t="s">
        <v>656</v>
      </c>
      <c r="C15" s="296">
        <v>43815.470833333333</v>
      </c>
      <c r="D15" s="385" t="s">
        <v>698</v>
      </c>
      <c r="E15" s="297">
        <v>9.64</v>
      </c>
      <c r="F15" s="297"/>
    </row>
    <row r="16" spans="1:9" ht="60" customHeight="1">
      <c r="A16" s="295" t="s">
        <v>427</v>
      </c>
      <c r="B16" s="295" t="s">
        <v>672</v>
      </c>
      <c r="C16" s="296">
        <v>43815.717361111114</v>
      </c>
      <c r="D16" s="385" t="s">
        <v>673</v>
      </c>
      <c r="E16" s="297">
        <v>16.2</v>
      </c>
      <c r="F16" s="297"/>
    </row>
    <row r="17" spans="1:6" ht="51" customHeight="1">
      <c r="A17" s="295" t="s">
        <v>592</v>
      </c>
      <c r="B17" s="295" t="s">
        <v>661</v>
      </c>
      <c r="C17" s="296">
        <v>43815.773611111108</v>
      </c>
      <c r="D17" s="385" t="s">
        <v>674</v>
      </c>
      <c r="E17" s="297"/>
      <c r="F17" s="297">
        <v>61</v>
      </c>
    </row>
    <row r="18" spans="1:6" ht="15.75" customHeight="1">
      <c r="C18" s="577"/>
      <c r="E18" s="294"/>
      <c r="F18" s="294"/>
    </row>
    <row r="19" spans="1:6">
      <c r="C19" s="577"/>
      <c r="E19" s="294"/>
      <c r="F19" s="294"/>
    </row>
    <row r="20" spans="1:6">
      <c r="C20" s="577"/>
      <c r="E20" s="294"/>
      <c r="F20" s="294"/>
    </row>
    <row r="21" spans="1:6">
      <c r="C21" s="577"/>
      <c r="E21" s="294"/>
      <c r="F21" s="294"/>
    </row>
    <row r="22" spans="1:6">
      <c r="C22" s="577"/>
      <c r="E22" s="294"/>
      <c r="F22" s="294"/>
    </row>
    <row r="23" spans="1:6">
      <c r="C23" s="577"/>
      <c r="E23" s="294"/>
      <c r="F23" s="294"/>
    </row>
    <row r="24" spans="1:6">
      <c r="C24" s="577"/>
      <c r="E24" s="294"/>
      <c r="F24" s="294"/>
    </row>
    <row r="25" spans="1:6">
      <c r="C25" s="577"/>
      <c r="E25" s="294"/>
      <c r="F25" s="294"/>
    </row>
    <row r="26" spans="1:6">
      <c r="C26" s="577"/>
      <c r="E26" s="294"/>
      <c r="F26" s="294"/>
    </row>
    <row r="27" spans="1:6">
      <c r="C27" s="577"/>
      <c r="E27" s="294"/>
      <c r="F27" s="294"/>
    </row>
    <row r="28" spans="1:6">
      <c r="C28" s="577"/>
      <c r="E28" s="294"/>
      <c r="F28" s="294"/>
    </row>
    <row r="29" spans="1:6">
      <c r="C29" s="577"/>
      <c r="E29" s="294"/>
      <c r="F29" s="294"/>
    </row>
    <row r="30" spans="1:6">
      <c r="C30" s="577"/>
      <c r="E30" s="294"/>
      <c r="F30" s="294"/>
    </row>
    <row r="31" spans="1:6">
      <c r="C31" s="577"/>
      <c r="E31" s="294"/>
      <c r="F31" s="294"/>
    </row>
    <row r="32" spans="1:6">
      <c r="C32" s="577"/>
      <c r="E32" s="294"/>
      <c r="F32" s="294"/>
    </row>
    <row r="33" spans="3:6">
      <c r="C33" s="577"/>
      <c r="E33" s="294"/>
      <c r="F33" s="294"/>
    </row>
    <row r="34" spans="3:6">
      <c r="C34" s="577"/>
      <c r="E34" s="294"/>
      <c r="F34" s="294"/>
    </row>
    <row r="35" spans="3:6">
      <c r="C35" s="577"/>
      <c r="E35" s="294"/>
      <c r="F35" s="294"/>
    </row>
    <row r="36" spans="3:6">
      <c r="C36" s="577"/>
      <c r="E36" s="294"/>
      <c r="F36" s="294"/>
    </row>
    <row r="37" spans="3:6">
      <c r="C37" s="577"/>
      <c r="E37" s="294"/>
      <c r="F37" s="294"/>
    </row>
    <row r="38" spans="3:6">
      <c r="C38" s="577"/>
      <c r="E38" s="294"/>
      <c r="F38" s="294"/>
    </row>
    <row r="39" spans="3:6">
      <c r="C39" s="577"/>
      <c r="E39" s="294"/>
      <c r="F39" s="294"/>
    </row>
    <row r="40" spans="3:6">
      <c r="C40" s="577"/>
      <c r="E40" s="294"/>
      <c r="F40" s="294"/>
    </row>
    <row r="41" spans="3:6">
      <c r="C41" s="577"/>
      <c r="E41" s="294"/>
      <c r="F41" s="294"/>
    </row>
    <row r="42" spans="3:6">
      <c r="C42" s="577"/>
      <c r="E42" s="294"/>
      <c r="F42" s="294"/>
    </row>
    <row r="43" spans="3:6">
      <c r="C43" s="577"/>
      <c r="E43" s="294"/>
      <c r="F43" s="294"/>
    </row>
    <row r="44" spans="3:6">
      <c r="C44" s="577"/>
      <c r="E44" s="294"/>
      <c r="F44" s="294"/>
    </row>
    <row r="45" spans="3:6">
      <c r="C45" s="577"/>
      <c r="E45" s="294"/>
      <c r="F45" s="294"/>
    </row>
    <row r="46" spans="3:6">
      <c r="C46" s="577"/>
      <c r="E46" s="294"/>
      <c r="F46" s="294"/>
    </row>
    <row r="47" spans="3:6">
      <c r="C47" s="577"/>
      <c r="E47" s="294"/>
      <c r="F47" s="294"/>
    </row>
    <row r="48" spans="3:6">
      <c r="C48" s="577"/>
      <c r="E48" s="294"/>
      <c r="F48" s="294"/>
    </row>
    <row r="49" spans="3:6">
      <c r="C49" s="577"/>
      <c r="E49" s="294"/>
      <c r="F49" s="294"/>
    </row>
    <row r="50" spans="3:6">
      <c r="C50" s="577"/>
      <c r="E50" s="294"/>
      <c r="F50" s="294"/>
    </row>
    <row r="51" spans="3:6">
      <c r="C51" s="577"/>
      <c r="E51" s="294"/>
      <c r="F51" s="294"/>
    </row>
    <row r="52" spans="3:6">
      <c r="C52" s="577"/>
      <c r="E52" s="294"/>
      <c r="F52" s="294"/>
    </row>
    <row r="53" spans="3:6">
      <c r="C53" s="577"/>
      <c r="E53" s="294"/>
      <c r="F53" s="294"/>
    </row>
    <row r="54" spans="3:6">
      <c r="C54" s="577"/>
      <c r="E54" s="294"/>
      <c r="F54" s="294"/>
    </row>
    <row r="55" spans="3:6">
      <c r="C55" s="577"/>
      <c r="E55" s="294"/>
      <c r="F55" s="294"/>
    </row>
    <row r="56" spans="3:6">
      <c r="C56" s="577"/>
      <c r="E56" s="294"/>
      <c r="F56" s="294"/>
    </row>
    <row r="57" spans="3:6">
      <c r="C57" s="577"/>
      <c r="E57" s="294"/>
      <c r="F57" s="294"/>
    </row>
    <row r="58" spans="3:6">
      <c r="C58" s="577"/>
      <c r="E58" s="294"/>
      <c r="F58" s="294"/>
    </row>
    <row r="59" spans="3:6">
      <c r="C59" s="577"/>
      <c r="E59" s="294"/>
      <c r="F59" s="294"/>
    </row>
    <row r="60" spans="3:6">
      <c r="C60" s="577"/>
      <c r="E60" s="294"/>
      <c r="F60" s="294"/>
    </row>
    <row r="61" spans="3:6">
      <c r="C61" s="577"/>
      <c r="E61" s="294"/>
      <c r="F61" s="294"/>
    </row>
    <row r="62" spans="3:6">
      <c r="C62" s="577"/>
      <c r="E62" s="294"/>
      <c r="F62" s="294"/>
    </row>
    <row r="63" spans="3:6">
      <c r="C63" s="577"/>
      <c r="E63" s="294"/>
      <c r="F63" s="294"/>
    </row>
    <row r="64" spans="3:6">
      <c r="C64" s="577"/>
      <c r="E64" s="294"/>
      <c r="F64" s="294"/>
    </row>
    <row r="65" spans="3:6">
      <c r="C65" s="577"/>
      <c r="E65" s="294"/>
      <c r="F65" s="294"/>
    </row>
    <row r="66" spans="3:6">
      <c r="C66" s="577"/>
      <c r="E66" s="294"/>
      <c r="F66" s="294"/>
    </row>
    <row r="67" spans="3:6">
      <c r="C67" s="577"/>
      <c r="E67" s="294"/>
      <c r="F67" s="294"/>
    </row>
    <row r="68" spans="3:6">
      <c r="C68" s="577"/>
      <c r="E68" s="294"/>
      <c r="F68" s="294"/>
    </row>
    <row r="69" spans="3:6">
      <c r="C69" s="577"/>
      <c r="E69" s="294"/>
      <c r="F69" s="294"/>
    </row>
    <row r="70" spans="3:6">
      <c r="E70" s="294"/>
      <c r="F70" s="294"/>
    </row>
    <row r="71" spans="3:6">
      <c r="E71" s="294"/>
      <c r="F71" s="294"/>
    </row>
    <row r="72" spans="3:6">
      <c r="E72" s="294"/>
      <c r="F72" s="294"/>
    </row>
    <row r="73" spans="3:6">
      <c r="E73" s="294"/>
      <c r="F73" s="294"/>
    </row>
    <row r="74" spans="3:6">
      <c r="E74" s="294"/>
      <c r="F74" s="294"/>
    </row>
    <row r="75" spans="3:6">
      <c r="E75" s="294"/>
      <c r="F75" s="294"/>
    </row>
    <row r="76" spans="3:6">
      <c r="E76" s="294"/>
      <c r="F76" s="294"/>
    </row>
    <row r="77" spans="3:6">
      <c r="E77" s="294"/>
      <c r="F77" s="294"/>
    </row>
    <row r="78" spans="3:6">
      <c r="E78" s="294"/>
      <c r="F78" s="294"/>
    </row>
    <row r="79" spans="3:6">
      <c r="E79" s="294"/>
      <c r="F79" s="294"/>
    </row>
    <row r="80" spans="3:6">
      <c r="E80" s="294"/>
      <c r="F80" s="294"/>
    </row>
    <row r="81" spans="5:6">
      <c r="E81" s="294"/>
      <c r="F81" s="294"/>
    </row>
    <row r="82" spans="5:6">
      <c r="E82" s="294"/>
      <c r="F82" s="294"/>
    </row>
    <row r="83" spans="5:6">
      <c r="E83" s="294"/>
      <c r="F83" s="294"/>
    </row>
    <row r="84" spans="5:6">
      <c r="E84" s="294"/>
      <c r="F84" s="294"/>
    </row>
    <row r="85" spans="5:6">
      <c r="E85" s="294"/>
      <c r="F85" s="294"/>
    </row>
    <row r="86" spans="5:6">
      <c r="E86" s="294"/>
      <c r="F86" s="294"/>
    </row>
    <row r="87" spans="5:6">
      <c r="E87" s="294"/>
      <c r="F87" s="294"/>
    </row>
    <row r="88" spans="5:6">
      <c r="E88" s="294"/>
      <c r="F88" s="294"/>
    </row>
    <row r="89" spans="5:6">
      <c r="E89" s="294"/>
      <c r="F89" s="294"/>
    </row>
    <row r="90" spans="5:6">
      <c r="E90" s="294"/>
      <c r="F90" s="294"/>
    </row>
    <row r="91" spans="5:6">
      <c r="E91" s="294"/>
      <c r="F91" s="294"/>
    </row>
    <row r="92" spans="5:6">
      <c r="E92" s="294"/>
      <c r="F92" s="294"/>
    </row>
    <row r="93" spans="5:6">
      <c r="E93" s="294"/>
      <c r="F93" s="294"/>
    </row>
    <row r="94" spans="5:6">
      <c r="E94" s="294"/>
      <c r="F94" s="294"/>
    </row>
    <row r="95" spans="5:6">
      <c r="E95" s="294"/>
      <c r="F95" s="294"/>
    </row>
    <row r="96" spans="5:6">
      <c r="E96" s="294"/>
      <c r="F96" s="294"/>
    </row>
    <row r="97" spans="5:6">
      <c r="E97" s="294"/>
      <c r="F97" s="294"/>
    </row>
    <row r="98" spans="5:6">
      <c r="E98" s="294"/>
      <c r="F98" s="294"/>
    </row>
    <row r="99" spans="5:6">
      <c r="E99" s="294"/>
      <c r="F99" s="294"/>
    </row>
    <row r="100" spans="5:6">
      <c r="E100" s="294"/>
      <c r="F100" s="294"/>
    </row>
    <row r="101" spans="5:6">
      <c r="E101" s="294"/>
      <c r="F101" s="294"/>
    </row>
    <row r="102" spans="5:6">
      <c r="E102" s="294"/>
      <c r="F102" s="294"/>
    </row>
    <row r="103" spans="5:6">
      <c r="E103" s="294"/>
      <c r="F103" s="294"/>
    </row>
    <row r="104" spans="5:6">
      <c r="E104" s="294"/>
      <c r="F104" s="294"/>
    </row>
    <row r="105" spans="5:6">
      <c r="E105" s="294"/>
      <c r="F105" s="294"/>
    </row>
    <row r="106" spans="5:6">
      <c r="E106" s="294"/>
      <c r="F106" s="294"/>
    </row>
    <row r="107" spans="5:6">
      <c r="E107" s="294"/>
      <c r="F107" s="294"/>
    </row>
    <row r="108" spans="5:6">
      <c r="E108" s="294"/>
      <c r="F108" s="294"/>
    </row>
    <row r="109" spans="5:6">
      <c r="E109" s="294"/>
      <c r="F109" s="294"/>
    </row>
    <row r="110" spans="5:6">
      <c r="E110" s="294"/>
      <c r="F110" s="294"/>
    </row>
    <row r="111" spans="5:6">
      <c r="E111" s="294"/>
      <c r="F111" s="294"/>
    </row>
    <row r="112" spans="5:6">
      <c r="E112" s="294"/>
      <c r="F112" s="294"/>
    </row>
    <row r="113" spans="5:6">
      <c r="E113" s="294"/>
      <c r="F113" s="294"/>
    </row>
    <row r="114" spans="5:6">
      <c r="E114" s="294"/>
      <c r="F114" s="294"/>
    </row>
    <row r="115" spans="5:6">
      <c r="E115" s="294"/>
      <c r="F115" s="294"/>
    </row>
    <row r="116" spans="5:6">
      <c r="E116" s="294"/>
      <c r="F116" s="294"/>
    </row>
    <row r="117" spans="5:6">
      <c r="E117" s="294"/>
      <c r="F117" s="294"/>
    </row>
    <row r="118" spans="5:6">
      <c r="E118" s="294"/>
      <c r="F118" s="294"/>
    </row>
    <row r="119" spans="5:6">
      <c r="E119" s="294"/>
      <c r="F119" s="294"/>
    </row>
    <row r="120" spans="5:6">
      <c r="E120" s="294"/>
      <c r="F120" s="294"/>
    </row>
    <row r="121" spans="5:6">
      <c r="E121" s="294"/>
      <c r="F121" s="294"/>
    </row>
    <row r="122" spans="5:6">
      <c r="E122" s="294"/>
      <c r="F122" s="294"/>
    </row>
    <row r="123" spans="5:6">
      <c r="E123" s="294"/>
      <c r="F123" s="294"/>
    </row>
    <row r="124" spans="5:6">
      <c r="E124" s="294"/>
      <c r="F124" s="294"/>
    </row>
    <row r="125" spans="5:6">
      <c r="E125" s="294"/>
      <c r="F125" s="294"/>
    </row>
    <row r="126" spans="5:6">
      <c r="E126" s="294"/>
      <c r="F126" s="294"/>
    </row>
    <row r="127" spans="5:6">
      <c r="E127" s="294"/>
      <c r="F127" s="294"/>
    </row>
    <row r="128" spans="5:6">
      <c r="E128" s="294"/>
      <c r="F128" s="294"/>
    </row>
    <row r="129" spans="5:6">
      <c r="E129" s="294"/>
      <c r="F129" s="294"/>
    </row>
    <row r="130" spans="5:6">
      <c r="E130" s="294"/>
      <c r="F130" s="294"/>
    </row>
    <row r="131" spans="5:6">
      <c r="E131" s="294"/>
      <c r="F131" s="294"/>
    </row>
    <row r="132" spans="5:6">
      <c r="E132" s="294"/>
      <c r="F132" s="294"/>
    </row>
    <row r="133" spans="5:6">
      <c r="E133" s="294"/>
      <c r="F133" s="294"/>
    </row>
    <row r="134" spans="5:6">
      <c r="E134" s="294"/>
      <c r="F134" s="294"/>
    </row>
    <row r="135" spans="5:6">
      <c r="E135" s="294"/>
      <c r="F135" s="294"/>
    </row>
    <row r="136" spans="5:6">
      <c r="E136" s="294"/>
      <c r="F136" s="294"/>
    </row>
    <row r="137" spans="5:6">
      <c r="E137" s="294"/>
      <c r="F137" s="294"/>
    </row>
    <row r="138" spans="5:6">
      <c r="E138" s="294"/>
      <c r="F138" s="294"/>
    </row>
    <row r="139" spans="5:6">
      <c r="E139" s="294"/>
      <c r="F139" s="294"/>
    </row>
    <row r="140" spans="5:6">
      <c r="E140" s="294"/>
      <c r="F140" s="294"/>
    </row>
    <row r="141" spans="5:6">
      <c r="E141" s="294"/>
      <c r="F141" s="294"/>
    </row>
    <row r="142" spans="5:6">
      <c r="E142" s="294"/>
      <c r="F142" s="294"/>
    </row>
    <row r="143" spans="5:6">
      <c r="E143" s="294"/>
      <c r="F143" s="294"/>
    </row>
    <row r="144" spans="5:6">
      <c r="E144" s="294"/>
      <c r="F144" s="294"/>
    </row>
    <row r="145" spans="5:6">
      <c r="E145" s="294"/>
      <c r="F145" s="294"/>
    </row>
    <row r="146" spans="5:6">
      <c r="E146" s="294"/>
      <c r="F146" s="294"/>
    </row>
    <row r="147" spans="5:6">
      <c r="E147" s="294"/>
      <c r="F147" s="294"/>
    </row>
    <row r="148" spans="5:6">
      <c r="E148" s="294"/>
      <c r="F148" s="294"/>
    </row>
    <row r="149" spans="5:6">
      <c r="E149" s="294"/>
      <c r="F149" s="294"/>
    </row>
    <row r="150" spans="5:6">
      <c r="E150" s="294"/>
      <c r="F150" s="294"/>
    </row>
    <row r="151" spans="5:6">
      <c r="E151" s="294"/>
      <c r="F151" s="294"/>
    </row>
    <row r="152" spans="5:6">
      <c r="E152" s="294"/>
      <c r="F152" s="294"/>
    </row>
    <row r="153" spans="5:6">
      <c r="E153" s="294"/>
      <c r="F153" s="294"/>
    </row>
    <row r="154" spans="5:6">
      <c r="E154" s="294"/>
      <c r="F154" s="294"/>
    </row>
    <row r="155" spans="5:6">
      <c r="E155" s="294"/>
      <c r="F155" s="294"/>
    </row>
    <row r="156" spans="5:6">
      <c r="E156" s="294"/>
      <c r="F156" s="294"/>
    </row>
    <row r="157" spans="5:6">
      <c r="E157" s="294"/>
      <c r="F157" s="294"/>
    </row>
    <row r="158" spans="5:6">
      <c r="E158" s="294"/>
      <c r="F158" s="294"/>
    </row>
    <row r="159" spans="5:6">
      <c r="E159" s="294"/>
      <c r="F159" s="294"/>
    </row>
    <row r="160" spans="5:6">
      <c r="E160" s="294"/>
      <c r="F160" s="294"/>
    </row>
    <row r="161" spans="5:6">
      <c r="E161" s="294"/>
      <c r="F161" s="294"/>
    </row>
    <row r="162" spans="5:6">
      <c r="E162" s="294"/>
      <c r="F162" s="294"/>
    </row>
  </sheetData>
  <pageMargins left="0.70866141732283472" right="0.51181102362204722"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008FC8"/>
  </sheetPr>
  <dimension ref="A1:I133"/>
  <sheetViews>
    <sheetView showGridLines="0" view="pageBreakPreview" topLeftCell="A4" zoomScale="130" zoomScaleNormal="100" zoomScaleSheetLayoutView="130" zoomScalePageLayoutView="120" workbookViewId="0"/>
  </sheetViews>
  <sheetFormatPr defaultColWidth="9.33203125" defaultRowHeight="9"/>
  <cols>
    <col min="1" max="1" width="16.1640625" style="288" customWidth="1"/>
    <col min="2" max="2" width="19.6640625" style="288" customWidth="1"/>
    <col min="3" max="3" width="12.5" style="288" bestFit="1" customWidth="1"/>
    <col min="4" max="4" width="47.1640625" style="288" customWidth="1"/>
    <col min="5" max="5" width="11.5" style="288" customWidth="1"/>
    <col min="6" max="6" width="10.5" style="288" customWidth="1"/>
    <col min="7" max="8" width="9.33203125" style="288" customWidth="1"/>
    <col min="9" max="16384" width="9.33203125" style="288"/>
  </cols>
  <sheetData>
    <row r="1" spans="1:9" ht="30" customHeight="1">
      <c r="A1" s="548" t="s">
        <v>261</v>
      </c>
      <c r="B1" s="549" t="s">
        <v>423</v>
      </c>
      <c r="C1" s="548" t="s">
        <v>412</v>
      </c>
      <c r="D1" s="550" t="s">
        <v>424</v>
      </c>
      <c r="E1" s="551" t="s">
        <v>425</v>
      </c>
      <c r="F1" s="551" t="s">
        <v>426</v>
      </c>
      <c r="G1" s="282"/>
      <c r="H1" s="289"/>
      <c r="I1" s="280"/>
    </row>
    <row r="2" spans="1:9" ht="43.5" customHeight="1">
      <c r="A2" s="295" t="s">
        <v>90</v>
      </c>
      <c r="B2" s="295" t="s">
        <v>675</v>
      </c>
      <c r="C2" s="296">
        <v>43816.222222222219</v>
      </c>
      <c r="D2" s="385" t="s">
        <v>703</v>
      </c>
      <c r="E2" s="297">
        <v>4</v>
      </c>
      <c r="F2" s="297"/>
      <c r="G2" s="281"/>
      <c r="H2" s="281"/>
      <c r="I2" s="292"/>
    </row>
    <row r="3" spans="1:9" ht="58.5" customHeight="1">
      <c r="A3" s="295" t="s">
        <v>591</v>
      </c>
      <c r="B3" s="295" t="s">
        <v>701</v>
      </c>
      <c r="C3" s="296">
        <v>43816.836805555555</v>
      </c>
      <c r="D3" s="385" t="s">
        <v>676</v>
      </c>
      <c r="E3" s="297">
        <v>16.600000000000001</v>
      </c>
      <c r="F3" s="297"/>
      <c r="G3" s="281"/>
      <c r="H3" s="281"/>
      <c r="I3" s="292"/>
    </row>
    <row r="4" spans="1:9" ht="51" customHeight="1">
      <c r="A4" s="295" t="s">
        <v>427</v>
      </c>
      <c r="B4" s="295" t="s">
        <v>677</v>
      </c>
      <c r="C4" s="296">
        <v>43819.479861111111</v>
      </c>
      <c r="D4" s="385" t="s">
        <v>704</v>
      </c>
      <c r="E4" s="297">
        <v>2</v>
      </c>
      <c r="F4" s="297"/>
      <c r="G4" s="281"/>
      <c r="H4" s="281"/>
      <c r="I4" s="292"/>
    </row>
    <row r="5" spans="1:9" ht="63" customHeight="1">
      <c r="A5" s="295" t="s">
        <v>699</v>
      </c>
      <c r="B5" s="295" t="s">
        <v>678</v>
      </c>
      <c r="C5" s="296">
        <v>43819.625</v>
      </c>
      <c r="D5" s="385" t="s">
        <v>705</v>
      </c>
      <c r="E5" s="297">
        <v>22.16</v>
      </c>
      <c r="F5" s="297"/>
      <c r="G5" s="281"/>
      <c r="H5" s="281"/>
      <c r="I5" s="293"/>
    </row>
    <row r="6" spans="1:9" ht="46.5" customHeight="1">
      <c r="A6" s="295" t="s">
        <v>590</v>
      </c>
      <c r="B6" s="295" t="s">
        <v>608</v>
      </c>
      <c r="C6" s="296">
        <v>43820.537499999999</v>
      </c>
      <c r="D6" s="385" t="s">
        <v>679</v>
      </c>
      <c r="E6" s="297">
        <v>0.95</v>
      </c>
      <c r="F6" s="297"/>
      <c r="G6" s="281"/>
      <c r="H6" s="281"/>
      <c r="I6" s="292"/>
    </row>
    <row r="7" spans="1:9" ht="70.5" customHeight="1">
      <c r="A7" s="295" t="s">
        <v>607</v>
      </c>
      <c r="B7" s="295" t="s">
        <v>702</v>
      </c>
      <c r="C7" s="296">
        <v>43820.717361111114</v>
      </c>
      <c r="D7" s="385" t="s">
        <v>680</v>
      </c>
      <c r="E7" s="297">
        <v>27.05</v>
      </c>
      <c r="F7" s="297"/>
      <c r="G7" s="281"/>
      <c r="H7" s="281"/>
      <c r="I7" s="292"/>
    </row>
    <row r="8" spans="1:9" ht="51" customHeight="1">
      <c r="A8" s="295" t="s">
        <v>427</v>
      </c>
      <c r="B8" s="295" t="s">
        <v>681</v>
      </c>
      <c r="C8" s="296">
        <v>43822.254861111112</v>
      </c>
      <c r="D8" s="385" t="s">
        <v>682</v>
      </c>
      <c r="E8" s="297">
        <v>4.9000000000000004</v>
      </c>
      <c r="F8" s="297"/>
      <c r="G8" s="281"/>
      <c r="H8" s="281"/>
      <c r="I8" s="292"/>
    </row>
    <row r="9" spans="1:9" ht="57.75" customHeight="1">
      <c r="A9" s="295" t="s">
        <v>427</v>
      </c>
      <c r="B9" s="295" t="s">
        <v>681</v>
      </c>
      <c r="C9" s="296">
        <v>43823.286805555559</v>
      </c>
      <c r="D9" s="385" t="s">
        <v>683</v>
      </c>
      <c r="E9" s="297">
        <v>4.05</v>
      </c>
      <c r="F9" s="297"/>
    </row>
    <row r="10" spans="1:9" ht="57" customHeight="1">
      <c r="A10" s="295" t="s">
        <v>427</v>
      </c>
      <c r="B10" s="295" t="s">
        <v>681</v>
      </c>
      <c r="C10" s="296">
        <v>43826.662499999999</v>
      </c>
      <c r="D10" s="385" t="s">
        <v>706</v>
      </c>
      <c r="E10" s="297">
        <v>6.16</v>
      </c>
      <c r="F10" s="297"/>
    </row>
    <row r="11" spans="1:9" ht="49.5" customHeight="1">
      <c r="A11" s="295" t="s">
        <v>592</v>
      </c>
      <c r="B11" s="295" t="s">
        <v>661</v>
      </c>
      <c r="C11" s="296">
        <v>43828.633333333331</v>
      </c>
      <c r="D11" s="385" t="s">
        <v>707</v>
      </c>
      <c r="E11" s="297"/>
      <c r="F11" s="297">
        <v>15</v>
      </c>
    </row>
    <row r="12" spans="1:9" ht="42" customHeight="1">
      <c r="A12" s="295" t="s">
        <v>591</v>
      </c>
      <c r="B12" s="295" t="s">
        <v>621</v>
      </c>
      <c r="C12" s="296">
        <v>43828.747916666667</v>
      </c>
      <c r="D12" s="385" t="s">
        <v>708</v>
      </c>
      <c r="E12" s="297">
        <v>2.0299999999999998</v>
      </c>
      <c r="F12" s="297"/>
    </row>
    <row r="13" spans="1:9" ht="49.5" customHeight="1">
      <c r="A13" s="295" t="s">
        <v>684</v>
      </c>
      <c r="B13" s="295" t="s">
        <v>685</v>
      </c>
      <c r="C13" s="296">
        <v>43828.759722222225</v>
      </c>
      <c r="D13" s="385" t="s">
        <v>709</v>
      </c>
      <c r="E13" s="297">
        <v>2.17</v>
      </c>
      <c r="F13" s="297"/>
    </row>
    <row r="14" spans="1:9" ht="49.5" customHeight="1">
      <c r="A14" s="295" t="s">
        <v>700</v>
      </c>
      <c r="B14" s="295" t="s">
        <v>620</v>
      </c>
      <c r="C14" s="296">
        <v>43830.783333333333</v>
      </c>
      <c r="D14" s="385" t="s">
        <v>710</v>
      </c>
      <c r="E14" s="296"/>
      <c r="F14" s="297">
        <v>50</v>
      </c>
    </row>
    <row r="15" spans="1:9" ht="26.25" customHeight="1">
      <c r="A15" s="973"/>
      <c r="B15" s="974"/>
      <c r="C15" s="974"/>
      <c r="D15" s="974"/>
      <c r="E15" s="974"/>
      <c r="F15" s="975"/>
    </row>
    <row r="16" spans="1:9">
      <c r="E16" s="294"/>
      <c r="F16" s="294"/>
    </row>
    <row r="17" spans="5:6">
      <c r="E17" s="294"/>
      <c r="F17" s="294"/>
    </row>
    <row r="18" spans="5:6">
      <c r="E18" s="294"/>
      <c r="F18" s="294"/>
    </row>
    <row r="19" spans="5:6">
      <c r="E19" s="294"/>
      <c r="F19" s="294"/>
    </row>
    <row r="20" spans="5:6">
      <c r="E20" s="294"/>
      <c r="F20" s="294"/>
    </row>
    <row r="21" spans="5:6">
      <c r="E21" s="294"/>
      <c r="F21" s="294"/>
    </row>
    <row r="22" spans="5:6">
      <c r="E22" s="294"/>
      <c r="F22" s="294"/>
    </row>
    <row r="23" spans="5:6">
      <c r="E23" s="294"/>
      <c r="F23" s="294"/>
    </row>
    <row r="24" spans="5:6">
      <c r="E24" s="294"/>
      <c r="F24" s="294"/>
    </row>
    <row r="25" spans="5:6">
      <c r="E25" s="294"/>
      <c r="F25" s="294"/>
    </row>
    <row r="26" spans="5:6">
      <c r="E26" s="294"/>
      <c r="F26" s="294"/>
    </row>
    <row r="27" spans="5:6">
      <c r="E27" s="294"/>
      <c r="F27" s="294"/>
    </row>
    <row r="28" spans="5:6">
      <c r="E28" s="294"/>
      <c r="F28" s="294"/>
    </row>
    <row r="29" spans="5:6">
      <c r="E29" s="294"/>
      <c r="F29" s="294"/>
    </row>
    <row r="30" spans="5:6">
      <c r="E30" s="294"/>
      <c r="F30" s="294"/>
    </row>
    <row r="31" spans="5:6">
      <c r="E31" s="294"/>
      <c r="F31" s="294"/>
    </row>
    <row r="32" spans="5:6">
      <c r="E32" s="294"/>
      <c r="F32" s="294"/>
    </row>
    <row r="33" spans="5:6">
      <c r="E33" s="294"/>
      <c r="F33" s="294"/>
    </row>
    <row r="34" spans="5:6">
      <c r="E34" s="294"/>
      <c r="F34" s="294"/>
    </row>
    <row r="35" spans="5:6">
      <c r="E35" s="294"/>
      <c r="F35" s="294"/>
    </row>
    <row r="36" spans="5:6">
      <c r="E36" s="294"/>
      <c r="F36" s="294"/>
    </row>
    <row r="37" spans="5:6">
      <c r="E37" s="294"/>
      <c r="F37" s="294"/>
    </row>
    <row r="38" spans="5:6">
      <c r="E38" s="294"/>
      <c r="F38" s="294"/>
    </row>
    <row r="39" spans="5:6">
      <c r="E39" s="294"/>
      <c r="F39" s="294"/>
    </row>
    <row r="40" spans="5:6">
      <c r="E40" s="294"/>
      <c r="F40" s="294"/>
    </row>
    <row r="41" spans="5:6">
      <c r="E41" s="294"/>
      <c r="F41" s="294"/>
    </row>
    <row r="42" spans="5:6">
      <c r="E42" s="294"/>
      <c r="F42" s="294"/>
    </row>
    <row r="43" spans="5:6">
      <c r="E43" s="294"/>
      <c r="F43" s="294"/>
    </row>
    <row r="44" spans="5:6">
      <c r="E44" s="294"/>
      <c r="F44" s="294"/>
    </row>
    <row r="45" spans="5:6">
      <c r="E45" s="294"/>
      <c r="F45" s="294"/>
    </row>
    <row r="46" spans="5:6">
      <c r="E46" s="294"/>
      <c r="F46" s="294"/>
    </row>
    <row r="47" spans="5:6">
      <c r="E47" s="294"/>
      <c r="F47" s="294"/>
    </row>
    <row r="48" spans="5:6">
      <c r="E48" s="294"/>
      <c r="F48" s="294"/>
    </row>
    <row r="49" spans="5:6">
      <c r="E49" s="294"/>
      <c r="F49" s="294"/>
    </row>
    <row r="50" spans="5:6">
      <c r="E50" s="294"/>
      <c r="F50" s="294"/>
    </row>
    <row r="51" spans="5:6">
      <c r="E51" s="294"/>
      <c r="F51" s="294"/>
    </row>
    <row r="52" spans="5:6">
      <c r="E52" s="294"/>
      <c r="F52" s="294"/>
    </row>
    <row r="53" spans="5:6">
      <c r="E53" s="294"/>
      <c r="F53" s="294"/>
    </row>
    <row r="54" spans="5:6">
      <c r="E54" s="294"/>
      <c r="F54" s="294"/>
    </row>
    <row r="55" spans="5:6">
      <c r="E55" s="294"/>
      <c r="F55" s="294"/>
    </row>
    <row r="56" spans="5:6">
      <c r="E56" s="294"/>
      <c r="F56" s="294"/>
    </row>
    <row r="57" spans="5:6">
      <c r="E57" s="294"/>
      <c r="F57" s="294"/>
    </row>
    <row r="58" spans="5:6">
      <c r="E58" s="294"/>
      <c r="F58" s="294"/>
    </row>
    <row r="59" spans="5:6">
      <c r="E59" s="294"/>
      <c r="F59" s="294"/>
    </row>
    <row r="60" spans="5:6">
      <c r="E60" s="294"/>
      <c r="F60" s="294"/>
    </row>
    <row r="61" spans="5:6">
      <c r="E61" s="294"/>
      <c r="F61" s="294"/>
    </row>
    <row r="62" spans="5:6">
      <c r="E62" s="294"/>
      <c r="F62" s="294"/>
    </row>
    <row r="63" spans="5:6">
      <c r="E63" s="294"/>
      <c r="F63" s="294"/>
    </row>
    <row r="64" spans="5:6">
      <c r="E64" s="294"/>
      <c r="F64" s="294"/>
    </row>
    <row r="65" spans="5:6">
      <c r="E65" s="294"/>
      <c r="F65" s="294"/>
    </row>
    <row r="66" spans="5:6">
      <c r="E66" s="294"/>
      <c r="F66" s="294"/>
    </row>
    <row r="67" spans="5:6">
      <c r="E67" s="294"/>
      <c r="F67" s="294"/>
    </row>
    <row r="68" spans="5:6">
      <c r="E68" s="294"/>
      <c r="F68" s="294"/>
    </row>
    <row r="69" spans="5:6">
      <c r="E69" s="294"/>
      <c r="F69" s="294"/>
    </row>
    <row r="70" spans="5:6">
      <c r="E70" s="294"/>
      <c r="F70" s="294"/>
    </row>
    <row r="71" spans="5:6">
      <c r="E71" s="294"/>
      <c r="F71" s="294"/>
    </row>
    <row r="72" spans="5:6">
      <c r="E72" s="294"/>
      <c r="F72" s="294"/>
    </row>
    <row r="73" spans="5:6">
      <c r="E73" s="294"/>
      <c r="F73" s="294"/>
    </row>
    <row r="74" spans="5:6">
      <c r="E74" s="294"/>
      <c r="F74" s="294"/>
    </row>
    <row r="75" spans="5:6">
      <c r="E75" s="294"/>
      <c r="F75" s="294"/>
    </row>
    <row r="76" spans="5:6">
      <c r="E76" s="294"/>
      <c r="F76" s="294"/>
    </row>
    <row r="77" spans="5:6">
      <c r="E77" s="294"/>
      <c r="F77" s="294"/>
    </row>
    <row r="78" spans="5:6">
      <c r="E78" s="294"/>
      <c r="F78" s="294"/>
    </row>
    <row r="79" spans="5:6">
      <c r="E79" s="294"/>
      <c r="F79" s="294"/>
    </row>
    <row r="80" spans="5:6">
      <c r="E80" s="294"/>
      <c r="F80" s="294"/>
    </row>
    <row r="81" spans="5:6">
      <c r="E81" s="294"/>
      <c r="F81" s="294"/>
    </row>
    <row r="82" spans="5:6">
      <c r="E82" s="294"/>
      <c r="F82" s="294"/>
    </row>
    <row r="83" spans="5:6">
      <c r="E83" s="294"/>
      <c r="F83" s="294"/>
    </row>
    <row r="84" spans="5:6">
      <c r="E84" s="294"/>
      <c r="F84" s="294"/>
    </row>
    <row r="85" spans="5:6">
      <c r="E85" s="294"/>
      <c r="F85" s="294"/>
    </row>
    <row r="86" spans="5:6">
      <c r="E86" s="294"/>
      <c r="F86" s="294"/>
    </row>
    <row r="87" spans="5:6">
      <c r="E87" s="294"/>
      <c r="F87" s="294"/>
    </row>
    <row r="88" spans="5:6">
      <c r="E88" s="294"/>
      <c r="F88" s="294"/>
    </row>
    <row r="89" spans="5:6">
      <c r="E89" s="294"/>
      <c r="F89" s="294"/>
    </row>
    <row r="90" spans="5:6">
      <c r="E90" s="294"/>
      <c r="F90" s="294"/>
    </row>
    <row r="91" spans="5:6">
      <c r="E91" s="294"/>
      <c r="F91" s="294"/>
    </row>
    <row r="92" spans="5:6">
      <c r="E92" s="294"/>
      <c r="F92" s="294"/>
    </row>
    <row r="93" spans="5:6">
      <c r="E93" s="294"/>
      <c r="F93" s="294"/>
    </row>
    <row r="94" spans="5:6">
      <c r="E94" s="294"/>
      <c r="F94" s="294"/>
    </row>
    <row r="95" spans="5:6">
      <c r="E95" s="294"/>
      <c r="F95" s="294"/>
    </row>
    <row r="96" spans="5:6">
      <c r="E96" s="294"/>
      <c r="F96" s="294"/>
    </row>
    <row r="97" spans="5:6">
      <c r="E97" s="294"/>
      <c r="F97" s="294"/>
    </row>
    <row r="98" spans="5:6">
      <c r="E98" s="294"/>
      <c r="F98" s="294"/>
    </row>
    <row r="99" spans="5:6">
      <c r="E99" s="294"/>
      <c r="F99" s="294"/>
    </row>
    <row r="100" spans="5:6">
      <c r="E100" s="294"/>
      <c r="F100" s="294"/>
    </row>
    <row r="101" spans="5:6">
      <c r="E101" s="294"/>
      <c r="F101" s="294"/>
    </row>
    <row r="102" spans="5:6">
      <c r="E102" s="294"/>
      <c r="F102" s="294"/>
    </row>
    <row r="103" spans="5:6">
      <c r="E103" s="294"/>
      <c r="F103" s="294"/>
    </row>
    <row r="104" spans="5:6">
      <c r="E104" s="294"/>
      <c r="F104" s="294"/>
    </row>
    <row r="105" spans="5:6">
      <c r="E105" s="294"/>
      <c r="F105" s="294"/>
    </row>
    <row r="106" spans="5:6">
      <c r="E106" s="294"/>
      <c r="F106" s="294"/>
    </row>
    <row r="107" spans="5:6">
      <c r="E107" s="294"/>
      <c r="F107" s="294"/>
    </row>
    <row r="108" spans="5:6">
      <c r="E108" s="294"/>
      <c r="F108" s="294"/>
    </row>
    <row r="109" spans="5:6">
      <c r="E109" s="294"/>
      <c r="F109" s="294"/>
    </row>
    <row r="110" spans="5:6">
      <c r="E110" s="294"/>
      <c r="F110" s="294"/>
    </row>
    <row r="111" spans="5:6">
      <c r="E111" s="294"/>
      <c r="F111" s="294"/>
    </row>
    <row r="112" spans="5:6">
      <c r="E112" s="294"/>
      <c r="F112" s="294"/>
    </row>
    <row r="113" spans="5:6">
      <c r="E113" s="294"/>
      <c r="F113" s="294"/>
    </row>
    <row r="114" spans="5:6">
      <c r="E114" s="294"/>
      <c r="F114" s="294"/>
    </row>
    <row r="115" spans="5:6">
      <c r="E115" s="294"/>
      <c r="F115" s="294"/>
    </row>
    <row r="116" spans="5:6">
      <c r="E116" s="294"/>
      <c r="F116" s="294"/>
    </row>
    <row r="117" spans="5:6">
      <c r="E117" s="294"/>
      <c r="F117" s="294"/>
    </row>
    <row r="118" spans="5:6">
      <c r="E118" s="294"/>
      <c r="F118" s="294"/>
    </row>
    <row r="119" spans="5:6">
      <c r="E119" s="294"/>
      <c r="F119" s="294"/>
    </row>
    <row r="120" spans="5:6">
      <c r="E120" s="294"/>
      <c r="F120" s="294"/>
    </row>
    <row r="121" spans="5:6">
      <c r="E121" s="294"/>
      <c r="F121" s="294"/>
    </row>
    <row r="122" spans="5:6">
      <c r="E122" s="294"/>
      <c r="F122" s="294"/>
    </row>
    <row r="123" spans="5:6">
      <c r="E123" s="294"/>
      <c r="F123" s="294"/>
    </row>
    <row r="124" spans="5:6">
      <c r="E124" s="294"/>
      <c r="F124" s="294"/>
    </row>
    <row r="125" spans="5:6">
      <c r="E125" s="294"/>
      <c r="F125" s="294"/>
    </row>
    <row r="126" spans="5:6">
      <c r="E126" s="294"/>
      <c r="F126" s="294"/>
    </row>
    <row r="127" spans="5:6">
      <c r="E127" s="294"/>
      <c r="F127" s="294"/>
    </row>
    <row r="128" spans="5:6">
      <c r="E128" s="294"/>
      <c r="F128" s="294"/>
    </row>
    <row r="129" spans="5:6">
      <c r="E129" s="294"/>
      <c r="F129" s="294"/>
    </row>
    <row r="130" spans="5:6">
      <c r="E130" s="294"/>
      <c r="F130" s="294"/>
    </row>
    <row r="131" spans="5:6">
      <c r="E131" s="294"/>
      <c r="F131" s="294"/>
    </row>
    <row r="132" spans="5:6">
      <c r="E132" s="294"/>
      <c r="F132" s="294"/>
    </row>
    <row r="133" spans="5:6">
      <c r="E133" s="294"/>
      <c r="F133" s="294"/>
    </row>
  </sheetData>
  <mergeCells count="1">
    <mergeCell ref="A15:F15"/>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rgb="FF008FC8"/>
  </sheetPr>
  <dimension ref="B4:O65"/>
  <sheetViews>
    <sheetView showGridLines="0" view="pageBreakPreview" topLeftCell="A7" zoomScale="130" zoomScaleNormal="100" zoomScaleSheetLayoutView="130" workbookViewId="0"/>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9"/>
      <c r="C7" s="25"/>
      <c r="D7" s="25"/>
      <c r="E7" s="25"/>
      <c r="F7" s="25"/>
      <c r="G7" s="25"/>
      <c r="H7" s="25"/>
      <c r="I7" s="25"/>
      <c r="J7" s="25"/>
      <c r="K7" s="25"/>
      <c r="L7" s="25"/>
      <c r="M7" s="25"/>
      <c r="N7" s="25"/>
      <c r="O7" s="25"/>
    </row>
    <row r="8" spans="2:15">
      <c r="B8" s="219"/>
      <c r="C8" s="25"/>
      <c r="D8" s="25"/>
      <c r="E8" s="25"/>
      <c r="F8" s="25"/>
      <c r="G8" s="25"/>
      <c r="H8" s="25"/>
      <c r="I8" s="25"/>
      <c r="J8" s="25"/>
      <c r="K8" s="25"/>
      <c r="L8" s="25"/>
      <c r="M8" s="25"/>
      <c r="N8" s="25"/>
      <c r="O8" s="25"/>
    </row>
    <row r="9" spans="2:15">
      <c r="B9" s="219"/>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98"/>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8FC8"/>
    <pageSetUpPr fitToPage="1"/>
  </sheetPr>
  <dimension ref="A1:W67"/>
  <sheetViews>
    <sheetView showGridLines="0" view="pageBreakPreview" topLeftCell="A13" zoomScale="115" zoomScaleNormal="100" zoomScaleSheetLayoutView="115" zoomScalePageLayoutView="115" workbookViewId="0"/>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300"/>
    <col min="15" max="16" width="10.1640625" style="326" bestFit="1" customWidth="1"/>
    <col min="17" max="17" width="11.5" style="326" customWidth="1"/>
    <col min="18" max="23" width="9.33203125" style="326"/>
    <col min="24" max="16384" width="9.33203125" style="46"/>
  </cols>
  <sheetData>
    <row r="1" spans="1:17" ht="27.75" customHeight="1">
      <c r="A1" s="845" t="s">
        <v>22</v>
      </c>
      <c r="B1" s="845"/>
      <c r="C1" s="845"/>
      <c r="D1" s="845"/>
      <c r="E1" s="845"/>
      <c r="F1" s="845"/>
      <c r="G1" s="845"/>
      <c r="H1" s="845"/>
      <c r="I1" s="845"/>
      <c r="J1" s="845"/>
      <c r="K1" s="845"/>
      <c r="L1" s="845"/>
      <c r="M1" s="845"/>
      <c r="N1" s="299"/>
      <c r="O1" s="325"/>
      <c r="P1" s="325"/>
      <c r="Q1" s="325"/>
    </row>
    <row r="2" spans="1:17" ht="11.25" customHeight="1">
      <c r="A2" s="41"/>
      <c r="B2" s="40"/>
      <c r="C2" s="65"/>
      <c r="D2" s="65"/>
      <c r="E2" s="65"/>
      <c r="F2" s="65"/>
      <c r="G2" s="65"/>
      <c r="H2" s="65"/>
      <c r="I2" s="65"/>
      <c r="J2" s="65"/>
      <c r="K2" s="40"/>
      <c r="L2" s="40"/>
      <c r="M2" s="40"/>
      <c r="N2" s="299"/>
      <c r="O2" s="325"/>
      <c r="P2" s="325"/>
      <c r="Q2" s="325"/>
    </row>
    <row r="3" spans="1:17" ht="21.75" customHeight="1">
      <c r="A3" s="40"/>
      <c r="B3" s="42"/>
      <c r="C3" s="852" t="str">
        <f>+UPPER(Q4)&amp;" "&amp;Q5</f>
        <v>DICIEMBRE 2019</v>
      </c>
      <c r="D3" s="845"/>
      <c r="E3" s="845"/>
      <c r="F3" s="845"/>
      <c r="G3" s="845"/>
      <c r="H3" s="845"/>
      <c r="I3" s="845"/>
      <c r="J3" s="845"/>
      <c r="K3" s="40"/>
      <c r="L3" s="40"/>
      <c r="M3" s="40"/>
      <c r="N3" s="299"/>
      <c r="O3" s="325"/>
      <c r="P3" s="325"/>
      <c r="Q3" s="325"/>
    </row>
    <row r="4" spans="1:17" ht="11.25" customHeight="1">
      <c r="A4" s="40"/>
      <c r="B4" s="42"/>
      <c r="C4" s="40"/>
      <c r="D4" s="40"/>
      <c r="E4" s="40"/>
      <c r="F4" s="40"/>
      <c r="G4" s="40"/>
      <c r="H4" s="40"/>
      <c r="I4" s="40"/>
      <c r="J4" s="40"/>
      <c r="K4" s="40"/>
      <c r="L4" s="40"/>
      <c r="M4" s="40"/>
      <c r="N4" s="301"/>
      <c r="O4" s="327"/>
      <c r="P4" s="325" t="s">
        <v>214</v>
      </c>
      <c r="Q4" s="328" t="s">
        <v>690</v>
      </c>
    </row>
    <row r="5" spans="1:17" ht="11.25" customHeight="1">
      <c r="A5" s="47"/>
      <c r="B5" s="48"/>
      <c r="C5" s="49"/>
      <c r="D5" s="49"/>
      <c r="E5" s="49"/>
      <c r="F5" s="49"/>
      <c r="G5" s="49"/>
      <c r="H5" s="49"/>
      <c r="I5" s="49"/>
      <c r="J5" s="49"/>
      <c r="K5" s="49"/>
      <c r="L5" s="49"/>
      <c r="M5" s="40"/>
      <c r="N5" s="301"/>
      <c r="O5" s="327"/>
      <c r="P5" s="325" t="s">
        <v>215</v>
      </c>
      <c r="Q5" s="327">
        <v>2019</v>
      </c>
    </row>
    <row r="6" spans="1:17" ht="17.25" customHeight="1">
      <c r="A6" s="60" t="s">
        <v>460</v>
      </c>
      <c r="B6" s="40"/>
      <c r="C6" s="40"/>
      <c r="D6" s="40"/>
      <c r="E6" s="40"/>
      <c r="F6" s="40"/>
      <c r="G6" s="40"/>
      <c r="H6" s="40"/>
      <c r="I6" s="40"/>
      <c r="J6" s="40"/>
      <c r="K6" s="40"/>
      <c r="L6" s="40"/>
      <c r="M6" s="40"/>
      <c r="N6" s="299"/>
      <c r="O6" s="325"/>
      <c r="P6" s="325"/>
      <c r="Q6" s="334">
        <v>43800</v>
      </c>
    </row>
    <row r="7" spans="1:17" ht="11.25" customHeight="1">
      <c r="A7" s="40"/>
      <c r="B7" s="40"/>
      <c r="C7" s="40"/>
      <c r="D7" s="40"/>
      <c r="E7" s="40"/>
      <c r="F7" s="40"/>
      <c r="G7" s="40"/>
      <c r="H7" s="40"/>
      <c r="I7" s="40"/>
      <c r="J7" s="40"/>
      <c r="K7" s="40"/>
      <c r="L7" s="40"/>
      <c r="M7" s="40"/>
      <c r="N7" s="299"/>
      <c r="O7" s="325"/>
      <c r="P7" s="325"/>
      <c r="Q7" s="325">
        <v>31</v>
      </c>
    </row>
    <row r="8" spans="1:17" ht="11.25" customHeight="1">
      <c r="A8" s="43"/>
      <c r="B8" s="43"/>
      <c r="C8" s="43"/>
      <c r="D8" s="43"/>
      <c r="E8" s="43"/>
      <c r="F8" s="43"/>
      <c r="G8" s="43"/>
      <c r="H8" s="43"/>
      <c r="I8" s="43"/>
      <c r="J8" s="43"/>
      <c r="K8" s="43"/>
      <c r="L8" s="43"/>
      <c r="M8" s="43"/>
      <c r="N8" s="302"/>
      <c r="O8" s="329"/>
      <c r="P8" s="329"/>
      <c r="Q8" s="329"/>
    </row>
    <row r="9" spans="1:17" ht="14.25" customHeight="1">
      <c r="A9" s="40" t="str">
        <f>"1.1. Producción de energía eléctrica en "&amp;LOWER(Q4)&amp;" "&amp;Q5&amp;" en comparación al mismo mes del año anterior"</f>
        <v>1.1. Producción de energía eléctrica en diciembre 2019 en comparación al mismo mes del año anterior</v>
      </c>
      <c r="B9" s="40"/>
      <c r="C9" s="40"/>
      <c r="D9" s="40"/>
      <c r="E9" s="40"/>
      <c r="F9" s="40"/>
      <c r="G9" s="40"/>
      <c r="H9" s="40"/>
      <c r="I9" s="40"/>
      <c r="J9" s="40"/>
      <c r="K9" s="40"/>
      <c r="L9" s="40"/>
      <c r="M9" s="40"/>
      <c r="N9" s="299"/>
      <c r="O9" s="325"/>
      <c r="P9" s="325"/>
      <c r="Q9" s="325"/>
    </row>
    <row r="10" spans="1:17" ht="11.25" customHeight="1">
      <c r="A10" s="47"/>
      <c r="B10" s="44"/>
      <c r="C10" s="44"/>
      <c r="D10" s="44"/>
      <c r="E10" s="44"/>
      <c r="F10" s="44"/>
      <c r="G10" s="44"/>
      <c r="H10" s="44"/>
      <c r="I10" s="44"/>
      <c r="J10" s="44"/>
      <c r="K10" s="44"/>
      <c r="L10" s="44"/>
      <c r="M10" s="44"/>
      <c r="N10" s="301"/>
      <c r="O10" s="327"/>
      <c r="P10" s="327"/>
      <c r="Q10" s="327"/>
    </row>
    <row r="11" spans="1:17" ht="11.25" customHeight="1">
      <c r="A11" s="50"/>
      <c r="B11" s="50"/>
      <c r="C11" s="50"/>
      <c r="D11" s="50"/>
      <c r="E11" s="50"/>
      <c r="F11" s="50"/>
      <c r="G11" s="50"/>
      <c r="H11" s="50"/>
      <c r="I11" s="50"/>
      <c r="J11" s="50"/>
      <c r="K11" s="50"/>
      <c r="L11" s="50"/>
      <c r="M11" s="50"/>
      <c r="N11" s="303"/>
      <c r="O11" s="330"/>
      <c r="P11" s="330"/>
      <c r="Q11" s="330"/>
    </row>
    <row r="12" spans="1:17" ht="26.25" customHeight="1">
      <c r="A12" s="62" t="s">
        <v>23</v>
      </c>
      <c r="B12" s="851" t="s">
        <v>686</v>
      </c>
      <c r="C12" s="851"/>
      <c r="D12" s="851"/>
      <c r="E12" s="851"/>
      <c r="F12" s="851"/>
      <c r="G12" s="851"/>
      <c r="H12" s="851"/>
      <c r="I12" s="851"/>
      <c r="J12" s="851"/>
      <c r="K12" s="851"/>
      <c r="L12" s="851"/>
      <c r="M12" s="851"/>
      <c r="N12" s="301"/>
      <c r="O12" s="327"/>
      <c r="P12" s="327"/>
      <c r="Q12" s="327"/>
    </row>
    <row r="13" spans="1:17" ht="12.75" customHeight="1">
      <c r="A13" s="40"/>
      <c r="B13" s="64"/>
      <c r="C13" s="64"/>
      <c r="D13" s="64"/>
      <c r="E13" s="64"/>
      <c r="F13" s="64"/>
      <c r="G13" s="64"/>
      <c r="H13" s="64"/>
      <c r="I13" s="64"/>
      <c r="J13" s="64"/>
      <c r="K13" s="64"/>
      <c r="L13" s="64"/>
      <c r="M13" s="44"/>
      <c r="N13" s="301"/>
      <c r="O13" s="327"/>
      <c r="P13" s="327"/>
      <c r="Q13" s="327"/>
    </row>
    <row r="14" spans="1:17" ht="28.5" customHeight="1">
      <c r="A14" s="62" t="s">
        <v>23</v>
      </c>
      <c r="B14" s="851" t="s">
        <v>687</v>
      </c>
      <c r="C14" s="851"/>
      <c r="D14" s="851"/>
      <c r="E14" s="851"/>
      <c r="F14" s="851"/>
      <c r="G14" s="851"/>
      <c r="H14" s="851"/>
      <c r="I14" s="851"/>
      <c r="J14" s="851"/>
      <c r="K14" s="851"/>
      <c r="L14" s="851"/>
      <c r="M14" s="851"/>
      <c r="N14" s="301"/>
      <c r="O14" s="327"/>
      <c r="P14" s="327"/>
      <c r="Q14" s="327"/>
    </row>
    <row r="15" spans="1:17" ht="15" customHeight="1">
      <c r="A15" s="63"/>
      <c r="B15" s="64"/>
      <c r="C15" s="64"/>
      <c r="D15" s="64"/>
      <c r="E15" s="64"/>
      <c r="F15" s="64"/>
      <c r="G15" s="64"/>
      <c r="H15" s="64"/>
      <c r="I15" s="64"/>
      <c r="J15" s="64"/>
      <c r="K15" s="64"/>
      <c r="L15" s="64"/>
      <c r="M15" s="44"/>
      <c r="N15" s="301"/>
      <c r="O15" s="327"/>
      <c r="P15" s="327"/>
      <c r="Q15" s="327"/>
    </row>
    <row r="16" spans="1:17" ht="59.25" customHeight="1">
      <c r="A16" s="62" t="s">
        <v>23</v>
      </c>
      <c r="B16" s="851" t="s">
        <v>688</v>
      </c>
      <c r="C16" s="851"/>
      <c r="D16" s="851"/>
      <c r="E16" s="851"/>
      <c r="F16" s="851"/>
      <c r="G16" s="851"/>
      <c r="H16" s="851"/>
      <c r="I16" s="851"/>
      <c r="J16" s="851"/>
      <c r="K16" s="851"/>
      <c r="L16" s="851"/>
      <c r="M16" s="851"/>
      <c r="N16" s="301"/>
      <c r="O16" s="327"/>
      <c r="P16" s="327"/>
      <c r="Q16" s="327"/>
    </row>
    <row r="17" spans="1:18" ht="17.25" customHeight="1">
      <c r="A17" s="44"/>
      <c r="B17" s="44"/>
      <c r="C17" s="44"/>
      <c r="D17" s="44"/>
      <c r="E17" s="44"/>
      <c r="F17" s="44"/>
      <c r="G17" s="44"/>
      <c r="H17" s="44"/>
      <c r="I17" s="44"/>
      <c r="J17" s="44"/>
      <c r="K17" s="44"/>
      <c r="L17" s="44"/>
      <c r="M17" s="44"/>
      <c r="N17" s="301"/>
      <c r="O17" s="327"/>
      <c r="P17" s="327"/>
      <c r="Q17" s="327"/>
    </row>
    <row r="18" spans="1:18" ht="25.5" customHeight="1">
      <c r="A18" s="61" t="s">
        <v>23</v>
      </c>
      <c r="B18" s="850" t="s">
        <v>689</v>
      </c>
      <c r="C18" s="850"/>
      <c r="D18" s="850"/>
      <c r="E18" s="850"/>
      <c r="F18" s="850"/>
      <c r="G18" s="850"/>
      <c r="H18" s="850"/>
      <c r="I18" s="850"/>
      <c r="J18" s="850"/>
      <c r="K18" s="850"/>
      <c r="L18" s="850"/>
      <c r="M18" s="850"/>
      <c r="N18" s="301"/>
      <c r="O18" s="327"/>
      <c r="P18" s="327"/>
      <c r="Q18" s="327"/>
    </row>
    <row r="19" spans="1:18" ht="11.25" customHeight="1">
      <c r="A19" s="44"/>
      <c r="B19" s="44"/>
      <c r="C19" s="44"/>
      <c r="D19" s="44"/>
      <c r="E19" s="44"/>
      <c r="F19" s="44"/>
      <c r="G19" s="44"/>
      <c r="H19" s="44"/>
      <c r="I19" s="44"/>
      <c r="J19" s="44"/>
      <c r="K19" s="44"/>
      <c r="L19" s="44"/>
      <c r="M19" s="44"/>
      <c r="N19" s="301"/>
      <c r="O19" s="327"/>
      <c r="P19" s="327"/>
      <c r="Q19" s="327"/>
    </row>
    <row r="20" spans="1:18" ht="15.75" customHeight="1">
      <c r="A20" s="44"/>
      <c r="B20" s="44"/>
      <c r="C20" s="849" t="str">
        <f>+UPPER(Q4)&amp;" "&amp;Q5</f>
        <v>DICIEMBRE 2019</v>
      </c>
      <c r="D20" s="849"/>
      <c r="E20" s="849"/>
      <c r="F20" s="40"/>
      <c r="G20" s="40"/>
      <c r="H20" s="40"/>
      <c r="I20" s="849" t="str">
        <f>+UPPER(Q4)&amp;" "&amp;Q5-1</f>
        <v>DICIEMBRE 2018</v>
      </c>
      <c r="J20" s="849"/>
      <c r="K20" s="849"/>
      <c r="L20" s="44"/>
      <c r="M20" s="44"/>
      <c r="Q20" s="327"/>
    </row>
    <row r="21" spans="1:18" ht="11.25" customHeight="1">
      <c r="A21" s="44"/>
      <c r="B21" s="44"/>
      <c r="C21" s="44"/>
      <c r="D21" s="44"/>
      <c r="E21" s="44"/>
      <c r="F21" s="44"/>
      <c r="G21" s="44"/>
      <c r="H21" s="44"/>
      <c r="I21" s="44"/>
      <c r="J21" s="44"/>
      <c r="K21" s="44"/>
      <c r="L21" s="44"/>
      <c r="M21" s="44"/>
      <c r="Q21" s="327"/>
    </row>
    <row r="22" spans="1:18" ht="11.25" customHeight="1">
      <c r="A22" s="51"/>
      <c r="B22" s="52"/>
      <c r="C22" s="52"/>
      <c r="D22" s="52"/>
      <c r="E22" s="52"/>
      <c r="F22" s="52"/>
      <c r="G22" s="52"/>
      <c r="H22" s="52"/>
      <c r="I22" s="52"/>
      <c r="J22" s="52"/>
      <c r="K22" s="52"/>
      <c r="L22" s="52"/>
      <c r="M22" s="52"/>
      <c r="N22" s="360" t="s">
        <v>31</v>
      </c>
      <c r="O22" s="802"/>
      <c r="P22" s="802"/>
    </row>
    <row r="23" spans="1:18" ht="11.25" customHeight="1">
      <c r="A23" s="51"/>
      <c r="B23" s="52"/>
      <c r="C23" s="52"/>
      <c r="D23" s="52"/>
      <c r="E23" s="52"/>
      <c r="F23" s="52"/>
      <c r="G23" s="52"/>
      <c r="H23" s="52"/>
      <c r="I23" s="52"/>
      <c r="J23" s="52"/>
      <c r="K23" s="52"/>
      <c r="L23" s="52"/>
      <c r="M23" s="52"/>
      <c r="N23" s="360" t="s">
        <v>24</v>
      </c>
      <c r="O23" s="803">
        <v>3149.3912726024996</v>
      </c>
      <c r="P23" s="803">
        <v>2436.2101136875003</v>
      </c>
      <c r="Q23" s="332"/>
    </row>
    <row r="24" spans="1:18" ht="11.25" customHeight="1">
      <c r="A24" s="44"/>
      <c r="B24" s="44"/>
      <c r="C24" s="44"/>
      <c r="D24" s="44"/>
      <c r="E24" s="43"/>
      <c r="F24" s="44"/>
      <c r="G24" s="44"/>
      <c r="H24" s="44"/>
      <c r="I24" s="44"/>
      <c r="J24" s="44"/>
      <c r="K24" s="44"/>
      <c r="L24" s="44"/>
      <c r="M24" s="43"/>
      <c r="N24" s="361" t="s">
        <v>25</v>
      </c>
      <c r="O24" s="804">
        <v>1205.8369907049998</v>
      </c>
      <c r="P24" s="804">
        <v>1812.1990822999999</v>
      </c>
      <c r="Q24" s="331"/>
      <c r="R24" s="331"/>
    </row>
    <row r="25" spans="1:18" ht="11.25" customHeight="1">
      <c r="A25" s="44"/>
      <c r="B25" s="44"/>
      <c r="C25" s="44"/>
      <c r="D25" s="44"/>
      <c r="E25" s="44"/>
      <c r="F25" s="44"/>
      <c r="G25" s="44"/>
      <c r="H25" s="44"/>
      <c r="I25" s="44"/>
      <c r="J25" s="53"/>
      <c r="K25" s="53"/>
      <c r="L25" s="44"/>
      <c r="M25" s="44"/>
      <c r="N25" s="361" t="s">
        <v>26</v>
      </c>
      <c r="O25" s="804">
        <v>0</v>
      </c>
      <c r="P25" s="804">
        <v>0</v>
      </c>
      <c r="Q25" s="333"/>
    </row>
    <row r="26" spans="1:18" ht="11.25" customHeight="1">
      <c r="A26" s="44"/>
      <c r="B26" s="44"/>
      <c r="C26" s="44"/>
      <c r="D26" s="44"/>
      <c r="E26" s="44"/>
      <c r="F26" s="44"/>
      <c r="G26" s="44"/>
      <c r="H26" s="44"/>
      <c r="I26" s="44"/>
      <c r="J26" s="53"/>
      <c r="K26" s="53"/>
      <c r="L26" s="44"/>
      <c r="M26" s="44"/>
      <c r="N26" s="360" t="s">
        <v>27</v>
      </c>
      <c r="O26" s="803">
        <v>2.8942725924999997</v>
      </c>
      <c r="P26" s="803">
        <v>14.568871332499999</v>
      </c>
      <c r="Q26" s="333"/>
    </row>
    <row r="27" spans="1:18" ht="11.25" customHeight="1">
      <c r="A27" s="44"/>
      <c r="B27" s="44"/>
      <c r="C27" s="44"/>
      <c r="D27" s="44"/>
      <c r="E27" s="44"/>
      <c r="F27" s="44"/>
      <c r="G27" s="44"/>
      <c r="H27" s="44"/>
      <c r="I27" s="44"/>
      <c r="J27" s="53"/>
      <c r="K27" s="44"/>
      <c r="L27" s="44"/>
      <c r="M27" s="44"/>
      <c r="N27" s="360" t="s">
        <v>28</v>
      </c>
      <c r="O27" s="803">
        <v>24.5232905925</v>
      </c>
      <c r="P27" s="803">
        <v>16.608781927500001</v>
      </c>
      <c r="Q27" s="333"/>
    </row>
    <row r="28" spans="1:18" ht="11.25" customHeight="1">
      <c r="A28" s="44"/>
      <c r="B28" s="44"/>
      <c r="C28" s="53"/>
      <c r="D28" s="53"/>
      <c r="E28" s="53"/>
      <c r="F28" s="53"/>
      <c r="G28" s="53"/>
      <c r="H28" s="53"/>
      <c r="I28" s="53"/>
      <c r="J28" s="53"/>
      <c r="K28" s="53"/>
      <c r="L28" s="44"/>
      <c r="M28" s="44"/>
      <c r="N28" s="360" t="s">
        <v>29</v>
      </c>
      <c r="O28" s="803">
        <v>131.07747016499999</v>
      </c>
      <c r="P28" s="803">
        <v>139.86001345999998</v>
      </c>
      <c r="Q28" s="333"/>
    </row>
    <row r="29" spans="1:18" ht="11.25" customHeight="1">
      <c r="A29" s="44"/>
      <c r="B29" s="44"/>
      <c r="C29" s="53"/>
      <c r="D29" s="53"/>
      <c r="E29" s="53"/>
      <c r="F29" s="53"/>
      <c r="G29" s="53"/>
      <c r="H29" s="53"/>
      <c r="I29" s="53"/>
      <c r="J29" s="53"/>
      <c r="K29" s="53"/>
      <c r="L29" s="44"/>
      <c r="M29" s="44"/>
      <c r="N29" s="360" t="s">
        <v>30</v>
      </c>
      <c r="O29" s="803">
        <v>77.499948982500001</v>
      </c>
      <c r="P29" s="803">
        <v>76.637353504999993</v>
      </c>
      <c r="Q29" s="333"/>
    </row>
    <row r="30" spans="1:18" ht="11.25" customHeight="1">
      <c r="A30" s="44"/>
      <c r="B30" s="44"/>
      <c r="C30" s="53"/>
      <c r="D30" s="53"/>
      <c r="E30" s="53"/>
      <c r="F30" s="53"/>
      <c r="G30" s="53"/>
      <c r="H30" s="53"/>
      <c r="I30" s="53"/>
      <c r="J30" s="53"/>
      <c r="K30" s="53"/>
      <c r="L30" s="44"/>
      <c r="M30" s="44"/>
      <c r="N30" s="360"/>
      <c r="O30" s="333"/>
      <c r="P30" s="333"/>
      <c r="Q30" s="333"/>
    </row>
    <row r="31" spans="1:18" ht="11.25" customHeight="1">
      <c r="A31" s="44"/>
      <c r="B31" s="44"/>
      <c r="C31" s="53"/>
      <c r="D31" s="53"/>
      <c r="E31" s="53"/>
      <c r="F31" s="53"/>
      <c r="G31" s="53"/>
      <c r="H31" s="53"/>
      <c r="I31" s="53"/>
      <c r="J31" s="53"/>
      <c r="K31" s="53"/>
      <c r="L31" s="44"/>
      <c r="M31" s="44"/>
      <c r="O31" s="382"/>
      <c r="P31" s="382"/>
      <c r="Q31" s="383"/>
    </row>
    <row r="32" spans="1:18" ht="11.25" customHeight="1">
      <c r="A32" s="44"/>
      <c r="B32" s="44"/>
      <c r="C32" s="53"/>
      <c r="D32" s="53"/>
      <c r="E32" s="53"/>
      <c r="F32" s="53"/>
      <c r="G32" s="53"/>
      <c r="H32" s="53"/>
      <c r="I32" s="53"/>
      <c r="J32" s="53"/>
      <c r="K32" s="53"/>
      <c r="L32" s="44"/>
      <c r="M32" s="44"/>
      <c r="Q32" s="327"/>
    </row>
    <row r="33" spans="1:17" ht="11.25" customHeight="1">
      <c r="A33" s="44"/>
      <c r="B33" s="44"/>
      <c r="C33" s="53"/>
      <c r="D33" s="53"/>
      <c r="E33" s="53"/>
      <c r="F33" s="53"/>
      <c r="G33" s="53"/>
      <c r="H33" s="53"/>
      <c r="I33" s="53"/>
      <c r="J33" s="53"/>
      <c r="K33" s="53"/>
      <c r="L33" s="44"/>
      <c r="M33" s="44"/>
      <c r="Q33" s="327"/>
    </row>
    <row r="34" spans="1:17" ht="11.25" customHeight="1">
      <c r="A34" s="44"/>
      <c r="B34" s="44"/>
      <c r="C34" s="53"/>
      <c r="D34" s="53"/>
      <c r="E34" s="53"/>
      <c r="F34" s="53"/>
      <c r="G34" s="53"/>
      <c r="H34" s="53"/>
      <c r="I34" s="53"/>
      <c r="J34" s="53"/>
      <c r="K34" s="53"/>
      <c r="L34" s="44"/>
      <c r="M34" s="44"/>
      <c r="Q34" s="327"/>
    </row>
    <row r="35" spans="1:17" ht="11.25" customHeight="1">
      <c r="A35" s="54"/>
      <c r="B35" s="54"/>
      <c r="C35" s="55"/>
      <c r="D35" s="55"/>
      <c r="E35" s="55"/>
      <c r="F35" s="55"/>
      <c r="G35" s="55"/>
      <c r="H35" s="55"/>
      <c r="I35" s="55"/>
      <c r="J35" s="54"/>
      <c r="K35" s="54"/>
      <c r="L35" s="54"/>
      <c r="M35" s="54"/>
      <c r="Q35" s="327"/>
    </row>
    <row r="36" spans="1:17" ht="11.25" customHeight="1">
      <c r="A36" s="54"/>
      <c r="B36" s="54"/>
      <c r="C36" s="55"/>
      <c r="D36" s="55"/>
      <c r="E36" s="55"/>
      <c r="F36" s="55"/>
      <c r="G36" s="55"/>
      <c r="H36" s="55"/>
      <c r="I36" s="55"/>
      <c r="J36" s="54"/>
      <c r="K36" s="54"/>
      <c r="L36" s="54"/>
      <c r="M36" s="54"/>
      <c r="Q36" s="327"/>
    </row>
    <row r="37" spans="1:17" ht="11.25" customHeight="1">
      <c r="A37" s="54"/>
      <c r="B37" s="54"/>
      <c r="C37" s="55"/>
      <c r="D37" s="55"/>
      <c r="E37" s="55"/>
      <c r="F37" s="55"/>
      <c r="G37" s="55"/>
      <c r="H37" s="55"/>
      <c r="I37" s="55"/>
      <c r="J37" s="54"/>
      <c r="K37" s="54"/>
      <c r="L37" s="54"/>
      <c r="M37" s="54"/>
      <c r="N37" s="301"/>
      <c r="O37" s="327"/>
      <c r="P37" s="327"/>
      <c r="Q37" s="327"/>
    </row>
    <row r="38" spans="1:17" ht="11.25" customHeight="1">
      <c r="A38" s="54"/>
      <c r="B38" s="54"/>
      <c r="C38" s="55"/>
      <c r="D38" s="55"/>
      <c r="E38" s="55"/>
      <c r="F38" s="55"/>
      <c r="G38" s="55"/>
      <c r="H38" s="55"/>
      <c r="I38" s="55"/>
      <c r="J38" s="54"/>
      <c r="K38" s="54"/>
      <c r="L38" s="54"/>
      <c r="M38" s="54"/>
      <c r="N38" s="301"/>
      <c r="O38" s="327"/>
      <c r="P38" s="327"/>
      <c r="Q38" s="327"/>
    </row>
    <row r="39" spans="1:17" ht="11.25" customHeight="1">
      <c r="A39" s="54"/>
      <c r="B39" s="54"/>
      <c r="C39" s="55"/>
      <c r="D39" s="55"/>
      <c r="E39" s="55"/>
      <c r="F39" s="55"/>
      <c r="G39" s="55"/>
      <c r="H39" s="55"/>
      <c r="I39" s="55"/>
      <c r="J39" s="54"/>
      <c r="K39" s="54"/>
      <c r="L39" s="54"/>
      <c r="M39" s="54"/>
      <c r="N39" s="301"/>
      <c r="O39" s="327"/>
      <c r="P39" s="327"/>
      <c r="Q39" s="327"/>
    </row>
    <row r="40" spans="1:17" ht="11.25" customHeight="1">
      <c r="A40" s="54"/>
      <c r="B40" s="54"/>
      <c r="C40" s="55"/>
      <c r="D40" s="55"/>
      <c r="E40" s="55"/>
      <c r="F40" s="55"/>
      <c r="G40" s="55"/>
      <c r="H40" s="55"/>
      <c r="I40" s="55"/>
      <c r="J40" s="54"/>
      <c r="K40" s="54"/>
      <c r="L40" s="54"/>
      <c r="M40" s="54"/>
      <c r="N40" s="301"/>
      <c r="O40" s="327"/>
      <c r="P40" s="327"/>
      <c r="Q40" s="327"/>
    </row>
    <row r="41" spans="1:17" ht="11.25" customHeight="1">
      <c r="A41" s="54"/>
      <c r="B41" s="54"/>
      <c r="C41" s="54"/>
      <c r="D41" s="55"/>
      <c r="E41" s="55"/>
      <c r="F41" s="55"/>
      <c r="G41" s="55"/>
      <c r="H41" s="54"/>
      <c r="I41" s="54"/>
      <c r="J41" s="54"/>
      <c r="K41" s="54"/>
      <c r="L41" s="54"/>
      <c r="M41" s="54"/>
      <c r="N41" s="301"/>
      <c r="O41" s="327"/>
      <c r="P41" s="327"/>
      <c r="Q41" s="327"/>
    </row>
    <row r="42" spans="1:17" ht="11.25" customHeight="1">
      <c r="A42" s="54"/>
      <c r="B42" s="54"/>
      <c r="C42" s="55"/>
      <c r="D42" s="55"/>
      <c r="E42" s="55"/>
      <c r="F42" s="55"/>
      <c r="G42" s="55"/>
      <c r="H42" s="55"/>
      <c r="I42" s="55"/>
      <c r="J42" s="54"/>
      <c r="K42" s="54"/>
      <c r="L42" s="54"/>
      <c r="M42" s="54"/>
      <c r="N42" s="301"/>
      <c r="O42" s="327"/>
      <c r="P42" s="327"/>
      <c r="Q42" s="327"/>
    </row>
    <row r="43" spans="1:17" ht="11.25" customHeight="1">
      <c r="A43" s="54"/>
      <c r="B43" s="54"/>
      <c r="C43" s="55"/>
      <c r="D43" s="55"/>
      <c r="E43" s="55"/>
      <c r="F43" s="55"/>
      <c r="G43" s="55"/>
      <c r="H43" s="55"/>
      <c r="I43" s="55"/>
      <c r="J43" s="54"/>
      <c r="K43" s="54"/>
      <c r="L43" s="54"/>
      <c r="M43" s="54"/>
      <c r="N43" s="301"/>
      <c r="O43" s="327"/>
      <c r="P43" s="327"/>
      <c r="Q43" s="327"/>
    </row>
    <row r="44" spans="1:17" ht="11.25" customHeight="1">
      <c r="A44" s="54"/>
      <c r="B44" s="54"/>
      <c r="C44" s="55"/>
      <c r="D44" s="55"/>
      <c r="E44" s="55"/>
      <c r="F44" s="55"/>
      <c r="G44" s="55"/>
      <c r="H44" s="55"/>
      <c r="I44" s="55"/>
      <c r="J44" s="54"/>
      <c r="K44" s="54"/>
      <c r="L44" s="54"/>
      <c r="M44" s="54"/>
      <c r="N44" s="301"/>
      <c r="O44" s="327"/>
      <c r="P44" s="327"/>
      <c r="Q44" s="327"/>
    </row>
    <row r="45" spans="1:17" ht="11.25" customHeight="1">
      <c r="A45" s="54"/>
      <c r="B45" s="54"/>
      <c r="C45" s="55"/>
      <c r="D45" s="55"/>
      <c r="E45" s="55"/>
      <c r="F45" s="55"/>
      <c r="G45" s="55"/>
      <c r="H45" s="55"/>
      <c r="I45" s="55"/>
      <c r="J45" s="54"/>
      <c r="K45" s="54"/>
      <c r="L45" s="54"/>
      <c r="M45" s="54"/>
      <c r="N45" s="301"/>
      <c r="O45" s="327"/>
      <c r="P45" s="327"/>
      <c r="Q45" s="327"/>
    </row>
    <row r="46" spans="1:17" ht="11.25" customHeight="1">
      <c r="A46" s="54"/>
      <c r="B46" s="54"/>
      <c r="C46" s="54"/>
      <c r="D46" s="54"/>
      <c r="E46" s="54"/>
      <c r="F46" s="54"/>
      <c r="G46" s="54"/>
      <c r="H46" s="54"/>
      <c r="I46" s="54"/>
      <c r="J46" s="54"/>
      <c r="K46" s="54"/>
      <c r="L46" s="54"/>
      <c r="M46" s="54"/>
      <c r="N46" s="301"/>
      <c r="O46" s="327"/>
      <c r="P46" s="327"/>
      <c r="Q46" s="327"/>
    </row>
    <row r="47" spans="1:17" ht="16.5" customHeight="1">
      <c r="A47" s="54"/>
      <c r="B47" s="848" t="str">
        <f>"Total = "&amp;TEXT(ROUND(SUM(O23:O29),2),"0 000,00")&amp;" GWh"</f>
        <v>Total = 4 591,22 GWh</v>
      </c>
      <c r="C47" s="848"/>
      <c r="D47" s="848"/>
      <c r="E47" s="848"/>
      <c r="F47" s="54"/>
      <c r="G47" s="54"/>
      <c r="H47" s="847" t="str">
        <f>"Total = "&amp;TEXT(ROUND(SUM(P23:P29),2),"0 000,00")&amp;" GWh"</f>
        <v>Total = 4 496,08 GWh</v>
      </c>
      <c r="I47" s="847"/>
      <c r="J47" s="847"/>
      <c r="K47" s="847"/>
      <c r="L47" s="54"/>
      <c r="M47" s="54"/>
      <c r="N47" s="301"/>
      <c r="O47" s="327"/>
      <c r="P47" s="327"/>
      <c r="Q47" s="327"/>
    </row>
    <row r="48" spans="1:17" ht="11.25" customHeight="1">
      <c r="H48" s="54"/>
      <c r="I48" s="54"/>
      <c r="J48" s="54"/>
      <c r="K48" s="54"/>
      <c r="L48" s="54"/>
      <c r="M48" s="54"/>
      <c r="N48" s="301"/>
      <c r="O48" s="327"/>
      <c r="P48" s="327"/>
      <c r="Q48" s="327"/>
    </row>
    <row r="49" spans="1:17" ht="11.25" customHeight="1">
      <c r="B49" s="846" t="str">
        <f>"Gráfico 1: Comparación de producción mensual de electricidad en "&amp;Q4&amp;" por tipo de recurso energético."</f>
        <v>Gráfico 1: Comparación de producción mensual de electricidad en diciembre por tipo de recurso energético.</v>
      </c>
      <c r="C49" s="846"/>
      <c r="D49" s="846"/>
      <c r="E49" s="846"/>
      <c r="F49" s="846"/>
      <c r="G49" s="846"/>
      <c r="H49" s="846"/>
      <c r="I49" s="846"/>
      <c r="J49" s="846"/>
      <c r="K49" s="846"/>
      <c r="L49" s="846"/>
      <c r="M49" s="236"/>
      <c r="N49" s="304"/>
      <c r="O49" s="327"/>
      <c r="P49" s="327"/>
      <c r="Q49" s="327"/>
    </row>
    <row r="50" spans="1:17" ht="11.25" customHeight="1">
      <c r="A50" s="54"/>
      <c r="B50" s="54"/>
      <c r="C50" s="45"/>
      <c r="D50" s="45"/>
      <c r="E50" s="54"/>
      <c r="F50" s="54"/>
      <c r="G50" s="54"/>
      <c r="H50" s="54"/>
      <c r="I50" s="54"/>
      <c r="J50" s="54"/>
      <c r="K50" s="54"/>
      <c r="L50" s="54"/>
      <c r="M50" s="54"/>
      <c r="N50" s="301"/>
      <c r="O50" s="327"/>
      <c r="P50" s="327"/>
      <c r="Q50" s="327"/>
    </row>
    <row r="51" spans="1:17" ht="11.25" customHeight="1">
      <c r="A51" s="54"/>
      <c r="B51" s="54"/>
      <c r="C51" s="54"/>
      <c r="D51" s="54"/>
      <c r="E51" s="54"/>
      <c r="F51" s="54"/>
      <c r="G51" s="54"/>
      <c r="H51" s="54"/>
      <c r="I51" s="54"/>
      <c r="J51" s="54"/>
      <c r="K51" s="54"/>
      <c r="L51" s="54"/>
      <c r="M51" s="54"/>
      <c r="N51" s="301"/>
      <c r="O51" s="327"/>
      <c r="P51" s="327"/>
      <c r="Q51" s="327"/>
    </row>
    <row r="52" spans="1:17" ht="11.25" customHeight="1">
      <c r="A52" s="54"/>
      <c r="B52" s="54"/>
      <c r="C52" s="54"/>
      <c r="D52" s="54"/>
      <c r="E52" s="54"/>
      <c r="F52" s="54"/>
      <c r="G52" s="54"/>
      <c r="H52" s="54"/>
      <c r="I52" s="54"/>
      <c r="J52" s="54"/>
      <c r="K52" s="54"/>
      <c r="L52" s="54"/>
      <c r="M52" s="54"/>
      <c r="N52" s="301"/>
      <c r="O52" s="327"/>
      <c r="P52" s="327"/>
      <c r="Q52" s="327"/>
    </row>
    <row r="53" spans="1:17" ht="11.25" customHeight="1">
      <c r="A53" s="54"/>
      <c r="B53" s="54"/>
      <c r="C53" s="54"/>
      <c r="D53" s="54"/>
      <c r="E53" s="54"/>
      <c r="F53" s="54"/>
      <c r="G53" s="54"/>
      <c r="H53" s="54"/>
      <c r="I53" s="54"/>
      <c r="J53" s="54"/>
      <c r="K53" s="54"/>
      <c r="L53" s="54"/>
      <c r="M53" s="54"/>
      <c r="N53" s="301"/>
      <c r="O53" s="327"/>
      <c r="P53" s="327"/>
      <c r="Q53" s="327"/>
    </row>
    <row r="54" spans="1:17" ht="11.25" customHeight="1">
      <c r="A54" s="9"/>
      <c r="B54" s="56"/>
      <c r="C54" s="56"/>
      <c r="D54" s="56"/>
      <c r="E54" s="56"/>
      <c r="F54" s="56"/>
      <c r="G54" s="56"/>
      <c r="H54" s="56"/>
      <c r="I54" s="56"/>
      <c r="J54" s="56"/>
      <c r="K54" s="57"/>
      <c r="L54" s="58"/>
    </row>
    <row r="55" spans="1:17" ht="11.25" customHeight="1">
      <c r="A55" s="9"/>
      <c r="B55" s="56"/>
      <c r="C55" s="56"/>
      <c r="D55" s="56"/>
      <c r="E55" s="56"/>
      <c r="F55" s="56"/>
      <c r="G55" s="56"/>
      <c r="H55" s="56"/>
      <c r="I55" s="56"/>
      <c r="J55" s="56"/>
      <c r="K55" s="57"/>
      <c r="L55" s="58"/>
    </row>
    <row r="56" spans="1:17" ht="11.25" customHeight="1">
      <c r="A56" s="59"/>
      <c r="B56" s="59"/>
      <c r="C56" s="59"/>
      <c r="D56" s="59"/>
      <c r="E56" s="59"/>
      <c r="F56" s="59"/>
      <c r="G56" s="59"/>
      <c r="H56" s="59"/>
      <c r="I56" s="59"/>
      <c r="J56" s="59"/>
      <c r="K56" s="59"/>
      <c r="L56" s="59"/>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2">
      <c r="A61" s="59"/>
      <c r="B61" s="59"/>
      <c r="C61" s="59"/>
      <c r="D61" s="59"/>
      <c r="E61" s="59"/>
      <c r="F61" s="59"/>
      <c r="G61" s="59"/>
      <c r="H61" s="59"/>
      <c r="I61" s="59"/>
      <c r="J61" s="59"/>
      <c r="K61" s="59"/>
      <c r="L61" s="59"/>
    </row>
    <row r="62" spans="1:17" ht="12">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sheetData>
  <mergeCells count="1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Diciembre 2019
INFSGI-MES-12-2019
15/01/2020
Versión: 01</oddHeader>
    <oddFooter>&amp;LCOES, 2019&amp;C1&amp;RDirección Ejecutiva
Sub Dirección de Gestión de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8FC8"/>
  </sheetPr>
  <dimension ref="A2:O57"/>
  <sheetViews>
    <sheetView showGridLines="0" view="pageBreakPreview" zoomScale="130" zoomScaleNormal="100" zoomScaleSheetLayoutView="130" zoomScalePageLayoutView="85" workbookViewId="0"/>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1" ht="16.5" customHeight="1">
      <c r="A2" s="858" t="s">
        <v>504</v>
      </c>
      <c r="B2" s="858"/>
      <c r="C2" s="858"/>
      <c r="D2" s="858"/>
      <c r="E2" s="858"/>
      <c r="F2" s="858"/>
      <c r="G2" s="858"/>
      <c r="H2" s="858"/>
      <c r="I2" s="858"/>
      <c r="J2" s="858"/>
      <c r="K2" s="569"/>
    </row>
    <row r="3" spans="1:11" ht="12" customHeight="1">
      <c r="A3" s="137"/>
      <c r="B3" s="209"/>
      <c r="C3" s="220"/>
      <c r="D3" s="221"/>
      <c r="E3" s="221"/>
      <c r="F3" s="222"/>
      <c r="G3" s="223"/>
      <c r="H3" s="223"/>
      <c r="I3" s="172"/>
      <c r="J3" s="222"/>
    </row>
    <row r="4" spans="1:11" ht="11.25" customHeight="1">
      <c r="A4" s="187" t="s">
        <v>562</v>
      </c>
      <c r="B4" s="209"/>
      <c r="C4" s="220"/>
      <c r="D4" s="221"/>
      <c r="E4" s="221"/>
      <c r="F4" s="222"/>
      <c r="G4" s="223"/>
      <c r="H4" s="223"/>
      <c r="I4" s="172"/>
      <c r="J4" s="222"/>
      <c r="K4" s="349"/>
    </row>
    <row r="5" spans="1:11" ht="11.25" customHeight="1">
      <c r="A5" s="187"/>
      <c r="B5" s="209"/>
      <c r="C5" s="220"/>
      <c r="D5" s="221"/>
      <c r="E5" s="221"/>
      <c r="F5" s="222"/>
      <c r="G5" s="223"/>
      <c r="H5" s="223"/>
      <c r="I5" s="172"/>
      <c r="J5" s="222"/>
      <c r="K5" s="349"/>
    </row>
    <row r="6" spans="1:11" ht="15" hidden="1" customHeight="1">
      <c r="A6" s="137"/>
      <c r="B6" s="209"/>
      <c r="C6" s="220"/>
      <c r="D6" s="221"/>
      <c r="E6" s="221"/>
      <c r="F6" s="222"/>
      <c r="G6" s="223"/>
      <c r="H6" s="223"/>
      <c r="I6" s="172"/>
      <c r="J6" s="222"/>
      <c r="K6" s="349"/>
    </row>
    <row r="7" spans="1:11" ht="20.25" customHeight="1">
      <c r="A7" s="498" t="s">
        <v>216</v>
      </c>
      <c r="B7" s="499" t="s">
        <v>217</v>
      </c>
      <c r="C7" s="499" t="s">
        <v>218</v>
      </c>
      <c r="D7" s="499" t="s">
        <v>219</v>
      </c>
      <c r="E7" s="499" t="s">
        <v>220</v>
      </c>
      <c r="F7" s="500" t="s">
        <v>221</v>
      </c>
      <c r="G7" s="501" t="s">
        <v>225</v>
      </c>
      <c r="H7" s="500" t="s">
        <v>229</v>
      </c>
      <c r="I7" s="501" t="s">
        <v>474</v>
      </c>
      <c r="J7" s="502" t="s">
        <v>226</v>
      </c>
      <c r="K7" s="570"/>
    </row>
    <row r="8" spans="1:11" s="224" customFormat="1" ht="21" customHeight="1">
      <c r="A8" s="769" t="s">
        <v>493</v>
      </c>
      <c r="B8" s="477" t="s">
        <v>36</v>
      </c>
      <c r="C8" s="477" t="s">
        <v>45</v>
      </c>
      <c r="D8" s="477" t="s">
        <v>491</v>
      </c>
      <c r="E8" s="477" t="s">
        <v>496</v>
      </c>
      <c r="F8" s="478" t="s">
        <v>470</v>
      </c>
      <c r="G8" s="479">
        <v>6.9</v>
      </c>
      <c r="H8" s="480">
        <v>7.5</v>
      </c>
      <c r="I8" s="480">
        <v>6.6</v>
      </c>
      <c r="J8" s="481" t="s">
        <v>527</v>
      </c>
      <c r="K8" s="571"/>
    </row>
    <row r="9" spans="1:11" s="224" customFormat="1" ht="21" customHeight="1">
      <c r="A9" s="769" t="s">
        <v>528</v>
      </c>
      <c r="B9" s="477" t="s">
        <v>36</v>
      </c>
      <c r="C9" s="477" t="s">
        <v>45</v>
      </c>
      <c r="D9" s="477" t="s">
        <v>530</v>
      </c>
      <c r="E9" s="477" t="s">
        <v>531</v>
      </c>
      <c r="F9" s="478" t="s">
        <v>470</v>
      </c>
      <c r="G9" s="479">
        <v>0.4</v>
      </c>
      <c r="H9" s="480">
        <v>1</v>
      </c>
      <c r="I9" s="480">
        <v>1</v>
      </c>
      <c r="J9" s="481" t="s">
        <v>529</v>
      </c>
      <c r="K9" s="571"/>
    </row>
    <row r="10" spans="1:11" s="224" customFormat="1" ht="28.5" customHeight="1">
      <c r="A10" s="769" t="s">
        <v>537</v>
      </c>
      <c r="B10" s="477" t="s">
        <v>36</v>
      </c>
      <c r="C10" s="477" t="s">
        <v>45</v>
      </c>
      <c r="D10" s="477" t="s">
        <v>540</v>
      </c>
      <c r="E10" s="477" t="s">
        <v>539</v>
      </c>
      <c r="F10" s="478" t="s">
        <v>617</v>
      </c>
      <c r="G10" s="479">
        <v>10</v>
      </c>
      <c r="H10" s="480">
        <v>86.2</v>
      </c>
      <c r="I10" s="480">
        <v>84.1</v>
      </c>
      <c r="J10" s="481" t="s">
        <v>538</v>
      </c>
      <c r="K10" s="571"/>
    </row>
    <row r="11" spans="1:11" s="224" customFormat="1" ht="28.5" customHeight="1">
      <c r="A11" s="769" t="s">
        <v>548</v>
      </c>
      <c r="B11" s="477" t="s">
        <v>37</v>
      </c>
      <c r="C11" s="477" t="s">
        <v>49</v>
      </c>
      <c r="D11" s="477" t="s">
        <v>549</v>
      </c>
      <c r="E11" s="477" t="s">
        <v>550</v>
      </c>
      <c r="F11" s="478" t="s">
        <v>551</v>
      </c>
      <c r="G11" s="479">
        <v>13.8</v>
      </c>
      <c r="H11" s="480">
        <v>21.71</v>
      </c>
      <c r="I11" s="480">
        <v>7.48</v>
      </c>
      <c r="J11" s="481" t="s">
        <v>552</v>
      </c>
      <c r="K11" s="571"/>
    </row>
    <row r="12" spans="1:11" s="224" customFormat="1" ht="36.75" customHeight="1">
      <c r="A12" s="769" t="s">
        <v>568</v>
      </c>
      <c r="B12" s="477" t="s">
        <v>36</v>
      </c>
      <c r="C12" s="477" t="s">
        <v>45</v>
      </c>
      <c r="D12" s="477" t="s">
        <v>540</v>
      </c>
      <c r="E12" s="477" t="s">
        <v>569</v>
      </c>
      <c r="F12" s="478" t="s">
        <v>571</v>
      </c>
      <c r="G12" s="479">
        <v>13.8</v>
      </c>
      <c r="H12" s="480">
        <v>20</v>
      </c>
      <c r="I12" s="480">
        <v>20</v>
      </c>
      <c r="J12" s="481" t="s">
        <v>570</v>
      </c>
      <c r="K12" s="571"/>
    </row>
    <row r="13" spans="1:11" s="224" customFormat="1" ht="24.75" customHeight="1">
      <c r="A13" s="769" t="s">
        <v>572</v>
      </c>
      <c r="B13" s="477" t="s">
        <v>36</v>
      </c>
      <c r="C13" s="477" t="s">
        <v>45</v>
      </c>
      <c r="D13" s="477" t="s">
        <v>540</v>
      </c>
      <c r="E13" s="477" t="s">
        <v>573</v>
      </c>
      <c r="F13" s="478" t="s">
        <v>571</v>
      </c>
      <c r="G13" s="479">
        <v>13.8</v>
      </c>
      <c r="H13" s="480">
        <v>20</v>
      </c>
      <c r="I13" s="480">
        <v>20</v>
      </c>
      <c r="J13" s="481" t="s">
        <v>574</v>
      </c>
      <c r="K13" s="571"/>
    </row>
    <row r="14" spans="1:11" s="224" customFormat="1" ht="24.75" customHeight="1">
      <c r="A14" s="769" t="s">
        <v>612</v>
      </c>
      <c r="B14" s="477" t="s">
        <v>37</v>
      </c>
      <c r="C14" s="477" t="s">
        <v>49</v>
      </c>
      <c r="D14" s="477" t="s">
        <v>549</v>
      </c>
      <c r="E14" s="477" t="s">
        <v>613</v>
      </c>
      <c r="F14" s="478" t="s">
        <v>614</v>
      </c>
      <c r="G14" s="479">
        <v>13.8</v>
      </c>
      <c r="H14" s="480">
        <v>14</v>
      </c>
      <c r="I14" s="480">
        <v>12</v>
      </c>
      <c r="J14" s="481" t="s">
        <v>615</v>
      </c>
      <c r="K14" s="571"/>
    </row>
    <row r="15" spans="1:11" s="224" customFormat="1" ht="30.75" customHeight="1">
      <c r="A15" s="769" t="s">
        <v>631</v>
      </c>
      <c r="B15" s="477" t="s">
        <v>36</v>
      </c>
      <c r="C15" s="477" t="s">
        <v>45</v>
      </c>
      <c r="D15" s="477" t="s">
        <v>632</v>
      </c>
      <c r="E15" s="477" t="s">
        <v>633</v>
      </c>
      <c r="F15" s="478" t="s">
        <v>571</v>
      </c>
      <c r="G15" s="479">
        <v>4.16</v>
      </c>
      <c r="H15" s="480">
        <v>10</v>
      </c>
      <c r="I15" s="480">
        <v>8.4</v>
      </c>
      <c r="J15" s="481" t="s">
        <v>634</v>
      </c>
      <c r="K15" s="571"/>
    </row>
    <row r="16" spans="1:11" s="224" customFormat="1" ht="30.75" customHeight="1">
      <c r="A16" s="769" t="s">
        <v>631</v>
      </c>
      <c r="B16" s="477" t="s">
        <v>36</v>
      </c>
      <c r="C16" s="477" t="s">
        <v>45</v>
      </c>
      <c r="D16" s="477" t="s">
        <v>632</v>
      </c>
      <c r="E16" s="477" t="s">
        <v>691</v>
      </c>
      <c r="F16" s="478" t="s">
        <v>571</v>
      </c>
      <c r="G16" s="479">
        <v>4.16</v>
      </c>
      <c r="H16" s="480">
        <v>23.27</v>
      </c>
      <c r="I16" s="480">
        <v>19</v>
      </c>
      <c r="J16" s="481" t="s">
        <v>756</v>
      </c>
      <c r="K16" s="571"/>
    </row>
    <row r="17" spans="1:13" ht="11.25" customHeight="1">
      <c r="A17" s="503" t="s">
        <v>43</v>
      </c>
      <c r="B17" s="504"/>
      <c r="C17" s="504"/>
      <c r="D17" s="504"/>
      <c r="E17" s="505"/>
      <c r="F17" s="506"/>
      <c r="G17" s="507"/>
      <c r="H17" s="508">
        <f>+H8+H9+H10+H11+H12+H13+H14+H15+H16</f>
        <v>203.68</v>
      </c>
      <c r="I17" s="508">
        <f>+I8+I9+I10+I11+I12+I13+I14+I15+I16</f>
        <v>178.58</v>
      </c>
      <c r="J17" s="509"/>
      <c r="K17" s="572"/>
      <c r="L17" s="573"/>
    </row>
    <row r="18" spans="1:13" ht="13.5" customHeight="1">
      <c r="A18" s="708" t="s">
        <v>553</v>
      </c>
      <c r="B18" s="132"/>
      <c r="C18" s="132"/>
      <c r="D18" s="132"/>
      <c r="E18" s="132"/>
      <c r="F18" s="132"/>
      <c r="G18" s="132"/>
      <c r="H18" s="132"/>
      <c r="I18" s="132"/>
      <c r="J18" s="132"/>
      <c r="K18" s="572"/>
    </row>
    <row r="19" spans="1:13" ht="11.25" hidden="1" customHeight="1">
      <c r="A19" s="867"/>
      <c r="B19" s="867"/>
      <c r="C19" s="867"/>
      <c r="D19" s="867"/>
      <c r="E19" s="867"/>
      <c r="F19" s="867"/>
      <c r="G19" s="867"/>
      <c r="H19" s="867"/>
      <c r="I19" s="867"/>
      <c r="J19" s="867"/>
      <c r="K19" s="572"/>
    </row>
    <row r="20" spans="1:13" ht="11.25" customHeight="1">
      <c r="A20" s="425"/>
      <c r="B20" s="425"/>
      <c r="C20" s="425"/>
      <c r="D20" s="425"/>
      <c r="E20" s="425"/>
      <c r="F20" s="425"/>
      <c r="G20" s="425"/>
      <c r="H20" s="425"/>
      <c r="I20" s="425"/>
      <c r="J20" s="425"/>
      <c r="K20" s="572"/>
      <c r="L20" s="46" t="s">
        <v>227</v>
      </c>
      <c r="M20" s="573"/>
    </row>
    <row r="21" spans="1:13" ht="12.75" customHeight="1">
      <c r="A21" s="868"/>
      <c r="B21" s="868"/>
      <c r="C21" s="868"/>
      <c r="D21" s="868"/>
      <c r="E21" s="868"/>
      <c r="F21" s="868"/>
      <c r="G21" s="868"/>
      <c r="H21" s="868"/>
      <c r="I21" s="868"/>
      <c r="J21" s="868"/>
      <c r="K21" s="572"/>
      <c r="L21" s="46" t="s">
        <v>471</v>
      </c>
      <c r="M21" s="573">
        <f>+I8+I9+I10+I12+I13+I15+I16</f>
        <v>159.1</v>
      </c>
    </row>
    <row r="22" spans="1:13" ht="11.25" customHeight="1">
      <c r="A22" s="868"/>
      <c r="B22" s="868"/>
      <c r="C22" s="868"/>
      <c r="D22" s="868"/>
      <c r="E22" s="868"/>
      <c r="F22" s="868"/>
      <c r="G22" s="868"/>
      <c r="H22" s="868"/>
      <c r="I22" s="868"/>
      <c r="J22" s="868"/>
      <c r="K22" s="572"/>
      <c r="L22" s="46" t="s">
        <v>549</v>
      </c>
      <c r="M22" s="573">
        <f>I11+I14</f>
        <v>19.48</v>
      </c>
    </row>
    <row r="23" spans="1:13" ht="15" customHeight="1">
      <c r="A23" s="228"/>
      <c r="B23" s="225"/>
      <c r="C23" s="225"/>
      <c r="D23" s="225"/>
      <c r="E23" s="225"/>
      <c r="F23" s="225"/>
      <c r="G23" s="225"/>
      <c r="H23" s="229"/>
      <c r="I23" s="229"/>
      <c r="J23" s="229"/>
      <c r="K23" s="572"/>
      <c r="L23" s="46" t="s">
        <v>475</v>
      </c>
      <c r="M23" s="46">
        <v>0</v>
      </c>
    </row>
    <row r="24" spans="1:13" ht="11.25" customHeight="1">
      <c r="A24" s="228"/>
      <c r="B24" s="225"/>
      <c r="C24" s="225"/>
      <c r="D24" s="225"/>
      <c r="E24" s="225"/>
      <c r="F24" s="225"/>
      <c r="G24" s="225"/>
      <c r="H24" s="227"/>
      <c r="I24" s="227" t="s">
        <v>8</v>
      </c>
      <c r="J24" s="227"/>
      <c r="K24" s="572"/>
      <c r="L24" s="46" t="s">
        <v>487</v>
      </c>
      <c r="M24" s="46">
        <v>0</v>
      </c>
    </row>
    <row r="25" spans="1:13" ht="11.25" customHeight="1">
      <c r="A25" s="228"/>
      <c r="B25" s="225"/>
      <c r="C25" s="225"/>
      <c r="D25" s="225"/>
      <c r="E25" s="225"/>
      <c r="F25" s="225"/>
      <c r="G25" s="225"/>
      <c r="H25" s="227"/>
      <c r="I25" s="227"/>
      <c r="J25" s="227"/>
      <c r="K25" s="572"/>
    </row>
    <row r="26" spans="1:13" ht="11.25" customHeight="1">
      <c r="A26" s="228"/>
      <c r="B26" s="225"/>
      <c r="C26" s="225"/>
      <c r="D26" s="225"/>
      <c r="E26" s="225"/>
      <c r="F26" s="225"/>
      <c r="G26" s="225"/>
      <c r="H26" s="227"/>
      <c r="I26" s="227"/>
      <c r="J26" s="227"/>
      <c r="K26" s="572"/>
    </row>
    <row r="27" spans="1:13" ht="9" customHeight="1">
      <c r="A27" s="230"/>
      <c r="B27" s="152"/>
      <c r="C27" s="152"/>
      <c r="D27" s="152"/>
      <c r="E27" s="152"/>
      <c r="F27" s="152"/>
      <c r="G27" s="152"/>
      <c r="H27" s="231"/>
      <c r="I27" s="231"/>
      <c r="J27" s="231"/>
      <c r="K27" s="572"/>
    </row>
    <row r="28" spans="1:13" ht="9" customHeight="1">
      <c r="A28" s="232"/>
      <c r="B28" s="175"/>
      <c r="C28" s="175"/>
      <c r="D28" s="138"/>
      <c r="E28" s="138"/>
      <c r="F28" s="138"/>
      <c r="G28" s="138"/>
      <c r="H28" s="225"/>
      <c r="I28" s="225"/>
      <c r="J28" s="225"/>
      <c r="K28" s="572"/>
    </row>
    <row r="29" spans="1:13" ht="9" customHeight="1">
      <c r="A29" s="214"/>
      <c r="B29" s="138"/>
      <c r="C29" s="138"/>
      <c r="D29" s="138"/>
      <c r="E29" s="138"/>
      <c r="F29" s="138"/>
      <c r="G29" s="138"/>
      <c r="H29" s="225"/>
      <c r="I29" s="225"/>
      <c r="J29" s="225"/>
      <c r="K29" s="572"/>
    </row>
    <row r="30" spans="1:13" ht="11.25" customHeight="1">
      <c r="A30" s="214"/>
      <c r="B30" s="138"/>
      <c r="C30" s="138"/>
      <c r="D30" s="138"/>
      <c r="E30" s="138"/>
      <c r="F30" s="138"/>
      <c r="G30" s="138"/>
      <c r="H30" s="225"/>
      <c r="I30" s="225"/>
      <c r="J30" s="225"/>
      <c r="K30" s="572"/>
    </row>
    <row r="31" spans="1:13" ht="11.25" customHeight="1">
      <c r="A31" s="214"/>
      <c r="B31" s="138"/>
      <c r="C31" s="138"/>
      <c r="D31" s="138"/>
      <c r="E31" s="138"/>
      <c r="F31" s="138"/>
      <c r="G31" s="138"/>
      <c r="H31" s="153"/>
      <c r="I31" s="153"/>
      <c r="J31" s="153"/>
      <c r="K31" s="572"/>
    </row>
    <row r="32" spans="1:13" ht="11.25" customHeight="1">
      <c r="A32" s="17"/>
      <c r="B32" s="857" t="str">
        <f>"Gráfico 2: Ingreso de Potencia Efectiva por tipo de Recurso Energético y Tecnología en "&amp;'1. Resumen'!Q4&amp;" "&amp;'1. Resumen'!Q5&amp;" (MW)"</f>
        <v>Gráfico 2: Ingreso de Potencia Efectiva por tipo de Recurso Energético y Tecnología en diciembre 2019 (MW)</v>
      </c>
      <c r="C32" s="857"/>
      <c r="D32" s="857"/>
      <c r="E32" s="857"/>
      <c r="F32" s="857"/>
      <c r="G32" s="857"/>
      <c r="H32" s="857"/>
      <c r="I32" s="857"/>
      <c r="J32" s="857"/>
      <c r="K32" s="857"/>
    </row>
    <row r="33" spans="1:15" ht="27" hidden="1" customHeight="1">
      <c r="B33" s="869"/>
      <c r="C33" s="869"/>
      <c r="D33" s="869"/>
      <c r="E33" s="869"/>
      <c r="F33" s="869"/>
      <c r="G33" s="869"/>
      <c r="H33" s="869"/>
    </row>
    <row r="34" spans="1:15" ht="11.25" customHeight="1">
      <c r="A34" s="17"/>
      <c r="B34" s="17"/>
      <c r="C34" s="17"/>
      <c r="D34" s="17"/>
      <c r="E34" s="17"/>
      <c r="F34" s="17"/>
      <c r="G34" s="17"/>
      <c r="H34" s="17"/>
      <c r="I34" s="17"/>
      <c r="J34" s="17"/>
      <c r="K34" s="572"/>
    </row>
    <row r="35" spans="1:15" ht="11.25" customHeight="1">
      <c r="A35" s="176" t="s">
        <v>440</v>
      </c>
      <c r="B35" s="132"/>
      <c r="C35" s="226"/>
      <c r="D35" s="132"/>
      <c r="E35" s="132"/>
      <c r="F35" s="132"/>
      <c r="G35" s="132"/>
      <c r="H35" s="132"/>
      <c r="I35" s="132"/>
      <c r="J35" s="132"/>
      <c r="K35" s="572"/>
    </row>
    <row r="36" spans="1:15" ht="11.25" customHeight="1">
      <c r="B36" s="132"/>
      <c r="C36" s="226"/>
      <c r="D36" s="132"/>
      <c r="E36" s="132"/>
      <c r="F36" s="132"/>
      <c r="G36" s="132"/>
      <c r="H36" s="132"/>
      <c r="I36" s="132"/>
      <c r="J36" s="132"/>
      <c r="K36" s="572"/>
    </row>
    <row r="37" spans="1:15" ht="21" customHeight="1">
      <c r="B37" s="855" t="s">
        <v>228</v>
      </c>
      <c r="C37" s="856"/>
      <c r="D37" s="510" t="str">
        <f>UPPER('1. Resumen'!Q4)&amp;" "&amp;'1. Resumen'!Q5</f>
        <v>DICIEMBRE 2019</v>
      </c>
      <c r="E37" s="510" t="str">
        <f>UPPER('1. Resumen'!Q4)&amp;" "&amp;'1. Resumen'!Q5-1</f>
        <v>DICIEMBRE 2018</v>
      </c>
      <c r="F37" s="511" t="s">
        <v>230</v>
      </c>
      <c r="G37" s="233"/>
      <c r="H37" s="233"/>
      <c r="I37" s="132"/>
      <c r="J37" s="132"/>
    </row>
    <row r="38" spans="1:15" ht="9.75" customHeight="1">
      <c r="B38" s="859" t="s">
        <v>222</v>
      </c>
      <c r="C38" s="860"/>
      <c r="D38" s="482">
        <f>4996.1492475+86.2+20+20+10+H16</f>
        <v>5155.6192474999998</v>
      </c>
      <c r="E38" s="483">
        <v>4995.1492474999995</v>
      </c>
      <c r="F38" s="484">
        <f>+D38/E38-1</f>
        <v>3.2125166246096182E-2</v>
      </c>
      <c r="G38" s="233"/>
      <c r="H38" s="233"/>
      <c r="I38" s="132"/>
      <c r="J38" s="132"/>
      <c r="K38" s="572"/>
    </row>
    <row r="39" spans="1:15" ht="9.75" customHeight="1">
      <c r="B39" s="861" t="s">
        <v>223</v>
      </c>
      <c r="C39" s="862"/>
      <c r="D39" s="485">
        <f>7395.9645+H11+H14</f>
        <v>7431.6745000000001</v>
      </c>
      <c r="E39" s="486">
        <v>7395.9645</v>
      </c>
      <c r="F39" s="487">
        <f>+D39/E39-1</f>
        <v>4.8283087351217446E-3</v>
      </c>
      <c r="G39" s="234"/>
      <c r="H39" s="234"/>
      <c r="M39" s="574"/>
      <c r="N39" s="574"/>
      <c r="O39" s="575"/>
    </row>
    <row r="40" spans="1:15" ht="9.75" customHeight="1">
      <c r="B40" s="863" t="s">
        <v>224</v>
      </c>
      <c r="C40" s="864"/>
      <c r="D40" s="488">
        <v>375.46</v>
      </c>
      <c r="E40" s="489">
        <v>375.46</v>
      </c>
      <c r="F40" s="490">
        <f>+D40/E40-1</f>
        <v>0</v>
      </c>
      <c r="G40" s="234"/>
      <c r="H40" s="234"/>
    </row>
    <row r="41" spans="1:15" ht="9.75" customHeight="1">
      <c r="B41" s="865" t="s">
        <v>81</v>
      </c>
      <c r="C41" s="866"/>
      <c r="D41" s="491">
        <v>285.02</v>
      </c>
      <c r="E41" s="492">
        <v>285.02</v>
      </c>
      <c r="F41" s="493">
        <f>+D41/E41-1</f>
        <v>0</v>
      </c>
      <c r="G41" s="234"/>
      <c r="H41" s="234"/>
    </row>
    <row r="42" spans="1:15" ht="10.5" customHeight="1">
      <c r="B42" s="853" t="s">
        <v>201</v>
      </c>
      <c r="C42" s="854"/>
      <c r="D42" s="494">
        <f>+D38+D39+D40+D41</f>
        <v>13247.773747499999</v>
      </c>
      <c r="E42" s="495">
        <v>13051.593747499999</v>
      </c>
      <c r="F42" s="496">
        <f>+D42/E42-1</f>
        <v>1.503111449799599E-2</v>
      </c>
      <c r="G42" s="424"/>
      <c r="H42" s="234"/>
    </row>
    <row r="43" spans="1:15" ht="11.25" customHeight="1">
      <c r="B43" s="276" t="str">
        <f>"Cuadro N° 2: Comparación de la potencia instalada en el SEIN al término de "&amp;'1. Resumen'!Q4&amp;" "&amp;'1. Resumen'!Q5-1&amp;" y "&amp;'1. Resumen'!Q4&amp;" "&amp;'1. Resumen'!Q5</f>
        <v>Cuadro N° 2: Comparación de la potencia instalada en el SEIN al término de diciembre 2018 y diciembre 2019</v>
      </c>
      <c r="C43" s="233"/>
      <c r="D43" s="233"/>
      <c r="E43" s="233"/>
      <c r="F43" s="233"/>
      <c r="G43" s="233"/>
      <c r="H43" s="233"/>
      <c r="I43" s="132"/>
      <c r="J43" s="132"/>
      <c r="K43" s="572"/>
    </row>
    <row r="44" spans="1:15" ht="9" customHeight="1">
      <c r="B44" s="276"/>
      <c r="C44" s="233"/>
      <c r="D44" s="233"/>
      <c r="E44" s="233"/>
      <c r="F44" s="233"/>
      <c r="G44" s="233"/>
      <c r="H44" s="233"/>
      <c r="I44" s="132"/>
      <c r="J44" s="132"/>
      <c r="K44" s="572"/>
    </row>
    <row r="45" spans="1:15" ht="25.5" customHeight="1">
      <c r="B45" s="276"/>
      <c r="C45" s="233"/>
      <c r="D45" s="233"/>
      <c r="E45" s="233"/>
      <c r="F45" s="233"/>
      <c r="G45" s="233"/>
      <c r="H45" s="233"/>
      <c r="I45" s="132"/>
      <c r="J45" s="132"/>
      <c r="K45" s="572"/>
    </row>
    <row r="46" spans="1:15" ht="11.25" customHeight="1">
      <c r="B46" s="276"/>
      <c r="C46" s="233"/>
      <c r="D46" s="233"/>
      <c r="E46" s="233"/>
      <c r="F46" s="233"/>
      <c r="G46" s="233"/>
      <c r="H46" s="233"/>
      <c r="I46" s="132"/>
      <c r="J46" s="132"/>
      <c r="K46" s="572"/>
    </row>
    <row r="47" spans="1:15" ht="11.25" customHeight="1">
      <c r="A47" s="132"/>
      <c r="C47" s="234"/>
      <c r="D47" s="233"/>
      <c r="E47" s="233"/>
      <c r="F47" s="233"/>
      <c r="G47" s="233"/>
      <c r="H47" s="233"/>
      <c r="I47" s="132"/>
      <c r="J47" s="132"/>
      <c r="K47" s="572"/>
    </row>
    <row r="48" spans="1:15" ht="11.25" customHeight="1">
      <c r="A48" s="132"/>
      <c r="B48" s="132"/>
      <c r="C48" s="132"/>
      <c r="D48" s="132"/>
      <c r="E48" s="132"/>
      <c r="F48" s="132"/>
      <c r="G48" s="132"/>
      <c r="H48" s="132"/>
      <c r="I48" s="132"/>
      <c r="J48" s="132"/>
      <c r="K48" s="572"/>
    </row>
    <row r="49" spans="1:11" ht="11.25" customHeight="1">
      <c r="A49" s="132"/>
      <c r="B49" s="132"/>
      <c r="C49" s="132"/>
      <c r="D49" s="132"/>
      <c r="E49" s="132"/>
      <c r="F49" s="132"/>
      <c r="G49" s="132"/>
      <c r="H49" s="132"/>
      <c r="I49" s="132"/>
      <c r="J49" s="132"/>
      <c r="K49" s="572"/>
    </row>
    <row r="50" spans="1:11">
      <c r="A50" s="137"/>
      <c r="B50" s="132"/>
      <c r="C50" s="132"/>
      <c r="D50" s="132"/>
      <c r="E50" s="132"/>
      <c r="F50" s="132"/>
      <c r="G50" s="132"/>
      <c r="H50" s="132"/>
      <c r="I50" s="132"/>
      <c r="J50" s="132"/>
    </row>
    <row r="51" spans="1:11">
      <c r="A51" s="132"/>
      <c r="B51" s="132"/>
      <c r="C51" s="132"/>
      <c r="D51" s="132"/>
      <c r="E51" s="132"/>
      <c r="F51" s="132"/>
      <c r="G51" s="132"/>
      <c r="H51" s="132"/>
      <c r="I51" s="132"/>
      <c r="J51" s="132"/>
    </row>
    <row r="52" spans="1:11">
      <c r="A52" s="132"/>
      <c r="B52" s="132"/>
      <c r="C52" s="132"/>
      <c r="D52" s="132"/>
      <c r="E52" s="132"/>
      <c r="F52" s="132"/>
      <c r="G52" s="132"/>
      <c r="H52" s="132"/>
      <c r="I52" s="132"/>
      <c r="J52" s="132"/>
    </row>
    <row r="53" spans="1:11">
      <c r="A53" s="132"/>
      <c r="B53" s="132"/>
      <c r="C53" s="132"/>
      <c r="D53" s="132"/>
      <c r="E53" s="132"/>
      <c r="F53" s="132"/>
      <c r="G53" s="132"/>
      <c r="H53" s="132"/>
      <c r="I53" s="132"/>
      <c r="J53" s="132"/>
    </row>
    <row r="54" spans="1:11">
      <c r="A54" s="132"/>
      <c r="B54" s="132"/>
      <c r="C54" s="132"/>
      <c r="D54" s="132"/>
      <c r="E54" s="132"/>
      <c r="F54" s="132"/>
      <c r="G54" s="132"/>
      <c r="H54" s="132"/>
      <c r="I54" s="132"/>
      <c r="J54" s="132"/>
    </row>
    <row r="55" spans="1:11" ht="13.5" customHeight="1">
      <c r="A55" s="132"/>
      <c r="B55" s="132"/>
      <c r="C55" s="132"/>
      <c r="D55" s="132"/>
      <c r="E55" s="132"/>
      <c r="F55" s="132"/>
      <c r="G55" s="132"/>
      <c r="H55" s="132"/>
      <c r="I55" s="132"/>
      <c r="J55" s="132"/>
    </row>
    <row r="56" spans="1:11" ht="19.5" customHeight="1">
      <c r="A56" s="132"/>
      <c r="B56" s="132"/>
      <c r="C56" s="132"/>
      <c r="D56" s="132"/>
      <c r="E56" s="132"/>
      <c r="F56" s="132"/>
      <c r="G56" s="132"/>
      <c r="H56" s="132"/>
      <c r="I56" s="132"/>
      <c r="J56" s="132"/>
    </row>
    <row r="57" spans="1:11" ht="24" customHeight="1">
      <c r="A57" s="423" t="str">
        <f>"Gráfico N° 3: Comparación de la potencia instalada en el SEIN al término de "&amp;'1. Resumen'!Q4&amp;" "&amp;'1. Resumen'!Q5-1&amp;" y "&amp;'1. Resumen'!Q4&amp;" "&amp;'1. Resumen'!Q5</f>
        <v>Gráfico N° 3: Comparación de la potencia instalada en el SEIN al término de diciembre 2018 y diciembre 2019</v>
      </c>
      <c r="C57" s="132"/>
      <c r="D57" s="132"/>
      <c r="E57" s="132"/>
      <c r="F57" s="132"/>
      <c r="G57" s="132"/>
      <c r="H57" s="132"/>
      <c r="I57" s="132"/>
      <c r="J57" s="132"/>
    </row>
  </sheetData>
  <mergeCells count="12">
    <mergeCell ref="B42:C42"/>
    <mergeCell ref="B37:C37"/>
    <mergeCell ref="B32:K32"/>
    <mergeCell ref="A2:J2"/>
    <mergeCell ref="B38:C38"/>
    <mergeCell ref="B39:C39"/>
    <mergeCell ref="B40:C40"/>
    <mergeCell ref="B41:C41"/>
    <mergeCell ref="A19:J19"/>
    <mergeCell ref="A21:J21"/>
    <mergeCell ref="B33:H33"/>
    <mergeCell ref="A22:J22"/>
  </mergeCells>
  <conditionalFormatting sqref="A25:A27">
    <cfRule type="containsText" dxfId="5" priority="5" stopIfTrue="1" operator="containsText" text=" 0%">
      <formula>NOT(ISERROR(SEARCH(" 0%",A25)))</formula>
    </cfRule>
    <cfRule type="containsText" dxfId="4" priority="6" stopIfTrue="1" operator="containsText" text="0.0%">
      <formula>NOT(ISERROR(SEARCH("0.0%",A25)))</formula>
    </cfRule>
  </conditionalFormatting>
  <conditionalFormatting sqref="A23">
    <cfRule type="containsText" dxfId="3" priority="3" stopIfTrue="1" operator="containsText" text=" 0%">
      <formula>NOT(ISERROR(SEARCH(" 0%",A23)))</formula>
    </cfRule>
    <cfRule type="containsText" dxfId="2" priority="4" stopIfTrue="1" operator="containsText" text="0.0%">
      <formula>NOT(ISERROR(SEARCH("0.0%",A23)))</formula>
    </cfRule>
  </conditionalFormatting>
  <conditionalFormatting sqref="A24">
    <cfRule type="containsText" dxfId="1" priority="1" stopIfTrue="1" operator="containsText" text=" 0%">
      <formula>NOT(ISERROR(SEARCH(" 0%",A24)))</formula>
    </cfRule>
    <cfRule type="containsText" dxfId="0" priority="2" stopIfTrue="1" operator="containsText" text="0.0%">
      <formula>NOT(ISERROR(SEARCH("0.0%",A24)))</formula>
    </cfRule>
  </conditionalFormatting>
  <pageMargins left="0.70866141732283472" right="0.59055118110236227"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8FC8"/>
  </sheetPr>
  <dimension ref="A1:K69"/>
  <sheetViews>
    <sheetView showGridLines="0" view="pageBreakPreview" zoomScale="115" zoomScaleNormal="100" zoomScaleSheetLayoutView="115" zoomScalePageLayoutView="85" workbookViewId="0"/>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874" t="s">
        <v>232</v>
      </c>
      <c r="B2" s="874"/>
      <c r="C2" s="874"/>
      <c r="D2" s="874"/>
      <c r="E2" s="874"/>
      <c r="F2" s="874"/>
      <c r="G2" s="874"/>
      <c r="H2" s="874"/>
      <c r="I2" s="874"/>
      <c r="J2" s="874"/>
      <c r="K2" s="874"/>
    </row>
    <row r="3" spans="1:11" ht="11.25" customHeight="1">
      <c r="A3" s="83"/>
      <c r="B3" s="84"/>
      <c r="C3" s="85"/>
      <c r="D3" s="86"/>
      <c r="E3" s="86"/>
      <c r="F3" s="86"/>
      <c r="G3" s="86"/>
      <c r="H3" s="83"/>
      <c r="I3" s="83"/>
      <c r="J3" s="83"/>
      <c r="K3" s="87"/>
    </row>
    <row r="4" spans="1:11" ht="11.25" customHeight="1">
      <c r="A4" s="875" t="str">
        <f>+"3.1. PRODUCCIÓN POR TIPO DE GENERACIÓN (GWh)"</f>
        <v>3.1. PRODUCCIÓN POR TIPO DE GENERACIÓN (GWh)</v>
      </c>
      <c r="B4" s="875"/>
      <c r="C4" s="875"/>
      <c r="D4" s="875"/>
      <c r="E4" s="875"/>
      <c r="F4" s="875"/>
      <c r="G4" s="875"/>
      <c r="H4" s="875"/>
      <c r="I4" s="875"/>
      <c r="J4" s="875"/>
      <c r="K4" s="875"/>
    </row>
    <row r="5" spans="1:11" ht="11.25" customHeight="1">
      <c r="A5" s="54"/>
      <c r="B5" s="88"/>
      <c r="C5" s="89"/>
      <c r="D5" s="90"/>
      <c r="E5" s="90"/>
      <c r="F5" s="90"/>
      <c r="G5" s="90"/>
      <c r="H5" s="91"/>
      <c r="I5" s="83"/>
      <c r="J5" s="83"/>
      <c r="K5" s="92"/>
    </row>
    <row r="6" spans="1:11" ht="18" customHeight="1">
      <c r="A6" s="872" t="s">
        <v>32</v>
      </c>
      <c r="B6" s="876" t="s">
        <v>33</v>
      </c>
      <c r="C6" s="877"/>
      <c r="D6" s="877"/>
      <c r="E6" s="877" t="s">
        <v>34</v>
      </c>
      <c r="F6" s="877"/>
      <c r="G6" s="878" t="str">
        <f>"Generación Acumulada a "&amp;'1. Resumen'!Q4</f>
        <v>Generación Acumulada a diciembre</v>
      </c>
      <c r="H6" s="878"/>
      <c r="I6" s="878"/>
      <c r="J6" s="878"/>
      <c r="K6" s="879"/>
    </row>
    <row r="7" spans="1:11" ht="32.25" customHeight="1">
      <c r="A7" s="873"/>
      <c r="B7" s="512">
        <f>+C7-30</f>
        <v>43742</v>
      </c>
      <c r="C7" s="512">
        <f>+D7-28</f>
        <v>43772</v>
      </c>
      <c r="D7" s="512">
        <f>+'1. Resumen'!Q6</f>
        <v>43800</v>
      </c>
      <c r="E7" s="512">
        <f>+D7-365</f>
        <v>43435</v>
      </c>
      <c r="F7" s="513" t="s">
        <v>35</v>
      </c>
      <c r="G7" s="514">
        <v>2019</v>
      </c>
      <c r="H7" s="514">
        <v>2018</v>
      </c>
      <c r="I7" s="513" t="s">
        <v>498</v>
      </c>
      <c r="J7" s="514">
        <v>2017</v>
      </c>
      <c r="K7" s="515" t="s">
        <v>42</v>
      </c>
    </row>
    <row r="8" spans="1:11" ht="15" customHeight="1">
      <c r="A8" s="116" t="s">
        <v>36</v>
      </c>
      <c r="B8" s="366">
        <v>2126.1102036450002</v>
      </c>
      <c r="C8" s="362">
        <v>2516.3963216349989</v>
      </c>
      <c r="D8" s="367">
        <v>3149.3912726024996</v>
      </c>
      <c r="E8" s="366">
        <v>2436.2101136875003</v>
      </c>
      <c r="F8" s="242">
        <f>IF(E8=0,"",D8/E8-1)</f>
        <v>0.29274205656896846</v>
      </c>
      <c r="G8" s="374">
        <v>30168.429254412509</v>
      </c>
      <c r="H8" s="362">
        <v>29357.914005065006</v>
      </c>
      <c r="I8" s="246">
        <f>IF(H8=0,"",G8/H8-1)</f>
        <v>2.760806674505778E-2</v>
      </c>
      <c r="J8" s="366">
        <v>27741.419127373239</v>
      </c>
      <c r="K8" s="242">
        <f t="shared" ref="K8:K15" si="0">IF(J8=0,"",H8/J8-1)</f>
        <v>5.827008597756711E-2</v>
      </c>
    </row>
    <row r="9" spans="1:11" ht="15" customHeight="1">
      <c r="A9" s="117" t="s">
        <v>37</v>
      </c>
      <c r="B9" s="368">
        <v>2117.34931899</v>
      </c>
      <c r="C9" s="252">
        <v>1677.7394552224996</v>
      </c>
      <c r="D9" s="369">
        <v>1233.2545538899997</v>
      </c>
      <c r="E9" s="368">
        <v>1843.3767355599998</v>
      </c>
      <c r="F9" s="243">
        <f t="shared" ref="F9:F15" si="1">IF(E9=0,"",D9/E9-1)</f>
        <v>-0.33098073220754354</v>
      </c>
      <c r="G9" s="375">
        <v>20312.826648202503</v>
      </c>
      <c r="H9" s="252">
        <v>19220.044509157491</v>
      </c>
      <c r="I9" s="247">
        <f t="shared" ref="I9:I15" si="2">IF(H9=0,"",G9/H9-1)</f>
        <v>5.6856379209962338E-2</v>
      </c>
      <c r="J9" s="368">
        <v>19898.436490924396</v>
      </c>
      <c r="K9" s="243">
        <f t="shared" si="0"/>
        <v>-3.4092727942535483E-2</v>
      </c>
    </row>
    <row r="10" spans="1:11" ht="15" customHeight="1">
      <c r="A10" s="118" t="s">
        <v>38</v>
      </c>
      <c r="B10" s="370">
        <v>162.04094952</v>
      </c>
      <c r="C10" s="253">
        <v>128.4353796625</v>
      </c>
      <c r="D10" s="371">
        <v>131.07747016499999</v>
      </c>
      <c r="E10" s="370">
        <v>139.86001345999998</v>
      </c>
      <c r="F10" s="244">
        <f>IF(E10=0,"",D10/E10-1)</f>
        <v>-6.2795241311140004E-2</v>
      </c>
      <c r="G10" s="376">
        <v>1646.1619703125</v>
      </c>
      <c r="H10" s="253">
        <v>1493.6338640475001</v>
      </c>
      <c r="I10" s="248">
        <f t="shared" si="2"/>
        <v>0.10211880564335485</v>
      </c>
      <c r="J10" s="370">
        <v>1065.2272572094798</v>
      </c>
      <c r="K10" s="244">
        <f t="shared" si="0"/>
        <v>0.40217390602667713</v>
      </c>
    </row>
    <row r="11" spans="1:11" ht="15" customHeight="1">
      <c r="A11" s="117" t="s">
        <v>30</v>
      </c>
      <c r="B11" s="368">
        <v>77.070130602500001</v>
      </c>
      <c r="C11" s="252">
        <v>75.155877332500012</v>
      </c>
      <c r="D11" s="369">
        <v>77.499948982500001</v>
      </c>
      <c r="E11" s="368">
        <v>76.637353504999993</v>
      </c>
      <c r="F11" s="243">
        <f>IF(E11=0,"",D11/E11-1)</f>
        <v>1.1255548868134291E-2</v>
      </c>
      <c r="G11" s="375">
        <v>761.72576047749976</v>
      </c>
      <c r="H11" s="252">
        <v>745.19271519000006</v>
      </c>
      <c r="I11" s="247">
        <f t="shared" si="2"/>
        <v>2.2186267995500053E-2</v>
      </c>
      <c r="J11" s="368">
        <v>288.16779198629291</v>
      </c>
      <c r="K11" s="243">
        <f t="shared" si="0"/>
        <v>1.5859680919005901</v>
      </c>
    </row>
    <row r="12" spans="1:11" ht="15" customHeight="1">
      <c r="A12" s="145" t="s">
        <v>43</v>
      </c>
      <c r="B12" s="372">
        <f>+SUM(B8:B11)</f>
        <v>4482.5706027575006</v>
      </c>
      <c r="C12" s="363">
        <f t="shared" ref="C12:E12" si="3">+SUM(C8:C11)</f>
        <v>4397.7270338524977</v>
      </c>
      <c r="D12" s="373">
        <f t="shared" si="3"/>
        <v>4591.2232456399997</v>
      </c>
      <c r="E12" s="372">
        <f t="shared" si="3"/>
        <v>4496.0842162125</v>
      </c>
      <c r="F12" s="245">
        <f>IF(E12=0,"",D12/E12-1)</f>
        <v>2.116041979027794E-2</v>
      </c>
      <c r="G12" s="372">
        <f t="shared" ref="G12:J12" si="4">+SUM(G8:G11)</f>
        <v>52889.143633405016</v>
      </c>
      <c r="H12" s="363">
        <f t="shared" si="4"/>
        <v>50816.785093459999</v>
      </c>
      <c r="I12" s="249">
        <f>IF(H12=0,"",G12/H12-1)</f>
        <v>4.0780984789447583E-2</v>
      </c>
      <c r="J12" s="372">
        <f t="shared" si="4"/>
        <v>48993.250667493405</v>
      </c>
      <c r="K12" s="245">
        <f t="shared" si="0"/>
        <v>3.7220115038753665E-2</v>
      </c>
    </row>
    <row r="13" spans="1:11" ht="15" customHeight="1">
      <c r="A13" s="112"/>
      <c r="B13" s="112"/>
      <c r="C13" s="112"/>
      <c r="D13" s="112"/>
      <c r="E13" s="112"/>
      <c r="F13" s="114"/>
      <c r="G13" s="112"/>
      <c r="H13" s="112"/>
      <c r="I13" s="114"/>
      <c r="J13" s="113"/>
      <c r="K13" s="114" t="str">
        <f t="shared" si="0"/>
        <v/>
      </c>
    </row>
    <row r="14" spans="1:11" ht="15" customHeight="1">
      <c r="A14" s="119" t="s">
        <v>39</v>
      </c>
      <c r="B14" s="240">
        <v>0</v>
      </c>
      <c r="C14" s="241">
        <v>1.8939200699999998</v>
      </c>
      <c r="D14" s="365">
        <v>0.23871000000000001</v>
      </c>
      <c r="E14" s="240">
        <v>0</v>
      </c>
      <c r="F14" s="120" t="str">
        <f t="shared" si="1"/>
        <v/>
      </c>
      <c r="G14" s="240">
        <v>60.050445309999994</v>
      </c>
      <c r="H14" s="241">
        <v>21.20075765</v>
      </c>
      <c r="I14" s="123">
        <f t="shared" si="2"/>
        <v>1.8324669477083519</v>
      </c>
      <c r="J14" s="240">
        <v>16.595158999999999</v>
      </c>
      <c r="K14" s="120">
        <f t="shared" si="0"/>
        <v>0.27752663593039406</v>
      </c>
    </row>
    <row r="15" spans="1:11" ht="15" customHeight="1">
      <c r="A15" s="118" t="s">
        <v>40</v>
      </c>
      <c r="B15" s="237">
        <v>0</v>
      </c>
      <c r="C15" s="238">
        <v>0</v>
      </c>
      <c r="D15" s="239">
        <v>0</v>
      </c>
      <c r="E15" s="237">
        <v>0</v>
      </c>
      <c r="F15" s="121" t="str">
        <f t="shared" si="1"/>
        <v/>
      </c>
      <c r="G15" s="237">
        <v>0</v>
      </c>
      <c r="H15" s="238">
        <v>0</v>
      </c>
      <c r="I15" s="115" t="str">
        <f t="shared" si="2"/>
        <v/>
      </c>
      <c r="J15" s="237">
        <v>0</v>
      </c>
      <c r="K15" s="121" t="str">
        <f t="shared" si="0"/>
        <v/>
      </c>
    </row>
    <row r="16" spans="1:11" ht="23.25" customHeight="1">
      <c r="A16" s="125" t="s">
        <v>41</v>
      </c>
      <c r="B16" s="250">
        <f>+B15-B14</f>
        <v>0</v>
      </c>
      <c r="C16" s="251">
        <f t="shared" ref="C16:E16" si="5">+C15-C14</f>
        <v>-1.8939200699999998</v>
      </c>
      <c r="D16" s="429">
        <f t="shared" si="5"/>
        <v>-0.23871000000000001</v>
      </c>
      <c r="E16" s="250">
        <f t="shared" si="5"/>
        <v>0</v>
      </c>
      <c r="F16" s="122"/>
      <c r="G16" s="250">
        <f t="shared" ref="G16:H16" si="6">+G15-G14</f>
        <v>-60.050445309999994</v>
      </c>
      <c r="H16" s="251">
        <f t="shared" si="6"/>
        <v>-21.20075765</v>
      </c>
      <c r="I16" s="124"/>
      <c r="J16" s="250">
        <f>+J15-J14</f>
        <v>-16.595158999999999</v>
      </c>
      <c r="K16" s="122"/>
    </row>
    <row r="17" spans="1:11" ht="11.25" customHeight="1">
      <c r="A17" s="236" t="s">
        <v>231</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70"/>
      <c r="C42" s="870"/>
      <c r="D42" s="870"/>
      <c r="E42" s="93"/>
      <c r="F42" s="93"/>
      <c r="G42" s="871"/>
      <c r="H42" s="871"/>
      <c r="I42" s="871"/>
      <c r="J42" s="871"/>
      <c r="K42" s="871"/>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6" t="str">
        <f>"Gráfico N° 4: Comparación de la producción de energía eléctrica por tipo de generación acumulada a "&amp;'1. Resumen'!Q4</f>
        <v>Gráfico N° 4: Comparación de la producción de energía eléctrica por tipo de generación acumulada a diciembre</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Diciembre 2019
INFSGI-MES-12-2019
15/01/2020
Versión: 01</oddHeader>
    <oddFooter>&amp;L&amp;7COES, 2019&amp;C3&amp;R&amp;7Dirección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8FC8"/>
  </sheetPr>
  <dimension ref="A1:L63"/>
  <sheetViews>
    <sheetView showGridLines="0" view="pageBreakPreview" zoomScale="115" zoomScaleNormal="100" zoomScaleSheetLayoutView="115" zoomScalePageLayoutView="145" workbookViewId="0"/>
  </sheetViews>
  <sheetFormatPr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9" width="9.5" bestFit="1" customWidth="1"/>
    <col min="10" max="10" width="12.33203125" customWidth="1"/>
    <col min="11" max="11" width="9.33203125" customWidth="1"/>
  </cols>
  <sheetData>
    <row r="1" spans="1:12" ht="11.25" customHeight="1"/>
    <row r="2" spans="1:12" ht="11.25" customHeight="1">
      <c r="A2" s="880" t="str">
        <f>+"3.2. PRODUCCIÓN POR TIPO DE RECURSO ENERGÉTICO (GWh)"</f>
        <v>3.2. PRODUCCIÓN POR TIPO DE RECURSO ENERGÉTICO (GWh)</v>
      </c>
      <c r="B2" s="880"/>
      <c r="C2" s="880"/>
      <c r="D2" s="880"/>
      <c r="E2" s="880"/>
      <c r="F2" s="880"/>
      <c r="G2" s="880"/>
      <c r="H2" s="880"/>
      <c r="I2" s="880"/>
      <c r="J2" s="880"/>
      <c r="K2" s="880"/>
    </row>
    <row r="3" spans="1:12" ht="18.75" customHeight="1">
      <c r="A3" s="126"/>
      <c r="B3" s="127"/>
      <c r="C3" s="128"/>
      <c r="D3" s="129"/>
      <c r="E3" s="129"/>
      <c r="F3" s="129"/>
      <c r="G3" s="130"/>
      <c r="H3" s="130"/>
      <c r="I3" s="130"/>
      <c r="J3" s="126"/>
      <c r="K3" s="126"/>
      <c r="L3" s="36"/>
    </row>
    <row r="4" spans="1:12" ht="14.25" customHeight="1">
      <c r="A4" s="884" t="s">
        <v>44</v>
      </c>
      <c r="B4" s="881" t="s">
        <v>33</v>
      </c>
      <c r="C4" s="882"/>
      <c r="D4" s="882"/>
      <c r="E4" s="882" t="s">
        <v>34</v>
      </c>
      <c r="F4" s="882"/>
      <c r="G4" s="883" t="str">
        <f>+'3. Tipo Generación'!G6:K6</f>
        <v>Generación Acumulada a diciembre</v>
      </c>
      <c r="H4" s="883"/>
      <c r="I4" s="883"/>
      <c r="J4" s="883"/>
      <c r="K4" s="883"/>
      <c r="L4" s="131"/>
    </row>
    <row r="5" spans="1:12" ht="26.25" customHeight="1">
      <c r="A5" s="884"/>
      <c r="B5" s="516">
        <f>+'3. Tipo Generación'!B7</f>
        <v>43742</v>
      </c>
      <c r="C5" s="516">
        <f>+'3. Tipo Generación'!C7</f>
        <v>43772</v>
      </c>
      <c r="D5" s="516">
        <f>+'3. Tipo Generación'!D7</f>
        <v>43800</v>
      </c>
      <c r="E5" s="516">
        <f>+'3. Tipo Generación'!E7</f>
        <v>43435</v>
      </c>
      <c r="F5" s="517" t="s">
        <v>35</v>
      </c>
      <c r="G5" s="518">
        <v>2019</v>
      </c>
      <c r="H5" s="518">
        <v>2018</v>
      </c>
      <c r="I5" s="517" t="s">
        <v>498</v>
      </c>
      <c r="J5" s="518">
        <v>2017</v>
      </c>
      <c r="K5" s="517" t="s">
        <v>42</v>
      </c>
      <c r="L5" s="19"/>
    </row>
    <row r="6" spans="1:12" ht="11.25" customHeight="1">
      <c r="A6" s="139" t="s">
        <v>45</v>
      </c>
      <c r="B6" s="306">
        <v>2126.1102036450002</v>
      </c>
      <c r="C6" s="307">
        <v>2516.3963216349989</v>
      </c>
      <c r="D6" s="308">
        <v>3149.3912726024996</v>
      </c>
      <c r="E6" s="306">
        <v>2436.2101136875003</v>
      </c>
      <c r="F6" s="257">
        <f>IF(E6=0,"",D6/E6-1)</f>
        <v>0.29274205656896846</v>
      </c>
      <c r="G6" s="306">
        <v>30168.429254412509</v>
      </c>
      <c r="H6" s="307">
        <v>29357.914005065006</v>
      </c>
      <c r="I6" s="257">
        <f t="shared" ref="I6:I16" si="0">IF(H6=0,"",G6/H6-1)</f>
        <v>2.760806674505778E-2</v>
      </c>
      <c r="J6" s="306">
        <v>27741.419127373239</v>
      </c>
      <c r="K6" s="257">
        <f>IF(J6=0,"",H6/J6-1)</f>
        <v>5.827008597756711E-2</v>
      </c>
      <c r="L6" s="24"/>
    </row>
    <row r="7" spans="1:12" ht="11.25" customHeight="1">
      <c r="A7" s="140" t="s">
        <v>51</v>
      </c>
      <c r="B7" s="309">
        <v>1960.5022784424998</v>
      </c>
      <c r="C7" s="252">
        <v>1572.0942668674998</v>
      </c>
      <c r="D7" s="310">
        <v>1151.2375455849997</v>
      </c>
      <c r="E7" s="309">
        <v>1727.3175751775</v>
      </c>
      <c r="F7" s="258">
        <f t="shared" ref="F7:F18" si="1">IF(E7=0,"",D7/E7-1)</f>
        <v>-0.33351135765135842</v>
      </c>
      <c r="G7" s="309">
        <v>18924.906565627032</v>
      </c>
      <c r="H7" s="252">
        <v>17919.965966475</v>
      </c>
      <c r="I7" s="258">
        <f t="shared" si="0"/>
        <v>5.607938101177723E-2</v>
      </c>
      <c r="J7" s="309">
        <v>17533.645970229143</v>
      </c>
      <c r="K7" s="258">
        <f t="shared" ref="K7:K19" si="2">IF(J7=0,"",H7/J7-1)</f>
        <v>2.2033066990276851E-2</v>
      </c>
      <c r="L7" s="22"/>
    </row>
    <row r="8" spans="1:12" ht="11.25" customHeight="1">
      <c r="A8" s="141" t="s">
        <v>52</v>
      </c>
      <c r="B8" s="311">
        <v>64.190620729999992</v>
      </c>
      <c r="C8" s="253">
        <v>61.411496822499998</v>
      </c>
      <c r="D8" s="312">
        <v>52.930491487499992</v>
      </c>
      <c r="E8" s="311">
        <v>62.424170189999998</v>
      </c>
      <c r="F8" s="427">
        <f t="shared" si="1"/>
        <v>-0.152083378499132</v>
      </c>
      <c r="G8" s="311">
        <v>618.79252751499996</v>
      </c>
      <c r="H8" s="253">
        <v>606.26057511749991</v>
      </c>
      <c r="I8" s="427">
        <f t="shared" si="0"/>
        <v>2.06709011138837E-2</v>
      </c>
      <c r="J8" s="311">
        <v>551.35950804963488</v>
      </c>
      <c r="K8" s="427">
        <f t="shared" si="2"/>
        <v>9.9573991681163987E-2</v>
      </c>
      <c r="L8" s="22"/>
    </row>
    <row r="9" spans="1:12" ht="11.25" customHeight="1">
      <c r="A9" s="140" t="s">
        <v>53</v>
      </c>
      <c r="B9" s="309">
        <v>49.544273907499999</v>
      </c>
      <c r="C9" s="252">
        <v>15.202934707500001</v>
      </c>
      <c r="D9" s="310">
        <v>1.6689536324999998</v>
      </c>
      <c r="E9" s="309">
        <v>22.457336932499999</v>
      </c>
      <c r="F9" s="258">
        <f t="shared" si="1"/>
        <v>-0.92568336853490807</v>
      </c>
      <c r="G9" s="309">
        <v>323.70749704750006</v>
      </c>
      <c r="H9" s="252">
        <v>370.74576912999999</v>
      </c>
      <c r="I9" s="258">
        <f t="shared" si="0"/>
        <v>-0.12687473735136867</v>
      </c>
      <c r="J9" s="309">
        <v>126.1899293396045</v>
      </c>
      <c r="K9" s="258">
        <f t="shared" si="2"/>
        <v>1.937998072193563</v>
      </c>
      <c r="L9" s="22"/>
    </row>
    <row r="10" spans="1:12" ht="11.25" customHeight="1">
      <c r="A10" s="141" t="s">
        <v>54</v>
      </c>
      <c r="B10" s="311">
        <v>0</v>
      </c>
      <c r="C10" s="253">
        <v>0</v>
      </c>
      <c r="D10" s="312">
        <v>0</v>
      </c>
      <c r="E10" s="311">
        <v>0</v>
      </c>
      <c r="F10" s="427" t="str">
        <f t="shared" si="1"/>
        <v/>
      </c>
      <c r="G10" s="311">
        <v>0</v>
      </c>
      <c r="H10" s="253">
        <v>0</v>
      </c>
      <c r="I10" s="427" t="str">
        <f t="shared" si="0"/>
        <v/>
      </c>
      <c r="J10" s="311">
        <v>9.7034091828799998</v>
      </c>
      <c r="K10" s="427">
        <f t="shared" si="2"/>
        <v>-1</v>
      </c>
      <c r="L10" s="22"/>
    </row>
    <row r="11" spans="1:12" ht="11.25" customHeight="1">
      <c r="A11" s="140" t="s">
        <v>26</v>
      </c>
      <c r="B11" s="309">
        <v>8.6008893574999998</v>
      </c>
      <c r="C11" s="252">
        <v>0</v>
      </c>
      <c r="D11" s="310">
        <v>0</v>
      </c>
      <c r="E11" s="309">
        <v>0</v>
      </c>
      <c r="F11" s="258" t="str">
        <f t="shared" si="1"/>
        <v/>
      </c>
      <c r="G11" s="309">
        <v>36.149195487499995</v>
      </c>
      <c r="H11" s="252">
        <v>43.120710160000002</v>
      </c>
      <c r="I11" s="258">
        <f t="shared" si="0"/>
        <v>-0.16167439373405734</v>
      </c>
      <c r="J11" s="309">
        <v>673.6983736036583</v>
      </c>
      <c r="K11" s="258">
        <f t="shared" si="2"/>
        <v>-0.93599404147386556</v>
      </c>
      <c r="L11" s="24"/>
    </row>
    <row r="12" spans="1:12" ht="11.25" customHeight="1">
      <c r="A12" s="141" t="s">
        <v>46</v>
      </c>
      <c r="B12" s="311">
        <v>0.75443277499999994</v>
      </c>
      <c r="C12" s="253">
        <v>2.3326609224999997</v>
      </c>
      <c r="D12" s="312">
        <v>1.8782589924999997</v>
      </c>
      <c r="E12" s="311">
        <v>13.912232314999999</v>
      </c>
      <c r="F12" s="427">
        <f t="shared" si="1"/>
        <v>-0.8649922636444991</v>
      </c>
      <c r="G12" s="311">
        <v>47.179359552499989</v>
      </c>
      <c r="H12" s="253">
        <v>25.234750090000002</v>
      </c>
      <c r="I12" s="427">
        <f t="shared" si="0"/>
        <v>0.86961865618776901</v>
      </c>
      <c r="J12" s="311">
        <v>126.76813412570822</v>
      </c>
      <c r="K12" s="427">
        <f t="shared" si="2"/>
        <v>-0.80093774934814266</v>
      </c>
      <c r="L12" s="22"/>
    </row>
    <row r="13" spans="1:12" ht="11.25" customHeight="1">
      <c r="A13" s="140" t="s">
        <v>47</v>
      </c>
      <c r="B13" s="309">
        <v>5.5587990000000004E-2</v>
      </c>
      <c r="C13" s="252">
        <v>0</v>
      </c>
      <c r="D13" s="310">
        <v>0</v>
      </c>
      <c r="E13" s="309">
        <v>0</v>
      </c>
      <c r="F13" s="258" t="str">
        <f>IF(E13=0,"",D13/E13-1)</f>
        <v/>
      </c>
      <c r="G13" s="309">
        <v>0.282469725</v>
      </c>
      <c r="H13" s="252">
        <v>2.6571829249999994</v>
      </c>
      <c r="I13" s="258">
        <f t="shared" si="0"/>
        <v>-0.89369579250927933</v>
      </c>
      <c r="J13" s="309">
        <v>1.7315323146820001</v>
      </c>
      <c r="K13" s="258">
        <f t="shared" si="2"/>
        <v>0.53458465803336574</v>
      </c>
      <c r="L13" s="22"/>
    </row>
    <row r="14" spans="1:12" ht="11.25" customHeight="1">
      <c r="A14" s="141" t="s">
        <v>48</v>
      </c>
      <c r="B14" s="311">
        <v>7.5148761224999996</v>
      </c>
      <c r="C14" s="253">
        <v>1.0221822650000001</v>
      </c>
      <c r="D14" s="312">
        <v>1.0160135999999997</v>
      </c>
      <c r="E14" s="311">
        <v>0.65663901749999987</v>
      </c>
      <c r="F14" s="427">
        <f>IF(E14=0,"",D14/E14-1)</f>
        <v>0.54729398181094213</v>
      </c>
      <c r="G14" s="311">
        <v>109.86808108046878</v>
      </c>
      <c r="H14" s="253">
        <v>107.6509891525</v>
      </c>
      <c r="I14" s="427">
        <f t="shared" si="0"/>
        <v>2.0595183986911847E-2</v>
      </c>
      <c r="J14" s="311">
        <v>751.71495404016821</v>
      </c>
      <c r="K14" s="427">
        <f t="shared" si="2"/>
        <v>-0.85679280613759401</v>
      </c>
      <c r="L14" s="22"/>
    </row>
    <row r="15" spans="1:12" ht="11.25" customHeight="1">
      <c r="A15" s="140" t="s">
        <v>49</v>
      </c>
      <c r="B15" s="309">
        <v>20.09909639</v>
      </c>
      <c r="C15" s="252">
        <v>20.024284354999999</v>
      </c>
      <c r="D15" s="310">
        <v>19.8706525425</v>
      </c>
      <c r="E15" s="309">
        <v>10.894679502499999</v>
      </c>
      <c r="F15" s="258">
        <f t="shared" si="1"/>
        <v>0.82388591953900869</v>
      </c>
      <c r="G15" s="309">
        <v>186.31921590500002</v>
      </c>
      <c r="H15" s="252">
        <v>93.812061187500007</v>
      </c>
      <c r="I15" s="258">
        <f>IF(H15=0,"",G15/H15-1)</f>
        <v>0.98609020574239481</v>
      </c>
      <c r="J15" s="309">
        <v>81.687220158217897</v>
      </c>
      <c r="K15" s="258">
        <f t="shared" si="2"/>
        <v>0.14843008497287347</v>
      </c>
      <c r="L15" s="22"/>
    </row>
    <row r="16" spans="1:12" ht="11.25" customHeight="1">
      <c r="A16" s="141" t="s">
        <v>50</v>
      </c>
      <c r="B16" s="311">
        <v>6.0872632750000006</v>
      </c>
      <c r="C16" s="253">
        <v>5.6516292825000001</v>
      </c>
      <c r="D16" s="312">
        <v>4.6526380499999993</v>
      </c>
      <c r="E16" s="311">
        <v>5.7141024249999992</v>
      </c>
      <c r="F16" s="427">
        <f t="shared" si="1"/>
        <v>-0.18576222406443832</v>
      </c>
      <c r="G16" s="311">
        <v>65.621736262499994</v>
      </c>
      <c r="H16" s="253">
        <v>50.596504919999994</v>
      </c>
      <c r="I16" s="427">
        <f t="shared" si="0"/>
        <v>0.29696184284382787</v>
      </c>
      <c r="J16" s="311">
        <v>41.937459880696615</v>
      </c>
      <c r="K16" s="427">
        <f t="shared" si="2"/>
        <v>0.20647519100910183</v>
      </c>
      <c r="L16" s="22"/>
    </row>
    <row r="17" spans="1:12" ht="11.25" customHeight="1">
      <c r="A17" s="140" t="s">
        <v>30</v>
      </c>
      <c r="B17" s="309">
        <v>77.070130602500001</v>
      </c>
      <c r="C17" s="252">
        <v>75.155877332500012</v>
      </c>
      <c r="D17" s="310">
        <v>77.499948982500001</v>
      </c>
      <c r="E17" s="309">
        <v>76.637353504999993</v>
      </c>
      <c r="F17" s="258">
        <f t="shared" si="1"/>
        <v>1.1255548868134291E-2</v>
      </c>
      <c r="G17" s="309">
        <v>761.72576047749976</v>
      </c>
      <c r="H17" s="252">
        <v>745.19271519000006</v>
      </c>
      <c r="I17" s="258">
        <f>IF(H17=0,"",G17/H17-1)</f>
        <v>2.2186267995500053E-2</v>
      </c>
      <c r="J17" s="309">
        <v>288.16779198629291</v>
      </c>
      <c r="K17" s="258">
        <f t="shared" si="2"/>
        <v>1.5859680919005901</v>
      </c>
      <c r="L17" s="22"/>
    </row>
    <row r="18" spans="1:12" ht="11.25" customHeight="1">
      <c r="A18" s="141" t="s">
        <v>29</v>
      </c>
      <c r="B18" s="311">
        <v>162.04094952</v>
      </c>
      <c r="C18" s="253">
        <v>128.4353796625</v>
      </c>
      <c r="D18" s="312">
        <v>131.07747016499999</v>
      </c>
      <c r="E18" s="311">
        <v>139.86001345999998</v>
      </c>
      <c r="F18" s="427">
        <f t="shared" si="1"/>
        <v>-6.2795241311140004E-2</v>
      </c>
      <c r="G18" s="311">
        <v>1646.1619703125</v>
      </c>
      <c r="H18" s="253">
        <v>1493.6338640475001</v>
      </c>
      <c r="I18" s="427">
        <f>IF(H18=0,"",G18/H18-1)</f>
        <v>0.10211880564335485</v>
      </c>
      <c r="J18" s="311">
        <v>1065.2272572094798</v>
      </c>
      <c r="K18" s="427">
        <f t="shared" si="2"/>
        <v>0.40217390602667713</v>
      </c>
      <c r="L18" s="22"/>
    </row>
    <row r="19" spans="1:12" ht="11.25" customHeight="1">
      <c r="A19" s="146" t="s">
        <v>43</v>
      </c>
      <c r="B19" s="313">
        <f>SUM(B6:B18)</f>
        <v>4482.5706027575006</v>
      </c>
      <c r="C19" s="314">
        <f>SUM(C6:C18)</f>
        <v>4397.7270338524986</v>
      </c>
      <c r="D19" s="806">
        <f>SUM(D6:D18)</f>
        <v>4591.2232456399997</v>
      </c>
      <c r="E19" s="313">
        <f>SUM(E6:E18)</f>
        <v>4496.0842162125018</v>
      </c>
      <c r="F19" s="428">
        <f>IF(E19=0,"",D19/E19-1)</f>
        <v>2.1160419790277718E-2</v>
      </c>
      <c r="G19" s="313">
        <f>SUM(G6:G18)</f>
        <v>52889.143633405023</v>
      </c>
      <c r="H19" s="314">
        <f>SUM(H6:H18)</f>
        <v>50816.785093460014</v>
      </c>
      <c r="I19" s="428">
        <f>IF(H19=0,"",G19/H19-1)</f>
        <v>4.0780984789447361E-2</v>
      </c>
      <c r="J19" s="313">
        <f>SUM(J6:J18)</f>
        <v>48993.250667493405</v>
      </c>
      <c r="K19" s="428">
        <f t="shared" si="2"/>
        <v>3.7220115038753887E-2</v>
      </c>
      <c r="L19" s="30"/>
    </row>
    <row r="20" spans="1:12" ht="11.25" customHeight="1">
      <c r="A20" s="22"/>
      <c r="B20" s="22"/>
      <c r="C20" s="22"/>
      <c r="D20" s="22"/>
      <c r="E20" s="22"/>
      <c r="F20" s="22"/>
      <c r="G20" s="22"/>
      <c r="H20" s="22"/>
      <c r="I20" s="22"/>
      <c r="J20" s="22"/>
      <c r="K20" s="22"/>
      <c r="L20" s="22"/>
    </row>
    <row r="21" spans="1:12" ht="11.25" customHeight="1">
      <c r="A21" s="142" t="s">
        <v>39</v>
      </c>
      <c r="B21" s="240">
        <v>0</v>
      </c>
      <c r="C21" s="241">
        <v>1.8939200699999998</v>
      </c>
      <c r="D21" s="365">
        <v>0.23871000000000001</v>
      </c>
      <c r="E21" s="751">
        <v>0</v>
      </c>
      <c r="F21" s="120" t="str">
        <f>IF(E21=0,"",D21/E21-1)</f>
        <v/>
      </c>
      <c r="G21" s="240">
        <v>60.050445309999994</v>
      </c>
      <c r="H21" s="364">
        <v>21.20075765</v>
      </c>
      <c r="I21" s="123">
        <f>IF(H21=0,"",G21/H21-1)</f>
        <v>1.8324669477083519</v>
      </c>
      <c r="J21" s="240">
        <v>16.595158999999999</v>
      </c>
      <c r="K21" s="120">
        <f>IF(J21=0,"",H21/J21-1)</f>
        <v>0.27752663593039406</v>
      </c>
      <c r="L21" s="22"/>
    </row>
    <row r="22" spans="1:12" ht="11.25" customHeight="1">
      <c r="A22" s="143" t="s">
        <v>40</v>
      </c>
      <c r="B22" s="237">
        <v>0</v>
      </c>
      <c r="C22" s="238">
        <v>0</v>
      </c>
      <c r="D22" s="239">
        <v>0</v>
      </c>
      <c r="E22" s="752">
        <v>0</v>
      </c>
      <c r="F22" s="750" t="str">
        <f>IF(E22=0,"",D22/E22-1)</f>
        <v/>
      </c>
      <c r="G22" s="237">
        <v>0</v>
      </c>
      <c r="H22" s="238">
        <v>0</v>
      </c>
      <c r="I22" s="115" t="str">
        <f>IF(H22=0,"",G22/H22-1)</f>
        <v/>
      </c>
      <c r="J22" s="237">
        <v>0</v>
      </c>
      <c r="K22" s="121" t="str">
        <f>IF(J22=0,"",H22/J22-1)</f>
        <v/>
      </c>
      <c r="L22" s="22"/>
    </row>
    <row r="23" spans="1:12" ht="23.25" customHeight="1">
      <c r="A23" s="144" t="s">
        <v>41</v>
      </c>
      <c r="B23" s="250">
        <f>+B22-B21</f>
        <v>0</v>
      </c>
      <c r="C23" s="251">
        <f>+C22-C21</f>
        <v>-1.8939200699999998</v>
      </c>
      <c r="D23" s="429">
        <f>+D22-D21</f>
        <v>-0.23871000000000001</v>
      </c>
      <c r="E23" s="753">
        <f>+E22-E21</f>
        <v>0</v>
      </c>
      <c r="F23" s="251"/>
      <c r="G23" s="250">
        <f>+G22-G21</f>
        <v>-60.050445309999994</v>
      </c>
      <c r="H23" s="251">
        <f>+H22-H21</f>
        <v>-21.20075765</v>
      </c>
      <c r="I23" s="124"/>
      <c r="J23" s="250">
        <f>+J22-J21</f>
        <v>-16.595158999999999</v>
      </c>
      <c r="K23" s="122"/>
      <c r="L23" s="30"/>
    </row>
    <row r="24" spans="1:12" ht="11.25" customHeight="1">
      <c r="A24" s="235" t="s">
        <v>233</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5" t="str">
        <f>"Gráfico N° 5: Comparación de la producción de energía eléctrica (GWh) por tipo de recurso energético acumulado a "&amp;'1. Resumen'!Q4&amp;"."</f>
        <v>Gráfico N° 5: Comparación de la producción de energía eléctrica (GWh) por tipo de recurso energético acumulado a diciembre.</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
Diciembre 2019
INFSGI-MES-12-2019
15/01/2020
Versión: 01</oddHeader>
    <oddFooter>&amp;L&amp;7COES, 2019&amp;C4&amp;R&amp;7Dirección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008FC8"/>
  </sheetPr>
  <dimension ref="A1:U61"/>
  <sheetViews>
    <sheetView showGridLines="0" view="pageBreakPreview" zoomScale="115" zoomScaleNormal="100" zoomScaleSheetLayoutView="115" zoomScalePageLayoutView="145" workbookViewId="0"/>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608"/>
  </cols>
  <sheetData>
    <row r="1" spans="1:12" ht="11.25" customHeight="1"/>
    <row r="2" spans="1:12" ht="11.25" customHeight="1">
      <c r="A2" s="886" t="s">
        <v>241</v>
      </c>
      <c r="B2" s="886"/>
      <c r="C2" s="886"/>
      <c r="D2" s="886"/>
      <c r="E2" s="886"/>
      <c r="F2" s="886"/>
      <c r="G2" s="886"/>
      <c r="H2" s="886"/>
      <c r="I2" s="886"/>
      <c r="J2" s="886"/>
      <c r="K2" s="886"/>
      <c r="L2" s="609"/>
    </row>
    <row r="3" spans="1:12" ht="11.25" customHeight="1">
      <c r="A3" s="74"/>
      <c r="B3" s="73"/>
      <c r="C3" s="73"/>
      <c r="D3" s="73"/>
      <c r="E3" s="73"/>
      <c r="F3" s="73"/>
      <c r="G3" s="73"/>
      <c r="H3" s="73"/>
      <c r="I3" s="73"/>
      <c r="J3" s="73"/>
      <c r="K3" s="73"/>
      <c r="L3" s="609"/>
    </row>
    <row r="4" spans="1:12" ht="15.75" customHeight="1">
      <c r="A4" s="884" t="s">
        <v>237</v>
      </c>
      <c r="B4" s="881" t="s">
        <v>33</v>
      </c>
      <c r="C4" s="882"/>
      <c r="D4" s="882"/>
      <c r="E4" s="882" t="s">
        <v>34</v>
      </c>
      <c r="F4" s="882"/>
      <c r="G4" s="883" t="str">
        <f>+'4. Tipo Recurso'!G4:K4</f>
        <v>Generación Acumulada a diciembre</v>
      </c>
      <c r="H4" s="883"/>
      <c r="I4" s="883"/>
      <c r="J4" s="883"/>
      <c r="K4" s="883"/>
      <c r="L4" s="610"/>
    </row>
    <row r="5" spans="1:12" ht="29.25" customHeight="1">
      <c r="A5" s="884"/>
      <c r="B5" s="516">
        <f>+'4. Tipo Recurso'!B5</f>
        <v>43742</v>
      </c>
      <c r="C5" s="516">
        <f>+'4. Tipo Recurso'!C5</f>
        <v>43772</v>
      </c>
      <c r="D5" s="516">
        <f>+'4. Tipo Recurso'!D5</f>
        <v>43800</v>
      </c>
      <c r="E5" s="516">
        <f>+'4. Tipo Recurso'!E5</f>
        <v>43435</v>
      </c>
      <c r="F5" s="516" t="s">
        <v>35</v>
      </c>
      <c r="G5" s="518">
        <v>2019</v>
      </c>
      <c r="H5" s="518">
        <v>2018</v>
      </c>
      <c r="I5" s="517" t="s">
        <v>42</v>
      </c>
      <c r="J5" s="518">
        <v>2017</v>
      </c>
      <c r="K5" s="517" t="s">
        <v>42</v>
      </c>
      <c r="L5" s="611"/>
    </row>
    <row r="6" spans="1:12" ht="11.25" customHeight="1">
      <c r="A6" s="139" t="s">
        <v>45</v>
      </c>
      <c r="B6" s="306">
        <v>135.06042953500003</v>
      </c>
      <c r="C6" s="307">
        <v>186.89413880749996</v>
      </c>
      <c r="D6" s="308">
        <v>234.72636999749994</v>
      </c>
      <c r="E6" s="306">
        <v>138.42144508000001</v>
      </c>
      <c r="F6" s="257">
        <f t="shared" ref="F6:F11" si="0">IF(E6=0,"",D6/E6-1)</f>
        <v>0.69573702876632271</v>
      </c>
      <c r="G6" s="306">
        <v>1845.1128347400004</v>
      </c>
      <c r="H6" s="307">
        <v>1290.8966449950001</v>
      </c>
      <c r="I6" s="261">
        <f t="shared" ref="I6:I11" si="1">IF(H6=0,"",G6/H6-1)</f>
        <v>0.42932653973017865</v>
      </c>
      <c r="J6" s="306">
        <v>1001.8839071484376</v>
      </c>
      <c r="K6" s="257">
        <f t="shared" ref="K6:K11" si="2">IF(J6=0,"",H6/J6-1)</f>
        <v>0.28846928849186781</v>
      </c>
      <c r="L6" s="612"/>
    </row>
    <row r="7" spans="1:12" ht="11.25" customHeight="1">
      <c r="A7" s="140" t="s">
        <v>38</v>
      </c>
      <c r="B7" s="309">
        <v>162.04094952</v>
      </c>
      <c r="C7" s="252">
        <v>128.4353796625</v>
      </c>
      <c r="D7" s="310">
        <v>131.07747016499999</v>
      </c>
      <c r="E7" s="309">
        <v>139.86001345999998</v>
      </c>
      <c r="F7" s="258">
        <f t="shared" si="0"/>
        <v>-6.2795241311140004E-2</v>
      </c>
      <c r="G7" s="309">
        <v>1646.1619703125</v>
      </c>
      <c r="H7" s="252">
        <v>1493.6338640475001</v>
      </c>
      <c r="I7" s="247">
        <f t="shared" si="1"/>
        <v>0.10211880564335485</v>
      </c>
      <c r="J7" s="309">
        <v>1065.2272572094798</v>
      </c>
      <c r="K7" s="258">
        <f t="shared" si="2"/>
        <v>0.40217390602667713</v>
      </c>
      <c r="L7" s="612"/>
    </row>
    <row r="8" spans="1:12" ht="11.25" customHeight="1">
      <c r="A8" s="255" t="s">
        <v>30</v>
      </c>
      <c r="B8" s="440">
        <v>77.070130602500001</v>
      </c>
      <c r="C8" s="315">
        <v>75.155877332500012</v>
      </c>
      <c r="D8" s="441">
        <v>77.499948982500001</v>
      </c>
      <c r="E8" s="440">
        <v>76.637353504999993</v>
      </c>
      <c r="F8" s="259">
        <f t="shared" si="0"/>
        <v>1.1255548868134291E-2</v>
      </c>
      <c r="G8" s="440">
        <v>761.72576047749976</v>
      </c>
      <c r="H8" s="315">
        <v>745.19271519000006</v>
      </c>
      <c r="I8" s="254">
        <f t="shared" si="1"/>
        <v>2.2186267995500053E-2</v>
      </c>
      <c r="J8" s="440">
        <v>288.16779198629291</v>
      </c>
      <c r="K8" s="259">
        <f t="shared" si="2"/>
        <v>1.5859680919005901</v>
      </c>
      <c r="L8" s="612"/>
    </row>
    <row r="9" spans="1:12" ht="11.25" customHeight="1">
      <c r="A9" s="140" t="s">
        <v>49</v>
      </c>
      <c r="B9" s="309">
        <v>20.09909639</v>
      </c>
      <c r="C9" s="252">
        <v>20.024284354999999</v>
      </c>
      <c r="D9" s="310">
        <v>19.8706525425</v>
      </c>
      <c r="E9" s="309">
        <v>10.894679502499999</v>
      </c>
      <c r="F9" s="258">
        <f t="shared" si="0"/>
        <v>0.82388591953900869</v>
      </c>
      <c r="G9" s="309">
        <v>186.31921590500002</v>
      </c>
      <c r="H9" s="252">
        <v>93.812061187500007</v>
      </c>
      <c r="I9" s="247">
        <f t="shared" si="1"/>
        <v>0.98609020574239481</v>
      </c>
      <c r="J9" s="309">
        <v>81.687220158217897</v>
      </c>
      <c r="K9" s="258">
        <f t="shared" si="2"/>
        <v>0.14843008497287347</v>
      </c>
      <c r="L9" s="613"/>
    </row>
    <row r="10" spans="1:12" ht="11.25" customHeight="1">
      <c r="A10" s="256" t="s">
        <v>50</v>
      </c>
      <c r="B10" s="442">
        <v>6.0872632750000006</v>
      </c>
      <c r="C10" s="443">
        <v>5.6516292825000001</v>
      </c>
      <c r="D10" s="444">
        <v>4.6526380499999993</v>
      </c>
      <c r="E10" s="442">
        <v>5.7141024249999992</v>
      </c>
      <c r="F10" s="260">
        <f t="shared" si="0"/>
        <v>-0.18576222406443832</v>
      </c>
      <c r="G10" s="442">
        <v>65.621736262499994</v>
      </c>
      <c r="H10" s="443">
        <v>50.596504919999994</v>
      </c>
      <c r="I10" s="262">
        <f t="shared" si="1"/>
        <v>0.29696184284382787</v>
      </c>
      <c r="J10" s="442">
        <v>41.937459880696615</v>
      </c>
      <c r="K10" s="260">
        <f t="shared" si="2"/>
        <v>0.20647519100910183</v>
      </c>
      <c r="L10" s="612"/>
    </row>
    <row r="11" spans="1:12" ht="11.25" customHeight="1">
      <c r="A11" s="263" t="s">
        <v>234</v>
      </c>
      <c r="B11" s="377">
        <f>+B6+B7+B8+B9+B10</f>
        <v>400.35786932250005</v>
      </c>
      <c r="C11" s="378">
        <f t="shared" ref="C11:D11" si="3">+C6+C7+C8+C9+C10</f>
        <v>416.16130943999997</v>
      </c>
      <c r="D11" s="379">
        <f t="shared" si="3"/>
        <v>467.8270797374999</v>
      </c>
      <c r="E11" s="380">
        <f>+E6+E7+E8+E9+E10</f>
        <v>371.52759397250003</v>
      </c>
      <c r="F11" s="264">
        <f t="shared" si="0"/>
        <v>0.25919874412377508</v>
      </c>
      <c r="G11" s="438">
        <f>+G6+G7+G8+G9+G10</f>
        <v>4504.9415176975008</v>
      </c>
      <c r="H11" s="439">
        <f>+H6+H7+H8+H9+H10</f>
        <v>3674.13179034</v>
      </c>
      <c r="I11" s="265">
        <f t="shared" si="1"/>
        <v>0.22612409536910461</v>
      </c>
      <c r="J11" s="438">
        <f>+J6+J7+J8+J9+J10</f>
        <v>2478.9036363831246</v>
      </c>
      <c r="K11" s="264">
        <f t="shared" si="2"/>
        <v>0.48215999057582892</v>
      </c>
      <c r="L11" s="610"/>
    </row>
    <row r="12" spans="1:12" ht="24.75" customHeight="1">
      <c r="A12" s="266" t="s">
        <v>235</v>
      </c>
      <c r="B12" s="267">
        <f>B11/'4. Tipo Recurso'!B19</f>
        <v>8.9314347681710954E-2</v>
      </c>
      <c r="C12" s="796">
        <f>C11/'4. Tipo Recurso'!C19</f>
        <v>9.4631000568362739E-2</v>
      </c>
      <c r="D12" s="618">
        <f>D11/'4. Tipo Recurso'!D19</f>
        <v>0.10189595554556539</v>
      </c>
      <c r="E12" s="267">
        <f>E11/'4. Tipo Recurso'!E19</f>
        <v>8.2633593168206843E-2</v>
      </c>
      <c r="F12" s="268"/>
      <c r="G12" s="267">
        <f>G11/'4. Tipo Recurso'!G19</f>
        <v>8.5177055407116842E-2</v>
      </c>
      <c r="H12" s="265">
        <f>H11/'4. Tipo Recurso'!H19</f>
        <v>7.2301539414244664E-2</v>
      </c>
      <c r="I12" s="265"/>
      <c r="J12" s="267">
        <f>J11/'4. Tipo Recurso'!J19</f>
        <v>5.0596839413798188E-2</v>
      </c>
      <c r="K12" s="268"/>
      <c r="L12" s="610"/>
    </row>
    <row r="13" spans="1:12" ht="11.25" customHeight="1">
      <c r="A13" s="269" t="s">
        <v>236</v>
      </c>
      <c r="B13" s="134"/>
      <c r="C13" s="134"/>
      <c r="D13" s="134"/>
      <c r="E13" s="134"/>
      <c r="F13" s="134"/>
      <c r="G13" s="134"/>
      <c r="H13" s="134"/>
      <c r="I13" s="134"/>
      <c r="J13" s="134"/>
      <c r="K13" s="135"/>
      <c r="L13" s="610"/>
    </row>
    <row r="14" spans="1:12" ht="35.25" customHeight="1">
      <c r="A14" s="887" t="s">
        <v>648</v>
      </c>
      <c r="B14" s="887"/>
      <c r="C14" s="887"/>
      <c r="D14" s="887"/>
      <c r="E14" s="887"/>
      <c r="F14" s="887"/>
      <c r="G14" s="887"/>
      <c r="H14" s="887"/>
      <c r="I14" s="887"/>
      <c r="J14" s="887"/>
      <c r="K14" s="887"/>
      <c r="L14" s="610"/>
    </row>
    <row r="15" spans="1:12" ht="11.25" customHeight="1">
      <c r="A15" s="31"/>
      <c r="L15" s="610"/>
    </row>
    <row r="16" spans="1:12" ht="11.25" customHeight="1">
      <c r="A16" s="136"/>
      <c r="B16" s="147"/>
      <c r="C16" s="147"/>
      <c r="D16" s="147"/>
      <c r="E16" s="147"/>
      <c r="F16" s="147"/>
      <c r="G16" s="147"/>
      <c r="H16" s="147"/>
      <c r="I16" s="147"/>
      <c r="J16" s="147"/>
      <c r="K16" s="147"/>
      <c r="L16" s="610"/>
    </row>
    <row r="17" spans="1:12" ht="11.25" customHeight="1">
      <c r="A17" s="147"/>
      <c r="B17" s="147"/>
      <c r="C17" s="147"/>
      <c r="D17" s="147"/>
      <c r="E17" s="147"/>
      <c r="F17" s="147"/>
      <c r="G17" s="147"/>
      <c r="H17" s="147"/>
      <c r="I17" s="147"/>
      <c r="J17" s="147"/>
      <c r="K17" s="147"/>
      <c r="L17" s="610"/>
    </row>
    <row r="18" spans="1:12" ht="11.25" customHeight="1">
      <c r="A18" s="147"/>
      <c r="B18" s="147"/>
      <c r="C18" s="147"/>
      <c r="D18" s="147"/>
      <c r="E18" s="147"/>
      <c r="F18" s="147"/>
      <c r="G18" s="147"/>
      <c r="H18" s="147"/>
      <c r="I18" s="147"/>
      <c r="J18" s="147"/>
      <c r="K18" s="147"/>
      <c r="L18" s="614"/>
    </row>
    <row r="19" spans="1:12" ht="11.25" customHeight="1">
      <c r="A19" s="136"/>
      <c r="B19" s="138"/>
      <c r="C19" s="138"/>
      <c r="D19" s="138"/>
      <c r="E19" s="138"/>
      <c r="F19" s="138"/>
      <c r="G19" s="138"/>
      <c r="H19" s="138"/>
      <c r="I19" s="138"/>
      <c r="J19" s="138"/>
      <c r="K19" s="138"/>
      <c r="L19" s="610"/>
    </row>
    <row r="20" spans="1:12" ht="11.25" customHeight="1">
      <c r="A20" s="136"/>
      <c r="B20" s="138"/>
      <c r="C20" s="138"/>
      <c r="D20" s="138"/>
      <c r="E20" s="138"/>
      <c r="F20" s="138"/>
      <c r="G20" s="138"/>
      <c r="H20" s="138"/>
      <c r="I20" s="138"/>
      <c r="J20" s="138"/>
      <c r="K20" s="138"/>
      <c r="L20" s="610"/>
    </row>
    <row r="21" spans="1:12" ht="11.25" customHeight="1">
      <c r="A21" s="136"/>
      <c r="B21" s="138"/>
      <c r="C21" s="138"/>
      <c r="D21" s="138"/>
      <c r="E21" s="138"/>
      <c r="F21" s="138"/>
      <c r="G21" s="138"/>
      <c r="H21" s="138"/>
      <c r="I21" s="138"/>
      <c r="J21" s="138"/>
      <c r="K21" s="138"/>
      <c r="L21" s="610"/>
    </row>
    <row r="22" spans="1:12" ht="11.25" customHeight="1">
      <c r="A22" s="136"/>
      <c r="B22" s="138"/>
      <c r="C22" s="138"/>
      <c r="D22" s="138"/>
      <c r="E22" s="138"/>
      <c r="F22" s="138"/>
      <c r="G22" s="138"/>
      <c r="H22" s="138"/>
      <c r="I22" s="138"/>
      <c r="J22" s="138"/>
      <c r="K22" s="138"/>
      <c r="L22" s="614"/>
    </row>
    <row r="23" spans="1:12" ht="11.25" customHeight="1">
      <c r="A23" s="136"/>
      <c r="B23" s="138"/>
      <c r="C23" s="138"/>
      <c r="D23" s="138"/>
      <c r="E23" s="138"/>
      <c r="F23" s="138"/>
      <c r="G23" s="138"/>
      <c r="H23" s="138"/>
      <c r="I23" s="138"/>
      <c r="J23" s="138"/>
      <c r="K23" s="138"/>
      <c r="L23" s="610"/>
    </row>
    <row r="24" spans="1:12" ht="11.25" customHeight="1">
      <c r="A24" s="136"/>
      <c r="B24" s="138"/>
      <c r="C24" s="138"/>
      <c r="D24" s="138"/>
      <c r="E24" s="138"/>
      <c r="F24" s="138"/>
      <c r="G24" s="138"/>
      <c r="H24" s="138"/>
      <c r="I24" s="138"/>
      <c r="J24" s="138"/>
      <c r="K24" s="138"/>
      <c r="L24" s="610"/>
    </row>
    <row r="25" spans="1:12" ht="11.25" customHeight="1">
      <c r="A25" s="136"/>
      <c r="B25" s="138"/>
      <c r="C25" s="138"/>
      <c r="D25" s="138"/>
      <c r="E25" s="138"/>
      <c r="F25" s="138"/>
      <c r="G25" s="138"/>
      <c r="H25" s="138"/>
      <c r="I25" s="138"/>
      <c r="J25" s="138"/>
      <c r="K25" s="138"/>
      <c r="L25" s="610"/>
    </row>
    <row r="26" spans="1:12" ht="11.25" customHeight="1">
      <c r="A26" s="136"/>
      <c r="B26" s="138"/>
      <c r="C26" s="138"/>
      <c r="D26" s="138"/>
      <c r="E26" s="138"/>
      <c r="F26" s="138"/>
      <c r="G26" s="138"/>
      <c r="H26" s="138"/>
      <c r="I26" s="138"/>
      <c r="J26" s="138"/>
      <c r="K26" s="138"/>
      <c r="L26" s="610"/>
    </row>
    <row r="27" spans="1:12" ht="11.25" customHeight="1">
      <c r="A27" s="136"/>
      <c r="B27" s="138"/>
      <c r="C27" s="138"/>
      <c r="D27" s="138"/>
      <c r="E27" s="138"/>
      <c r="F27" s="138"/>
      <c r="G27" s="138"/>
      <c r="H27" s="138"/>
      <c r="I27" s="138"/>
      <c r="J27" s="138"/>
      <c r="K27" s="138"/>
      <c r="L27" s="610"/>
    </row>
    <row r="28" spans="1:12" ht="11.25" customHeight="1">
      <c r="A28" s="136"/>
      <c r="B28" s="138"/>
      <c r="C28" s="138"/>
      <c r="D28" s="138"/>
      <c r="E28" s="138"/>
      <c r="F28" s="138"/>
      <c r="G28" s="138"/>
      <c r="H28" s="138"/>
      <c r="I28" s="138"/>
      <c r="J28" s="138"/>
      <c r="K28" s="138"/>
      <c r="L28" s="610"/>
    </row>
    <row r="29" spans="1:12" ht="11.25" customHeight="1">
      <c r="A29" s="136"/>
      <c r="B29" s="138"/>
      <c r="C29" s="138"/>
      <c r="D29" s="138"/>
      <c r="E29" s="138"/>
      <c r="F29" s="138"/>
      <c r="G29" s="138"/>
      <c r="H29" s="138"/>
      <c r="I29" s="138"/>
      <c r="J29" s="138"/>
      <c r="K29" s="138"/>
      <c r="L29" s="610"/>
    </row>
    <row r="30" spans="1:12" ht="11.25" customHeight="1">
      <c r="A30" s="136"/>
      <c r="B30" s="138"/>
      <c r="C30" s="138"/>
      <c r="D30" s="138"/>
      <c r="E30" s="138"/>
      <c r="F30" s="138"/>
      <c r="G30" s="138"/>
      <c r="H30" s="138"/>
      <c r="I30" s="138"/>
      <c r="J30" s="138"/>
      <c r="K30" s="138"/>
      <c r="L30" s="610"/>
    </row>
    <row r="31" spans="1:12" ht="11.25" customHeight="1">
      <c r="A31" s="136"/>
      <c r="B31" s="138"/>
      <c r="C31" s="138"/>
      <c r="D31" s="138"/>
      <c r="E31" s="138"/>
      <c r="F31" s="138"/>
      <c r="G31" s="138"/>
      <c r="H31" s="138"/>
      <c r="I31" s="138"/>
      <c r="J31" s="138"/>
      <c r="K31" s="138"/>
      <c r="L31" s="610"/>
    </row>
    <row r="32" spans="1:12" ht="11.25" customHeight="1">
      <c r="A32" s="136"/>
      <c r="B32" s="138"/>
      <c r="C32" s="138"/>
      <c r="D32" s="138"/>
      <c r="E32" s="138"/>
      <c r="F32" s="138"/>
      <c r="G32" s="138"/>
      <c r="H32" s="138"/>
      <c r="I32" s="138"/>
      <c r="J32" s="138"/>
      <c r="K32" s="138"/>
      <c r="L32" s="610"/>
    </row>
    <row r="33" spans="1:16" ht="11.25" customHeight="1">
      <c r="A33" s="136"/>
      <c r="B33" s="138"/>
      <c r="C33" s="138"/>
      <c r="D33" s="138"/>
      <c r="E33" s="138"/>
      <c r="F33" s="138"/>
      <c r="G33" s="138"/>
      <c r="H33" s="138"/>
      <c r="I33" s="138"/>
      <c r="J33" s="138"/>
      <c r="K33" s="138"/>
      <c r="L33" s="610"/>
    </row>
    <row r="34" spans="1:16" ht="11.25" customHeight="1">
      <c r="A34" s="885" t="str">
        <f>"Gráfico N° 6: Comparación de la producción de energía eléctrica acumulada (GWh) con recursos energéticos renovables en "&amp;'1. Resumen'!Q4&amp;"."</f>
        <v>Gráfico N° 6: Comparación de la producción de energía eléctrica acumulada (GWh) con recursos energéticos renovables en diciembre.</v>
      </c>
      <c r="B34" s="885"/>
      <c r="C34" s="885"/>
      <c r="D34" s="885"/>
      <c r="E34" s="885"/>
      <c r="F34" s="885"/>
      <c r="G34" s="885"/>
      <c r="H34" s="885"/>
      <c r="I34" s="885"/>
      <c r="J34" s="885"/>
      <c r="K34" s="885"/>
      <c r="L34" s="610"/>
    </row>
    <row r="35" spans="1:16" ht="11.25" customHeight="1">
      <c r="L35" s="615"/>
    </row>
    <row r="36" spans="1:16" ht="11.25" customHeight="1">
      <c r="A36" s="136"/>
      <c r="B36" s="138"/>
      <c r="C36" s="138"/>
      <c r="D36" s="138"/>
      <c r="E36" s="138"/>
      <c r="F36" s="138"/>
      <c r="G36" s="138"/>
      <c r="H36" s="138"/>
      <c r="I36" s="138"/>
      <c r="J36" s="138"/>
      <c r="K36" s="138"/>
      <c r="L36" s="610"/>
    </row>
    <row r="37" spans="1:16" ht="11.25" customHeight="1">
      <c r="A37" s="136"/>
      <c r="B37" s="138"/>
      <c r="C37" s="138"/>
      <c r="D37" s="138"/>
      <c r="E37" s="138"/>
      <c r="F37" s="138"/>
      <c r="G37" s="138"/>
      <c r="H37" s="138"/>
      <c r="I37" s="138"/>
      <c r="J37" s="138"/>
      <c r="K37" s="138"/>
      <c r="L37" s="610"/>
    </row>
    <row r="38" spans="1:16" ht="11.25" customHeight="1">
      <c r="A38" s="136"/>
      <c r="B38" s="138"/>
      <c r="C38" s="138"/>
      <c r="D38" s="138"/>
      <c r="E38" s="138"/>
      <c r="F38" s="138"/>
      <c r="G38" s="138"/>
      <c r="H38" s="138"/>
      <c r="I38" s="138"/>
      <c r="J38" s="138"/>
      <c r="K38" s="138"/>
      <c r="L38" s="610"/>
    </row>
    <row r="39" spans="1:16" ht="11.25" customHeight="1">
      <c r="A39" s="136"/>
      <c r="B39" s="138"/>
      <c r="C39" s="270" t="s">
        <v>239</v>
      </c>
      <c r="D39" s="158"/>
      <c r="E39" s="158"/>
      <c r="F39" s="437">
        <f>+'4. Tipo Recurso'!D19</f>
        <v>4591.2232456399997</v>
      </c>
      <c r="G39" s="270" t="s">
        <v>238</v>
      </c>
      <c r="H39" s="138"/>
      <c r="I39" s="138"/>
      <c r="J39" s="138"/>
      <c r="K39" s="138"/>
      <c r="L39" s="610"/>
      <c r="M39" s="616">
        <f>+F39-F40</f>
        <v>4123.3932456399998</v>
      </c>
      <c r="P39" s="617"/>
    </row>
    <row r="40" spans="1:16" ht="11.25" customHeight="1">
      <c r="A40" s="136"/>
      <c r="B40" s="138"/>
      <c r="C40" s="270" t="s">
        <v>240</v>
      </c>
      <c r="D40" s="158"/>
      <c r="E40" s="158"/>
      <c r="F40" s="437">
        <f>ROUND(D11,2)</f>
        <v>467.83</v>
      </c>
      <c r="G40" s="270" t="s">
        <v>238</v>
      </c>
      <c r="H40" s="138"/>
      <c r="I40" s="138"/>
      <c r="J40" s="138"/>
      <c r="K40" s="138"/>
      <c r="L40" s="610"/>
      <c r="M40" s="617"/>
      <c r="P40" s="617"/>
    </row>
    <row r="41" spans="1:16" ht="11.25" customHeight="1">
      <c r="A41" s="136"/>
      <c r="B41" s="138"/>
      <c r="C41" s="138"/>
      <c r="D41" s="138"/>
      <c r="E41" s="138"/>
      <c r="F41" s="138"/>
      <c r="G41" s="138"/>
      <c r="H41" s="138"/>
      <c r="I41" s="138"/>
      <c r="J41" s="138"/>
      <c r="K41" s="138"/>
      <c r="L41" s="610"/>
      <c r="P41" s="617"/>
    </row>
    <row r="42" spans="1:16" ht="11.25" customHeight="1">
      <c r="A42" s="136"/>
      <c r="B42" s="138"/>
      <c r="C42" s="138"/>
      <c r="D42" s="138"/>
      <c r="E42" s="138"/>
      <c r="F42" s="138"/>
      <c r="G42" s="138"/>
      <c r="H42" s="138"/>
      <c r="I42" s="138"/>
      <c r="J42" s="138"/>
      <c r="K42" s="138"/>
      <c r="L42" s="610"/>
      <c r="P42" s="617"/>
    </row>
    <row r="43" spans="1:16" ht="11.25" customHeight="1">
      <c r="A43" s="136"/>
      <c r="B43" s="138"/>
      <c r="C43" s="138"/>
      <c r="D43" s="138"/>
      <c r="E43" s="138"/>
      <c r="F43" s="138"/>
      <c r="G43" s="138"/>
      <c r="H43" s="138"/>
      <c r="I43" s="138"/>
      <c r="J43" s="138"/>
      <c r="K43" s="138"/>
      <c r="L43" s="610"/>
      <c r="P43" s="617"/>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5" t="str">
        <f>"Gráfico N° 7: Participación de las RER en la Matriz de Generación del SEIN en "&amp;'1. Resumen'!Q4&amp;" "&amp;'1. Resumen'!Q5&amp;"."</f>
        <v>Gráfico N° 7: Participación de las RER en la Matriz de Generación del SEIN en diciembre 2019.</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8FC8"/>
  </sheetPr>
  <dimension ref="A1:N73"/>
  <sheetViews>
    <sheetView showGridLines="0" view="pageBreakPreview" zoomScale="115" zoomScaleNormal="100" zoomScaleSheetLayoutView="115" zoomScalePageLayoutView="85" workbookViewId="0"/>
  </sheetViews>
  <sheetFormatPr defaultColWidth="9.33203125" defaultRowHeight="11.25"/>
  <cols>
    <col min="1" max="1" width="30.1640625" customWidth="1"/>
    <col min="2"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886" t="s">
        <v>246</v>
      </c>
      <c r="B2" s="886"/>
      <c r="C2" s="886"/>
      <c r="D2" s="886"/>
      <c r="E2" s="886"/>
      <c r="F2" s="886"/>
      <c r="G2" s="886"/>
      <c r="H2" s="886"/>
      <c r="I2" s="886"/>
      <c r="J2" s="17"/>
    </row>
    <row r="3" spans="1:14" ht="6" customHeight="1">
      <c r="A3" s="17"/>
      <c r="B3" s="17"/>
      <c r="C3" s="17"/>
      <c r="D3" s="17"/>
      <c r="E3" s="17"/>
      <c r="F3" s="17"/>
      <c r="G3" s="17"/>
      <c r="H3" s="17"/>
      <c r="I3" s="17"/>
      <c r="J3" s="17"/>
      <c r="K3" s="349"/>
      <c r="L3" s="349"/>
    </row>
    <row r="4" spans="1:14" ht="11.25" customHeight="1">
      <c r="A4" s="890" t="s">
        <v>256</v>
      </c>
      <c r="B4" s="891" t="str">
        <f>+'1. Resumen'!Q4</f>
        <v>diciembre</v>
      </c>
      <c r="C4" s="892"/>
      <c r="D4" s="892"/>
      <c r="E4" s="138"/>
      <c r="F4" s="138"/>
      <c r="G4" s="893" t="s">
        <v>501</v>
      </c>
      <c r="H4" s="893"/>
      <c r="I4" s="893"/>
      <c r="J4" s="138"/>
      <c r="L4" s="350"/>
      <c r="M4" s="351">
        <v>2019</v>
      </c>
      <c r="N4" s="351">
        <v>2018</v>
      </c>
    </row>
    <row r="5" spans="1:14" ht="11.25" customHeight="1">
      <c r="A5" s="890"/>
      <c r="B5" s="519">
        <f>+'1. Resumen'!Q5</f>
        <v>2019</v>
      </c>
      <c r="C5" s="520">
        <f>+B5-1</f>
        <v>2018</v>
      </c>
      <c r="D5" s="520" t="s">
        <v>35</v>
      </c>
      <c r="E5" s="138"/>
      <c r="F5" s="138"/>
      <c r="G5" s="138"/>
      <c r="H5" s="138"/>
      <c r="I5" s="138"/>
      <c r="J5" s="138"/>
      <c r="K5" s="352"/>
      <c r="L5" s="356" t="s">
        <v>122</v>
      </c>
      <c r="M5" s="354">
        <v>0</v>
      </c>
      <c r="N5" s="354">
        <v>4.2346610950000008</v>
      </c>
    </row>
    <row r="6" spans="1:14" ht="10.5" customHeight="1">
      <c r="A6" s="413" t="s">
        <v>90</v>
      </c>
      <c r="B6" s="430">
        <v>632.41309679999995</v>
      </c>
      <c r="C6" s="431">
        <v>556.38976895999997</v>
      </c>
      <c r="D6" s="414">
        <f>IF(C6=0,"",B6/C6-1)</f>
        <v>0.13663681843413888</v>
      </c>
      <c r="E6" s="138"/>
      <c r="F6" s="138"/>
      <c r="G6" s="138"/>
      <c r="H6" s="138"/>
      <c r="I6" s="138"/>
      <c r="J6" s="138"/>
      <c r="K6" s="355"/>
      <c r="L6" s="356" t="s">
        <v>247</v>
      </c>
      <c r="M6" s="354">
        <v>0</v>
      </c>
      <c r="N6" s="354">
        <v>0</v>
      </c>
    </row>
    <row r="7" spans="1:14" ht="10.5" customHeight="1">
      <c r="A7" s="415" t="s">
        <v>477</v>
      </c>
      <c r="B7" s="432">
        <v>618.27599136250001</v>
      </c>
      <c r="C7" s="432">
        <v>432.10283817750002</v>
      </c>
      <c r="D7" s="416">
        <f t="shared" ref="D7:D63" si="0">IF(C7=0,"",B7/C7-1)</f>
        <v>0.43085380778851401</v>
      </c>
      <c r="E7" s="426"/>
      <c r="F7" s="138"/>
      <c r="G7" s="138"/>
      <c r="H7" s="138"/>
      <c r="I7" s="138"/>
      <c r="J7" s="138"/>
      <c r="L7" s="354" t="s">
        <v>254</v>
      </c>
      <c r="M7" s="354">
        <v>2.5137325E-3</v>
      </c>
      <c r="N7" s="354">
        <v>1.7262139999999999E-2</v>
      </c>
    </row>
    <row r="8" spans="1:14" ht="10.5" customHeight="1">
      <c r="A8" s="413" t="s">
        <v>88</v>
      </c>
      <c r="B8" s="431">
        <v>583.41048334499999</v>
      </c>
      <c r="C8" s="431">
        <v>621.24845739999989</v>
      </c>
      <c r="D8" s="414">
        <f t="shared" si="0"/>
        <v>-6.0906346895984953E-2</v>
      </c>
      <c r="E8" s="138"/>
      <c r="F8" s="138"/>
      <c r="G8" s="138"/>
      <c r="H8" s="138"/>
      <c r="I8" s="138"/>
      <c r="J8" s="138"/>
      <c r="L8" s="356" t="s">
        <v>119</v>
      </c>
      <c r="M8" s="354">
        <v>0.12552076000000001</v>
      </c>
      <c r="N8" s="354">
        <v>0.16697896499999998</v>
      </c>
    </row>
    <row r="9" spans="1:14" ht="10.5" customHeight="1">
      <c r="A9" s="415" t="s">
        <v>89</v>
      </c>
      <c r="B9" s="432">
        <v>505.95298674999998</v>
      </c>
      <c r="C9" s="432">
        <v>558.68106450499999</v>
      </c>
      <c r="D9" s="416">
        <f t="shared" si="0"/>
        <v>-9.4379568424639348E-2</v>
      </c>
      <c r="E9" s="138"/>
      <c r="F9" s="138"/>
      <c r="G9" s="138"/>
      <c r="H9" s="138"/>
      <c r="I9" s="138"/>
      <c r="J9" s="138"/>
      <c r="L9" s="356" t="s">
        <v>588</v>
      </c>
      <c r="M9" s="354">
        <v>0.26574854249999996</v>
      </c>
      <c r="N9" s="354">
        <v>0.21018762000000002</v>
      </c>
    </row>
    <row r="10" spans="1:14" ht="10.5" customHeight="1">
      <c r="A10" s="413" t="s">
        <v>248</v>
      </c>
      <c r="B10" s="431">
        <v>301.24948215000006</v>
      </c>
      <c r="C10" s="431">
        <v>244.79406206250002</v>
      </c>
      <c r="D10" s="414">
        <f t="shared" si="0"/>
        <v>0.23062414019293498</v>
      </c>
      <c r="E10" s="138"/>
      <c r="F10" s="138"/>
      <c r="G10" s="138"/>
      <c r="H10" s="138"/>
      <c r="I10" s="138"/>
      <c r="J10" s="138"/>
      <c r="K10" s="352"/>
      <c r="L10" s="354" t="s">
        <v>480</v>
      </c>
      <c r="M10" s="354">
        <v>0.52047600000000005</v>
      </c>
      <c r="N10" s="354">
        <v>0.46184775</v>
      </c>
    </row>
    <row r="11" spans="1:14" ht="10.5" customHeight="1">
      <c r="A11" s="415" t="s">
        <v>91</v>
      </c>
      <c r="B11" s="432">
        <v>267.21671420249999</v>
      </c>
      <c r="C11" s="432">
        <v>200.31608477999995</v>
      </c>
      <c r="D11" s="416">
        <f t="shared" si="0"/>
        <v>0.33397532452760648</v>
      </c>
      <c r="E11" s="138"/>
      <c r="F11" s="138"/>
      <c r="G11" s="138"/>
      <c r="H11" s="138"/>
      <c r="I11" s="138"/>
      <c r="J11" s="138"/>
      <c r="K11" s="355"/>
      <c r="L11" s="354" t="s">
        <v>255</v>
      </c>
      <c r="M11" s="354">
        <v>0.77394600000000002</v>
      </c>
      <c r="N11" s="354">
        <v>0</v>
      </c>
    </row>
    <row r="12" spans="1:14" ht="10.5" customHeight="1">
      <c r="A12" s="413" t="s">
        <v>252</v>
      </c>
      <c r="B12" s="431">
        <v>242.79777490750004</v>
      </c>
      <c r="C12" s="431">
        <v>218.02151943000001</v>
      </c>
      <c r="D12" s="414">
        <f t="shared" si="0"/>
        <v>0.11364133018738509</v>
      </c>
      <c r="E12" s="138"/>
      <c r="F12" s="138"/>
      <c r="G12" s="138"/>
      <c r="H12" s="138"/>
      <c r="I12" s="138"/>
      <c r="J12" s="138"/>
      <c r="K12" s="355"/>
      <c r="L12" s="354" t="s">
        <v>106</v>
      </c>
      <c r="M12" s="354">
        <v>1.6689536324999998</v>
      </c>
      <c r="N12" s="354">
        <v>22.457336932499999</v>
      </c>
    </row>
    <row r="13" spans="1:14" ht="10.5" customHeight="1">
      <c r="A13" s="415" t="s">
        <v>250</v>
      </c>
      <c r="B13" s="432">
        <v>178.1123828675</v>
      </c>
      <c r="C13" s="432">
        <v>402.90432225500001</v>
      </c>
      <c r="D13" s="417">
        <f t="shared" si="0"/>
        <v>-0.55792883563365736</v>
      </c>
      <c r="E13" s="138"/>
      <c r="F13" s="138"/>
      <c r="G13" s="138"/>
      <c r="H13" s="138"/>
      <c r="I13" s="138"/>
      <c r="J13" s="138"/>
      <c r="K13" s="355"/>
      <c r="L13" s="356" t="s">
        <v>120</v>
      </c>
      <c r="M13" s="354">
        <v>1.8782589924999997</v>
      </c>
      <c r="N13" s="354">
        <v>13.912232315000001</v>
      </c>
    </row>
    <row r="14" spans="1:14" ht="10.5" customHeight="1">
      <c r="A14" s="413" t="s">
        <v>95</v>
      </c>
      <c r="B14" s="431">
        <v>138.85035004</v>
      </c>
      <c r="C14" s="431">
        <v>55.115172632499998</v>
      </c>
      <c r="D14" s="414">
        <f t="shared" si="0"/>
        <v>1.5192763336846289</v>
      </c>
      <c r="E14" s="138"/>
      <c r="F14" s="138"/>
      <c r="G14" s="138"/>
      <c r="H14" s="138"/>
      <c r="I14" s="138"/>
      <c r="J14" s="138"/>
      <c r="K14" s="355"/>
      <c r="L14" s="356" t="s">
        <v>118</v>
      </c>
      <c r="M14" s="354">
        <v>2.07250172</v>
      </c>
      <c r="N14" s="354">
        <v>1.1143244999999999</v>
      </c>
    </row>
    <row r="15" spans="1:14" ht="10.5" customHeight="1">
      <c r="A15" s="415" t="s">
        <v>93</v>
      </c>
      <c r="B15" s="432">
        <v>121.6965332475</v>
      </c>
      <c r="C15" s="432">
        <v>118.45355536</v>
      </c>
      <c r="D15" s="416">
        <f t="shared" si="0"/>
        <v>2.737763233567847E-2</v>
      </c>
      <c r="E15" s="138"/>
      <c r="F15" s="138"/>
      <c r="G15" s="138"/>
      <c r="H15" s="138"/>
      <c r="I15" s="138"/>
      <c r="J15" s="138"/>
      <c r="K15" s="355"/>
      <c r="L15" s="354" t="s">
        <v>115</v>
      </c>
      <c r="M15" s="354">
        <v>2.1941894350000002</v>
      </c>
      <c r="N15" s="354">
        <v>3.170116315</v>
      </c>
    </row>
    <row r="16" spans="1:14" ht="10.5" customHeight="1">
      <c r="A16" s="413" t="s">
        <v>94</v>
      </c>
      <c r="B16" s="431">
        <v>105.18167897999999</v>
      </c>
      <c r="C16" s="431">
        <v>107.5844780625</v>
      </c>
      <c r="D16" s="414">
        <f t="shared" si="0"/>
        <v>-2.2334068313313082E-2</v>
      </c>
      <c r="E16" s="138"/>
      <c r="F16" s="138"/>
      <c r="G16" s="138"/>
      <c r="H16" s="138"/>
      <c r="I16" s="138"/>
      <c r="J16" s="138" t="s">
        <v>8</v>
      </c>
      <c r="K16" s="355"/>
      <c r="L16" s="354" t="s">
        <v>116</v>
      </c>
      <c r="M16" s="354">
        <v>2.5357750924999998</v>
      </c>
      <c r="N16" s="354">
        <v>2.1105086425000001</v>
      </c>
    </row>
    <row r="17" spans="1:14" ht="10.5" customHeight="1">
      <c r="A17" s="415" t="s">
        <v>99</v>
      </c>
      <c r="B17" s="432">
        <v>92.25296947999999</v>
      </c>
      <c r="C17" s="432">
        <v>91.367606190000004</v>
      </c>
      <c r="D17" s="416">
        <f t="shared" si="0"/>
        <v>9.6901224287180288E-3</v>
      </c>
      <c r="E17" s="138"/>
      <c r="F17" s="138"/>
      <c r="G17" s="138"/>
      <c r="H17" s="138"/>
      <c r="I17" s="138"/>
      <c r="J17" s="138"/>
      <c r="K17" s="355"/>
      <c r="L17" s="354" t="s">
        <v>117</v>
      </c>
      <c r="M17" s="354">
        <v>2.5846999999999998</v>
      </c>
      <c r="N17" s="354">
        <v>2.2429000000000001</v>
      </c>
    </row>
    <row r="18" spans="1:14" ht="10.5" customHeight="1">
      <c r="A18" s="413" t="s">
        <v>101</v>
      </c>
      <c r="B18" s="431">
        <v>85.630024039999995</v>
      </c>
      <c r="C18" s="431">
        <v>192.85535057499999</v>
      </c>
      <c r="D18" s="414">
        <f t="shared" si="0"/>
        <v>-0.55598834160061772</v>
      </c>
      <c r="E18" s="138"/>
      <c r="F18" s="138"/>
      <c r="G18" s="138"/>
      <c r="H18" s="138"/>
      <c r="I18" s="138"/>
      <c r="J18" s="138"/>
      <c r="K18" s="358"/>
      <c r="L18" s="354" t="s">
        <v>113</v>
      </c>
      <c r="M18" s="354">
        <v>3.9413794699999998</v>
      </c>
      <c r="N18" s="354">
        <v>3.9236064750000001</v>
      </c>
    </row>
    <row r="19" spans="1:14" ht="10.5" customHeight="1">
      <c r="A19" s="415" t="s">
        <v>96</v>
      </c>
      <c r="B19" s="432">
        <v>77.696076197499991</v>
      </c>
      <c r="C19" s="432">
        <v>80.178238164999996</v>
      </c>
      <c r="D19" s="416">
        <f t="shared" si="0"/>
        <v>-3.0958050766742073E-2</v>
      </c>
      <c r="E19" s="138"/>
      <c r="F19" s="138"/>
      <c r="G19" s="138"/>
      <c r="H19" s="138"/>
      <c r="I19" s="138"/>
      <c r="J19" s="138"/>
      <c r="K19" s="355"/>
      <c r="L19" s="356" t="s">
        <v>112</v>
      </c>
      <c r="M19" s="354">
        <v>4.0165161999999999</v>
      </c>
      <c r="N19" s="354">
        <v>4.1222224999999995</v>
      </c>
    </row>
    <row r="20" spans="1:14" ht="10.5" customHeight="1">
      <c r="A20" s="413" t="s">
        <v>92</v>
      </c>
      <c r="B20" s="431">
        <v>75.142668944999997</v>
      </c>
      <c r="C20" s="431">
        <v>91.081007044999993</v>
      </c>
      <c r="D20" s="414">
        <f t="shared" si="0"/>
        <v>-0.17499079794018324</v>
      </c>
      <c r="E20" s="138"/>
      <c r="F20" s="138"/>
      <c r="G20" s="138"/>
      <c r="H20" s="138"/>
      <c r="I20" s="138"/>
      <c r="J20" s="138"/>
      <c r="K20" s="355"/>
      <c r="L20" s="354" t="s">
        <v>110</v>
      </c>
      <c r="M20" s="354">
        <v>4.1535138974999999</v>
      </c>
      <c r="N20" s="354">
        <v>4.8622343775000001</v>
      </c>
    </row>
    <row r="21" spans="1:14" ht="10.5" customHeight="1">
      <c r="A21" s="415" t="s">
        <v>518</v>
      </c>
      <c r="B21" s="432">
        <v>66.214095962499997</v>
      </c>
      <c r="C21" s="432">
        <v>63.283625337499998</v>
      </c>
      <c r="D21" s="416">
        <f t="shared" si="0"/>
        <v>4.6306933418738483E-2</v>
      </c>
      <c r="E21" s="138"/>
      <c r="F21" s="138"/>
      <c r="G21" s="138"/>
      <c r="H21" s="138"/>
      <c r="I21" s="138"/>
      <c r="J21" s="138"/>
      <c r="K21" s="355"/>
      <c r="L21" s="356" t="s">
        <v>478</v>
      </c>
      <c r="M21" s="354">
        <v>4.6526380500000002</v>
      </c>
      <c r="N21" s="354">
        <v>5.7141024250000001</v>
      </c>
    </row>
    <row r="22" spans="1:14" ht="10.5" customHeight="1">
      <c r="A22" s="413" t="s">
        <v>97</v>
      </c>
      <c r="B22" s="431">
        <v>52.930491487499999</v>
      </c>
      <c r="C22" s="431">
        <v>62.424170189999998</v>
      </c>
      <c r="D22" s="414">
        <f t="shared" si="0"/>
        <v>-0.15208337849913189</v>
      </c>
      <c r="E22" s="138"/>
      <c r="F22" s="138"/>
      <c r="G22" s="138"/>
      <c r="H22" s="138"/>
      <c r="I22" s="138"/>
      <c r="J22" s="138"/>
      <c r="K22" s="358"/>
      <c r="L22" s="354" t="s">
        <v>111</v>
      </c>
      <c r="M22" s="354">
        <v>4.7135483574999997</v>
      </c>
      <c r="N22" s="354">
        <v>4.4765246249999997</v>
      </c>
    </row>
    <row r="23" spans="1:14" ht="10.5" customHeight="1">
      <c r="A23" s="415" t="s">
        <v>596</v>
      </c>
      <c r="B23" s="432">
        <v>48.599374392499996</v>
      </c>
      <c r="C23" s="432">
        <v>37.844889817500004</v>
      </c>
      <c r="D23" s="416">
        <f t="shared" si="0"/>
        <v>0.28417270143634998</v>
      </c>
      <c r="E23" s="138"/>
      <c r="F23" s="138"/>
      <c r="G23" s="138"/>
      <c r="H23" s="138"/>
      <c r="I23" s="138"/>
      <c r="J23" s="138"/>
      <c r="K23" s="355"/>
      <c r="L23" s="356" t="s">
        <v>108</v>
      </c>
      <c r="M23" s="354">
        <v>5.1118561224999999</v>
      </c>
      <c r="N23" s="354">
        <v>4.9303045824999998</v>
      </c>
    </row>
    <row r="24" spans="1:14" ht="10.5" customHeight="1">
      <c r="A24" s="413" t="s">
        <v>109</v>
      </c>
      <c r="B24" s="431">
        <v>48.403523605000004</v>
      </c>
      <c r="C24" s="431">
        <v>24.139455917500001</v>
      </c>
      <c r="D24" s="414">
        <f t="shared" si="0"/>
        <v>1.0051621615013149</v>
      </c>
      <c r="E24" s="138"/>
      <c r="F24" s="138"/>
      <c r="G24" s="138"/>
      <c r="H24" s="138"/>
      <c r="I24" s="138"/>
      <c r="J24" s="138"/>
      <c r="K24" s="355"/>
      <c r="L24" s="356" t="s">
        <v>519</v>
      </c>
      <c r="M24" s="354">
        <v>5.2535959999999999</v>
      </c>
      <c r="N24" s="354"/>
    </row>
    <row r="25" spans="1:14" ht="10.5" customHeight="1">
      <c r="A25" s="415" t="s">
        <v>98</v>
      </c>
      <c r="B25" s="432">
        <v>40.618465779999994</v>
      </c>
      <c r="C25" s="432">
        <v>37.522926945000002</v>
      </c>
      <c r="D25" s="416">
        <f t="shared" si="0"/>
        <v>8.2497264660012837E-2</v>
      </c>
      <c r="E25" s="138"/>
      <c r="F25" s="138"/>
      <c r="G25" s="138"/>
      <c r="H25" s="138"/>
      <c r="I25" s="138"/>
      <c r="J25" s="138"/>
      <c r="K25" s="355"/>
      <c r="L25" s="356" t="s">
        <v>635</v>
      </c>
      <c r="M25" s="354">
        <v>5.3929140575000005</v>
      </c>
      <c r="N25" s="354"/>
    </row>
    <row r="26" spans="1:14" ht="10.5" customHeight="1">
      <c r="A26" s="413" t="s">
        <v>100</v>
      </c>
      <c r="B26" s="431">
        <v>31.962913342499998</v>
      </c>
      <c r="C26" s="431">
        <v>41.461794512499999</v>
      </c>
      <c r="D26" s="414">
        <f t="shared" si="0"/>
        <v>-0.22909961524063449</v>
      </c>
      <c r="E26" s="138"/>
      <c r="F26" s="138"/>
      <c r="G26" s="138"/>
      <c r="H26" s="138"/>
      <c r="I26" s="138"/>
      <c r="J26" s="138"/>
      <c r="K26" s="355"/>
      <c r="L26" s="354" t="s">
        <v>493</v>
      </c>
      <c r="M26" s="354">
        <v>8.7329810025000008</v>
      </c>
      <c r="N26" s="354">
        <v>6.5083375000000001E-3</v>
      </c>
    </row>
    <row r="27" spans="1:14" ht="10.5" customHeight="1">
      <c r="A27" s="415" t="s">
        <v>249</v>
      </c>
      <c r="B27" s="432">
        <v>31.009253637500002</v>
      </c>
      <c r="C27" s="432">
        <v>32.575901772500004</v>
      </c>
      <c r="D27" s="416">
        <f t="shared" si="0"/>
        <v>-4.8092241496213606E-2</v>
      </c>
      <c r="E27" s="138"/>
      <c r="F27" s="138"/>
      <c r="G27" s="138"/>
      <c r="H27" s="138"/>
      <c r="I27" s="138"/>
      <c r="J27" s="138"/>
      <c r="K27" s="355"/>
      <c r="L27" s="356" t="s">
        <v>107</v>
      </c>
      <c r="M27" s="354">
        <v>9.2241424849999998</v>
      </c>
      <c r="N27" s="354">
        <v>6.6600184075</v>
      </c>
    </row>
    <row r="28" spans="1:14" ht="10.5" customHeight="1">
      <c r="A28" s="418" t="s">
        <v>103</v>
      </c>
      <c r="B28" s="431">
        <v>19.284171414999999</v>
      </c>
      <c r="C28" s="431">
        <v>20.59479254</v>
      </c>
      <c r="D28" s="414">
        <f t="shared" si="0"/>
        <v>-6.363847183478355E-2</v>
      </c>
      <c r="E28" s="138"/>
      <c r="F28" s="138"/>
      <c r="G28" s="138"/>
      <c r="H28" s="138"/>
      <c r="I28" s="138"/>
      <c r="J28" s="138"/>
      <c r="K28" s="355"/>
      <c r="L28" s="356" t="s">
        <v>488</v>
      </c>
      <c r="M28" s="354">
        <v>9.5464097149999994</v>
      </c>
      <c r="N28" s="354">
        <v>7.9597405324999997</v>
      </c>
    </row>
    <row r="29" spans="1:14" ht="10.5" customHeight="1">
      <c r="A29" s="419" t="s">
        <v>114</v>
      </c>
      <c r="B29" s="432">
        <v>16.625170284999999</v>
      </c>
      <c r="C29" s="432">
        <v>1.8235989300000002</v>
      </c>
      <c r="D29" s="416">
        <f t="shared" si="0"/>
        <v>8.1166813116083585</v>
      </c>
      <c r="E29" s="138"/>
      <c r="F29" s="138"/>
      <c r="G29" s="138"/>
      <c r="H29" s="138"/>
      <c r="I29" s="138"/>
      <c r="J29" s="138"/>
      <c r="K29" s="355"/>
      <c r="L29" s="356" t="s">
        <v>102</v>
      </c>
      <c r="M29" s="354">
        <v>10.534180735000001</v>
      </c>
      <c r="N29" s="354">
        <v>23.048733524999999</v>
      </c>
    </row>
    <row r="30" spans="1:14" ht="10.5" customHeight="1">
      <c r="A30" s="420" t="s">
        <v>104</v>
      </c>
      <c r="B30" s="431">
        <v>14.408089797500001</v>
      </c>
      <c r="C30" s="431">
        <v>12.295861</v>
      </c>
      <c r="D30" s="414">
        <f t="shared" si="0"/>
        <v>0.17178372441750933</v>
      </c>
      <c r="E30" s="138"/>
      <c r="F30" s="138"/>
      <c r="G30" s="138"/>
      <c r="H30" s="138"/>
      <c r="I30" s="138"/>
      <c r="J30" s="138"/>
      <c r="K30" s="355"/>
      <c r="L30" s="354" t="s">
        <v>253</v>
      </c>
      <c r="M30" s="354">
        <v>10.58693339</v>
      </c>
      <c r="N30" s="354">
        <v>12.915685219999999</v>
      </c>
    </row>
    <row r="31" spans="1:14" ht="10.5" customHeight="1">
      <c r="A31" s="419" t="s">
        <v>462</v>
      </c>
      <c r="B31" s="432">
        <v>14.3635200525</v>
      </c>
      <c r="C31" s="432">
        <v>14.796658617499999</v>
      </c>
      <c r="D31" s="416">
        <f t="shared" si="0"/>
        <v>-2.9272728133885928E-2</v>
      </c>
      <c r="E31" s="138"/>
      <c r="F31" s="138"/>
      <c r="G31" s="138"/>
      <c r="H31" s="138"/>
      <c r="I31" s="138"/>
      <c r="J31" s="138"/>
      <c r="K31" s="355"/>
      <c r="L31" s="354" t="s">
        <v>637</v>
      </c>
      <c r="M31" s="354">
        <v>12.606602309999998</v>
      </c>
      <c r="N31" s="354"/>
    </row>
    <row r="32" spans="1:14" ht="10.5" customHeight="1">
      <c r="A32" s="420" t="s">
        <v>554</v>
      </c>
      <c r="B32" s="431">
        <v>14.270872125</v>
      </c>
      <c r="C32" s="431"/>
      <c r="D32" s="414" t="str">
        <f t="shared" si="0"/>
        <v/>
      </c>
      <c r="E32" s="138"/>
      <c r="F32" s="138"/>
      <c r="G32" s="138"/>
      <c r="H32" s="138"/>
      <c r="I32" s="138"/>
      <c r="J32" s="138"/>
      <c r="K32" s="355"/>
      <c r="L32" s="354" t="s">
        <v>500</v>
      </c>
      <c r="M32" s="354">
        <v>12.762740635</v>
      </c>
      <c r="N32" s="354">
        <v>13.903565712500001</v>
      </c>
    </row>
    <row r="33" spans="1:14">
      <c r="A33" s="770" t="s">
        <v>121</v>
      </c>
      <c r="B33" s="432">
        <v>14.043767729999999</v>
      </c>
      <c r="C33" s="432">
        <v>11.337685907499999</v>
      </c>
      <c r="D33" s="416">
        <f t="shared" si="0"/>
        <v>0.23868026020282485</v>
      </c>
      <c r="E33" s="138"/>
      <c r="F33" s="138"/>
      <c r="G33" s="138"/>
      <c r="H33" s="138"/>
      <c r="I33" s="138"/>
      <c r="J33" s="138"/>
      <c r="K33" s="355"/>
      <c r="L33" s="356" t="s">
        <v>105</v>
      </c>
      <c r="M33" s="354">
        <v>13.1368051575</v>
      </c>
      <c r="N33" s="354">
        <v>9.8516598250000005</v>
      </c>
    </row>
    <row r="34" spans="1:14" ht="21" customHeight="1">
      <c r="A34" s="580" t="s">
        <v>251</v>
      </c>
      <c r="B34" s="431">
        <v>13.620981220000001</v>
      </c>
      <c r="C34" s="431">
        <v>12.416066305000001</v>
      </c>
      <c r="D34" s="414">
        <f t="shared" si="0"/>
        <v>9.7044819623327561E-2</v>
      </c>
      <c r="E34" s="138"/>
      <c r="F34" s="138"/>
      <c r="G34" s="138"/>
      <c r="H34" s="138"/>
      <c r="I34" s="138"/>
      <c r="J34" s="138"/>
      <c r="K34" s="359"/>
      <c r="L34" s="356" t="s">
        <v>251</v>
      </c>
      <c r="M34" s="354">
        <v>13.620981220000001</v>
      </c>
      <c r="N34" s="354">
        <v>12.416066305000001</v>
      </c>
    </row>
    <row r="35" spans="1:14">
      <c r="A35" s="770" t="s">
        <v>105</v>
      </c>
      <c r="B35" s="432">
        <v>13.1368051575</v>
      </c>
      <c r="C35" s="432">
        <v>9.8516598250000005</v>
      </c>
      <c r="D35" s="416">
        <f t="shared" si="0"/>
        <v>0.33346110105867344</v>
      </c>
      <c r="E35" s="138"/>
      <c r="F35" s="138"/>
      <c r="G35" s="138"/>
      <c r="H35" s="138"/>
      <c r="I35" s="138"/>
      <c r="J35" s="138"/>
      <c r="K35" s="359"/>
      <c r="L35" s="356" t="s">
        <v>121</v>
      </c>
      <c r="M35" s="354">
        <v>14.043767729999999</v>
      </c>
      <c r="N35" s="354">
        <v>11.337685907499999</v>
      </c>
    </row>
    <row r="36" spans="1:14" ht="11.25" customHeight="1">
      <c r="A36" s="580" t="s">
        <v>500</v>
      </c>
      <c r="B36" s="431">
        <v>12.762740635</v>
      </c>
      <c r="C36" s="431">
        <v>13.903565712500001</v>
      </c>
      <c r="D36" s="414">
        <f t="shared" si="0"/>
        <v>-8.2052697925852347E-2</v>
      </c>
      <c r="E36" s="138"/>
      <c r="F36" s="138"/>
      <c r="G36" s="138"/>
      <c r="H36" s="138"/>
      <c r="I36" s="138"/>
      <c r="J36" s="138"/>
      <c r="K36" s="358"/>
      <c r="L36" s="356" t="s">
        <v>554</v>
      </c>
      <c r="M36" s="354">
        <v>14.270872125</v>
      </c>
      <c r="N36" s="354"/>
    </row>
    <row r="37" spans="1:14" ht="10.5" customHeight="1">
      <c r="A37" s="419" t="s">
        <v>637</v>
      </c>
      <c r="B37" s="432">
        <v>12.606602309999998</v>
      </c>
      <c r="C37" s="432"/>
      <c r="D37" s="416" t="str">
        <f t="shared" si="0"/>
        <v/>
      </c>
      <c r="E37" s="138"/>
      <c r="F37" s="138"/>
      <c r="G37" s="138"/>
      <c r="H37" s="138"/>
      <c r="I37" s="138"/>
      <c r="J37" s="138"/>
      <c r="K37" s="358"/>
      <c r="L37" s="354" t="s">
        <v>462</v>
      </c>
      <c r="M37" s="354">
        <v>14.3635200525</v>
      </c>
      <c r="N37" s="354">
        <v>14.796658617499999</v>
      </c>
    </row>
    <row r="38" spans="1:14" ht="10.5" customHeight="1">
      <c r="A38" s="580" t="s">
        <v>253</v>
      </c>
      <c r="B38" s="431">
        <v>10.58693339</v>
      </c>
      <c r="C38" s="431">
        <v>12.915685219999999</v>
      </c>
      <c r="D38" s="414">
        <f t="shared" si="0"/>
        <v>-0.18030416430356444</v>
      </c>
      <c r="E38" s="138"/>
      <c r="F38" s="138"/>
      <c r="G38" s="138"/>
      <c r="H38" s="138"/>
      <c r="I38" s="138"/>
      <c r="J38" s="138"/>
      <c r="K38" s="358"/>
      <c r="L38" s="356" t="s">
        <v>104</v>
      </c>
      <c r="M38" s="354">
        <v>14.408089797500001</v>
      </c>
      <c r="N38" s="354">
        <v>12.295861</v>
      </c>
    </row>
    <row r="39" spans="1:14" ht="10.5" customHeight="1">
      <c r="A39" s="770" t="s">
        <v>102</v>
      </c>
      <c r="B39" s="432">
        <v>10.534180735000001</v>
      </c>
      <c r="C39" s="432">
        <v>23.048733524999999</v>
      </c>
      <c r="D39" s="416">
        <f t="shared" si="0"/>
        <v>-0.54296053952057655</v>
      </c>
      <c r="E39" s="138"/>
      <c r="F39" s="138"/>
      <c r="G39" s="138"/>
      <c r="H39" s="138"/>
      <c r="I39" s="138"/>
      <c r="J39" s="138"/>
      <c r="K39" s="359"/>
      <c r="L39" s="354" t="s">
        <v>114</v>
      </c>
      <c r="M39" s="354">
        <v>16.625170284999999</v>
      </c>
      <c r="N39" s="354">
        <v>1.8235989300000002</v>
      </c>
    </row>
    <row r="40" spans="1:14" ht="10.5" customHeight="1">
      <c r="A40" s="580" t="s">
        <v>488</v>
      </c>
      <c r="B40" s="431">
        <v>9.5464097149999994</v>
      </c>
      <c r="C40" s="431">
        <v>7.9597405324999997</v>
      </c>
      <c r="D40" s="414">
        <f t="shared" si="0"/>
        <v>0.19933679697492068</v>
      </c>
      <c r="E40" s="138"/>
      <c r="F40" s="138"/>
      <c r="G40" s="138"/>
      <c r="H40" s="138"/>
      <c r="I40" s="138"/>
      <c r="J40" s="138"/>
      <c r="K40" s="359"/>
      <c r="L40" s="356" t="s">
        <v>103</v>
      </c>
      <c r="M40" s="354">
        <v>19.284171414999999</v>
      </c>
      <c r="N40" s="354">
        <v>20.59479254</v>
      </c>
    </row>
    <row r="41" spans="1:14" ht="10.5" customHeight="1">
      <c r="A41" s="419" t="s">
        <v>107</v>
      </c>
      <c r="B41" s="432">
        <v>9.2241424849999998</v>
      </c>
      <c r="C41" s="432">
        <v>6.6600184075</v>
      </c>
      <c r="D41" s="416">
        <f t="shared" si="0"/>
        <v>0.38500255113596693</v>
      </c>
      <c r="E41" s="138"/>
      <c r="F41" s="138"/>
      <c r="G41" s="138"/>
      <c r="H41" s="138"/>
      <c r="I41" s="138"/>
      <c r="J41" s="138"/>
      <c r="K41" s="359"/>
      <c r="L41" s="354" t="s">
        <v>249</v>
      </c>
      <c r="M41" s="354">
        <v>31.009253637500002</v>
      </c>
      <c r="N41" s="354">
        <v>32.575901772500004</v>
      </c>
    </row>
    <row r="42" spans="1:14" ht="10.5" customHeight="1">
      <c r="A42" s="420" t="s">
        <v>493</v>
      </c>
      <c r="B42" s="431">
        <v>8.7329810025000008</v>
      </c>
      <c r="C42" s="431">
        <v>6.5083375000000001E-3</v>
      </c>
      <c r="D42" s="414">
        <f t="shared" si="0"/>
        <v>1340.8144038320079</v>
      </c>
      <c r="E42" s="138"/>
      <c r="F42" s="138"/>
      <c r="G42" s="138"/>
      <c r="H42" s="138"/>
      <c r="I42" s="138"/>
      <c r="J42" s="138"/>
      <c r="L42" s="356" t="s">
        <v>100</v>
      </c>
      <c r="M42" s="354">
        <v>31.962913342499998</v>
      </c>
      <c r="N42" s="354">
        <v>41.461794512499999</v>
      </c>
    </row>
    <row r="43" spans="1:14" ht="10.5" customHeight="1">
      <c r="A43" s="419" t="s">
        <v>635</v>
      </c>
      <c r="B43" s="432">
        <v>5.3929140575000005</v>
      </c>
      <c r="C43" s="432"/>
      <c r="D43" s="416" t="str">
        <f t="shared" si="0"/>
        <v/>
      </c>
      <c r="E43" s="138"/>
      <c r="F43" s="138"/>
      <c r="G43" s="138"/>
      <c r="H43" s="138"/>
      <c r="I43" s="138"/>
      <c r="J43" s="138"/>
      <c r="L43" s="356" t="s">
        <v>98</v>
      </c>
      <c r="M43" s="354">
        <v>40.618465779999994</v>
      </c>
      <c r="N43" s="354">
        <v>37.522926945000002</v>
      </c>
    </row>
    <row r="44" spans="1:14" ht="10.5" customHeight="1">
      <c r="A44" s="420" t="s">
        <v>519</v>
      </c>
      <c r="B44" s="431">
        <v>5.2535959999999999</v>
      </c>
      <c r="C44" s="431"/>
      <c r="D44" s="414" t="str">
        <f t="shared" si="0"/>
        <v/>
      </c>
      <c r="E44" s="138"/>
      <c r="F44" s="138"/>
      <c r="G44" s="138"/>
      <c r="H44" s="138"/>
      <c r="I44" s="138"/>
      <c r="J44" s="138"/>
      <c r="L44" s="357" t="s">
        <v>109</v>
      </c>
      <c r="M44" s="354">
        <v>48.403523605000004</v>
      </c>
      <c r="N44" s="354">
        <v>24.139455917500001</v>
      </c>
    </row>
    <row r="45" spans="1:14" ht="10.5" customHeight="1">
      <c r="A45" s="419" t="s">
        <v>108</v>
      </c>
      <c r="B45" s="432">
        <v>5.1118561224999999</v>
      </c>
      <c r="C45" s="432">
        <v>4.9303045824999998</v>
      </c>
      <c r="D45" s="416">
        <f t="shared" si="0"/>
        <v>3.6823595167814416E-2</v>
      </c>
      <c r="E45" s="138"/>
      <c r="F45" s="138"/>
      <c r="G45" s="138"/>
      <c r="H45" s="138"/>
      <c r="I45" s="138"/>
      <c r="J45" s="138"/>
      <c r="L45" s="356" t="s">
        <v>596</v>
      </c>
      <c r="M45" s="354">
        <v>48.599374392499996</v>
      </c>
      <c r="N45" s="354">
        <v>37.844889817500004</v>
      </c>
    </row>
    <row r="46" spans="1:14" ht="10.5" customHeight="1">
      <c r="A46" s="420" t="s">
        <v>111</v>
      </c>
      <c r="B46" s="431">
        <v>4.7135483574999997</v>
      </c>
      <c r="C46" s="431">
        <v>4.4765246249999997</v>
      </c>
      <c r="D46" s="414">
        <f t="shared" si="0"/>
        <v>5.2948157858061506E-2</v>
      </c>
      <c r="E46" s="138"/>
      <c r="F46" s="138"/>
      <c r="G46" s="138"/>
      <c r="H46" s="138"/>
      <c r="I46" s="138"/>
      <c r="J46" s="138"/>
      <c r="L46" s="356" t="s">
        <v>97</v>
      </c>
      <c r="M46" s="354">
        <v>52.930491487499999</v>
      </c>
      <c r="N46" s="354">
        <v>62.424170189999998</v>
      </c>
    </row>
    <row r="47" spans="1:14" ht="10.5" customHeight="1">
      <c r="A47" s="419" t="s">
        <v>478</v>
      </c>
      <c r="B47" s="432">
        <v>4.6526380500000002</v>
      </c>
      <c r="C47" s="432">
        <v>5.7141024250000001</v>
      </c>
      <c r="D47" s="416">
        <f t="shared" si="0"/>
        <v>-0.18576222406443821</v>
      </c>
      <c r="E47" s="138"/>
      <c r="F47" s="138"/>
      <c r="G47" s="138"/>
      <c r="H47" s="138"/>
      <c r="I47" s="138"/>
      <c r="J47" s="138"/>
      <c r="L47" s="356" t="s">
        <v>518</v>
      </c>
      <c r="M47" s="354">
        <v>66.214095962499997</v>
      </c>
      <c r="N47" s="354">
        <v>63.283625337499998</v>
      </c>
    </row>
    <row r="48" spans="1:14" ht="10.5" customHeight="1">
      <c r="A48" s="420" t="s">
        <v>110</v>
      </c>
      <c r="B48" s="431">
        <v>4.1535138974999999</v>
      </c>
      <c r="C48" s="431">
        <v>4.8622343775000001</v>
      </c>
      <c r="D48" s="414">
        <f t="shared" si="0"/>
        <v>-0.14576024621100248</v>
      </c>
      <c r="E48" s="138"/>
      <c r="F48" s="138"/>
      <c r="G48" s="138"/>
      <c r="H48" s="138"/>
      <c r="I48" s="138"/>
      <c r="J48" s="138"/>
      <c r="L48" s="354" t="s">
        <v>92</v>
      </c>
      <c r="M48" s="354">
        <v>75.142668944999997</v>
      </c>
      <c r="N48" s="354">
        <v>91.081007044999993</v>
      </c>
    </row>
    <row r="49" spans="1:14" ht="10.5" customHeight="1">
      <c r="A49" s="419" t="s">
        <v>112</v>
      </c>
      <c r="B49" s="432">
        <v>4.0165161999999999</v>
      </c>
      <c r="C49" s="432">
        <v>4.1222224999999995</v>
      </c>
      <c r="D49" s="416">
        <f t="shared" si="0"/>
        <v>-2.5643036007881537E-2</v>
      </c>
      <c r="E49" s="138"/>
      <c r="F49" s="138"/>
      <c r="G49" s="138"/>
      <c r="H49" s="138"/>
      <c r="I49" s="138"/>
      <c r="J49" s="138"/>
      <c r="L49" s="353" t="s">
        <v>96</v>
      </c>
      <c r="M49" s="354">
        <v>77.696076197499991</v>
      </c>
      <c r="N49" s="354">
        <v>80.178238164999996</v>
      </c>
    </row>
    <row r="50" spans="1:14" ht="10.5" customHeight="1">
      <c r="A50" s="420" t="s">
        <v>113</v>
      </c>
      <c r="B50" s="431">
        <v>3.9413794699999998</v>
      </c>
      <c r="C50" s="431">
        <v>3.9236064750000001</v>
      </c>
      <c r="D50" s="414">
        <f t="shared" si="0"/>
        <v>4.529759830208091E-3</v>
      </c>
      <c r="E50" s="138"/>
      <c r="F50" s="138"/>
      <c r="G50" s="138"/>
      <c r="H50" s="138"/>
      <c r="I50" s="138"/>
      <c r="J50" s="138"/>
      <c r="L50" s="356" t="s">
        <v>101</v>
      </c>
      <c r="M50" s="354">
        <v>85.630024039999995</v>
      </c>
      <c r="N50" s="354">
        <v>192.85535057499999</v>
      </c>
    </row>
    <row r="51" spans="1:14" ht="10.5" customHeight="1">
      <c r="A51" s="419" t="s">
        <v>117</v>
      </c>
      <c r="B51" s="432">
        <v>2.5846999999999998</v>
      </c>
      <c r="C51" s="432">
        <v>2.2429000000000001</v>
      </c>
      <c r="D51" s="416">
        <f t="shared" si="0"/>
        <v>0.15239199250969704</v>
      </c>
      <c r="E51" s="138"/>
      <c r="F51" s="138"/>
      <c r="G51" s="138"/>
      <c r="H51" s="138"/>
      <c r="I51" s="138"/>
      <c r="J51" s="138"/>
      <c r="L51" s="356" t="s">
        <v>99</v>
      </c>
      <c r="M51" s="354">
        <v>92.25296947999999</v>
      </c>
      <c r="N51" s="354">
        <v>91.367606190000004</v>
      </c>
    </row>
    <row r="52" spans="1:14" ht="10.5" customHeight="1">
      <c r="A52" s="420" t="s">
        <v>116</v>
      </c>
      <c r="B52" s="431">
        <v>2.5357750924999998</v>
      </c>
      <c r="C52" s="431">
        <v>2.1105086425000001</v>
      </c>
      <c r="D52" s="414">
        <f t="shared" si="0"/>
        <v>0.20149950653424042</v>
      </c>
      <c r="E52" s="138"/>
      <c r="F52" s="138"/>
      <c r="G52" s="138"/>
      <c r="H52" s="138"/>
      <c r="I52" s="138"/>
      <c r="J52" s="138"/>
      <c r="L52" s="356" t="s">
        <v>94</v>
      </c>
      <c r="M52" s="354">
        <v>105.18167897999999</v>
      </c>
      <c r="N52" s="354">
        <v>107.5844780625</v>
      </c>
    </row>
    <row r="53" spans="1:14" ht="10.5" customHeight="1">
      <c r="A53" s="419" t="s">
        <v>115</v>
      </c>
      <c r="B53" s="432">
        <v>2.1941894350000002</v>
      </c>
      <c r="C53" s="432">
        <v>3.170116315</v>
      </c>
      <c r="D53" s="416">
        <f t="shared" si="0"/>
        <v>-0.30785207324482666</v>
      </c>
      <c r="E53" s="138"/>
      <c r="F53" s="138"/>
      <c r="G53" s="138"/>
      <c r="H53" s="138"/>
      <c r="I53" s="138"/>
      <c r="J53" s="138"/>
      <c r="L53" s="356" t="s">
        <v>93</v>
      </c>
      <c r="M53" s="354">
        <v>121.6965332475</v>
      </c>
      <c r="N53" s="354">
        <v>118.45355536</v>
      </c>
    </row>
    <row r="54" spans="1:14" ht="10.5" customHeight="1">
      <c r="A54" s="420" t="s">
        <v>118</v>
      </c>
      <c r="B54" s="431">
        <v>2.07250172</v>
      </c>
      <c r="C54" s="431">
        <v>1.1143244999999999</v>
      </c>
      <c r="D54" s="414">
        <f t="shared" si="0"/>
        <v>0.85987270314885844</v>
      </c>
      <c r="E54" s="138"/>
      <c r="F54" s="138"/>
      <c r="G54" s="138"/>
      <c r="H54" s="138"/>
      <c r="I54" s="138"/>
      <c r="J54" s="138"/>
      <c r="L54" s="356" t="s">
        <v>95</v>
      </c>
      <c r="M54" s="354">
        <v>138.85035004</v>
      </c>
      <c r="N54" s="354">
        <v>55.115172632499998</v>
      </c>
    </row>
    <row r="55" spans="1:14" ht="10.5" customHeight="1">
      <c r="A55" s="419" t="s">
        <v>120</v>
      </c>
      <c r="B55" s="432">
        <v>1.8782589924999997</v>
      </c>
      <c r="C55" s="432">
        <v>13.912232315000001</v>
      </c>
      <c r="D55" s="416">
        <f t="shared" si="0"/>
        <v>-0.8649922636444991</v>
      </c>
      <c r="E55" s="138"/>
      <c r="F55" s="138"/>
      <c r="G55" s="138"/>
      <c r="H55" s="138"/>
      <c r="I55" s="138"/>
      <c r="J55" s="138"/>
      <c r="L55" s="356" t="s">
        <v>250</v>
      </c>
      <c r="M55" s="354">
        <v>178.1123828675</v>
      </c>
      <c r="N55" s="354">
        <v>402.90432225500001</v>
      </c>
    </row>
    <row r="56" spans="1:14" ht="10.5" customHeight="1">
      <c r="A56" s="580" t="s">
        <v>106</v>
      </c>
      <c r="B56" s="431">
        <v>1.6689536324999998</v>
      </c>
      <c r="C56" s="431">
        <v>22.457336932499999</v>
      </c>
      <c r="D56" s="414">
        <f t="shared" si="0"/>
        <v>-0.92568336853490807</v>
      </c>
      <c r="E56" s="138"/>
      <c r="F56" s="138"/>
      <c r="G56" s="138"/>
      <c r="H56" s="138"/>
      <c r="I56" s="138"/>
      <c r="J56" s="138"/>
      <c r="L56" s="354" t="s">
        <v>252</v>
      </c>
      <c r="M56" s="354">
        <v>242.79777490750004</v>
      </c>
      <c r="N56" s="354">
        <v>218.02151943000001</v>
      </c>
    </row>
    <row r="57" spans="1:14" ht="10.5" customHeight="1">
      <c r="A57" s="419" t="s">
        <v>255</v>
      </c>
      <c r="B57" s="432">
        <v>0.77394600000000002</v>
      </c>
      <c r="C57" s="432">
        <v>0</v>
      </c>
      <c r="D57" s="416" t="str">
        <f t="shared" si="0"/>
        <v/>
      </c>
      <c r="E57" s="138"/>
      <c r="F57" s="138"/>
      <c r="G57" s="138"/>
      <c r="H57" s="138"/>
      <c r="I57" s="138"/>
      <c r="J57" s="138"/>
      <c r="L57" s="356" t="s">
        <v>91</v>
      </c>
      <c r="M57" s="354">
        <v>267.21671420249999</v>
      </c>
      <c r="N57" s="354">
        <v>200.31608477999995</v>
      </c>
    </row>
    <row r="58" spans="1:14" ht="10.5" customHeight="1">
      <c r="A58" s="420" t="s">
        <v>480</v>
      </c>
      <c r="B58" s="431">
        <v>0.52047600000000005</v>
      </c>
      <c r="C58" s="431">
        <v>0.46184775</v>
      </c>
      <c r="D58" s="414">
        <f t="shared" si="0"/>
        <v>0.12694280745115694</v>
      </c>
      <c r="E58" s="138"/>
      <c r="F58" s="138"/>
      <c r="G58" s="138"/>
      <c r="H58" s="138"/>
      <c r="I58" s="138"/>
      <c r="J58" s="138"/>
      <c r="L58" s="356" t="s">
        <v>248</v>
      </c>
      <c r="M58" s="354">
        <v>301.24948215000006</v>
      </c>
      <c r="N58" s="354">
        <v>244.79406206250002</v>
      </c>
    </row>
    <row r="59" spans="1:14" ht="10.5" customHeight="1">
      <c r="A59" s="419" t="s">
        <v>588</v>
      </c>
      <c r="B59" s="432">
        <v>0.26574854249999996</v>
      </c>
      <c r="C59" s="432">
        <v>0.21018762000000002</v>
      </c>
      <c r="D59" s="416">
        <f t="shared" si="0"/>
        <v>0.26433965283017113</v>
      </c>
      <c r="E59" s="138"/>
      <c r="F59" s="138"/>
      <c r="G59" s="138"/>
      <c r="H59" s="138"/>
      <c r="I59" s="138"/>
      <c r="J59" s="138"/>
      <c r="L59" s="354" t="s">
        <v>89</v>
      </c>
      <c r="M59" s="354">
        <v>505.95298674999998</v>
      </c>
      <c r="N59" s="354">
        <v>558.68106450499999</v>
      </c>
    </row>
    <row r="60" spans="1:14" ht="10.5" customHeight="1">
      <c r="A60" s="420" t="s">
        <v>119</v>
      </c>
      <c r="B60" s="433">
        <v>0.12552076000000001</v>
      </c>
      <c r="C60" s="433">
        <v>0.16697896499999998</v>
      </c>
      <c r="D60" s="421">
        <f t="shared" si="0"/>
        <v>-0.2482839979275232</v>
      </c>
      <c r="E60" s="138"/>
      <c r="F60" s="138"/>
      <c r="G60" s="138"/>
      <c r="H60" s="138"/>
      <c r="I60" s="138"/>
      <c r="J60" s="138"/>
      <c r="L60" s="356" t="s">
        <v>88</v>
      </c>
      <c r="M60" s="354">
        <v>583.41048334499999</v>
      </c>
      <c r="N60" s="354">
        <v>621.24845739999989</v>
      </c>
    </row>
    <row r="61" spans="1:14" ht="10.5" customHeight="1">
      <c r="A61" s="422" t="s">
        <v>254</v>
      </c>
      <c r="B61" s="432">
        <v>2.5137325E-3</v>
      </c>
      <c r="C61" s="432">
        <v>1.7262139999999999E-2</v>
      </c>
      <c r="D61" s="416">
        <f t="shared" si="0"/>
        <v>-0.8543788603267034</v>
      </c>
      <c r="E61" s="138"/>
      <c r="F61" s="138"/>
      <c r="G61" s="138"/>
      <c r="H61" s="138"/>
      <c r="I61" s="138"/>
      <c r="J61" s="138"/>
      <c r="L61" s="356" t="s">
        <v>477</v>
      </c>
      <c r="M61" s="354">
        <v>618.27599136250001</v>
      </c>
      <c r="N61" s="354">
        <v>432.10283817750002</v>
      </c>
    </row>
    <row r="62" spans="1:14" s="797" customFormat="1" ht="10.5" customHeight="1">
      <c r="A62" s="420" t="s">
        <v>122</v>
      </c>
      <c r="B62" s="433">
        <v>0</v>
      </c>
      <c r="C62" s="433">
        <v>4.2346610950000008</v>
      </c>
      <c r="D62" s="421">
        <f t="shared" si="0"/>
        <v>-1</v>
      </c>
      <c r="E62" s="138"/>
      <c r="F62" s="138"/>
      <c r="G62" s="138"/>
      <c r="H62" s="138"/>
      <c r="I62" s="138"/>
      <c r="J62" s="138"/>
      <c r="L62" s="356" t="s">
        <v>90</v>
      </c>
      <c r="M62" s="354">
        <v>632.41309679999995</v>
      </c>
      <c r="N62" s="354">
        <v>556.38976895999997</v>
      </c>
    </row>
    <row r="63" spans="1:14" s="797" customFormat="1" ht="10.5" customHeight="1">
      <c r="A63" s="422" t="s">
        <v>247</v>
      </c>
      <c r="B63" s="432">
        <v>0</v>
      </c>
      <c r="C63" s="432">
        <v>0</v>
      </c>
      <c r="D63" s="421" t="str">
        <f t="shared" si="0"/>
        <v/>
      </c>
      <c r="E63" s="138"/>
      <c r="F63" s="138"/>
      <c r="G63" s="138"/>
      <c r="H63" s="138"/>
      <c r="I63" s="138"/>
      <c r="J63" s="138"/>
      <c r="L63" s="356"/>
      <c r="M63" s="354"/>
      <c r="N63" s="354"/>
    </row>
    <row r="64" spans="1:14" ht="10.5" customHeight="1">
      <c r="A64" s="807" t="s">
        <v>43</v>
      </c>
      <c r="B64" s="808">
        <f>+SUM(B6:B63)</f>
        <v>4591.2232456400025</v>
      </c>
      <c r="C64" s="808">
        <f>+SUM(C6:C63)</f>
        <v>4496.0842162124991</v>
      </c>
      <c r="D64" s="387">
        <f>IF(C64=0,"",B64/C64-1)</f>
        <v>2.1160419790278828E-2</v>
      </c>
      <c r="E64" s="138"/>
      <c r="F64" s="138"/>
      <c r="G64" s="138"/>
      <c r="H64" s="138"/>
      <c r="I64" s="138"/>
      <c r="J64" s="138"/>
      <c r="L64" s="356"/>
      <c r="M64" s="354"/>
      <c r="N64" s="354"/>
    </row>
    <row r="65" spans="1:10" ht="40.5" customHeight="1">
      <c r="A65" s="895" t="str">
        <f>"Cuadro N° 6: Participación de las empresas generadoras del COES en la producción de energía eléctrica (GWh) en "&amp;'1. Resumen'!Q4</f>
        <v>Cuadro N° 6: Participación de las empresas generadoras del COES en la producción de energía eléctrica (GWh) en diciembre</v>
      </c>
      <c r="B65" s="895"/>
      <c r="C65" s="895"/>
      <c r="D65" s="575"/>
      <c r="E65" s="894" t="str">
        <f>"Gráfico N° 10: Comparación de producción energética (GWh) de las empresas generadoras del COES en "&amp;'1. Resumen'!Q4</f>
        <v>Gráfico N° 10: Comparación de producción energética (GWh) de las empresas generadoras del COES en diciembre</v>
      </c>
      <c r="F65" s="894"/>
      <c r="G65" s="894"/>
      <c r="H65" s="894"/>
      <c r="I65" s="894"/>
      <c r="J65" s="894"/>
    </row>
    <row r="66" spans="1:10" ht="24" customHeight="1">
      <c r="A66" s="897" t="s">
        <v>584</v>
      </c>
      <c r="B66" s="897"/>
      <c r="C66" s="897"/>
      <c r="D66" s="897"/>
      <c r="E66" s="897"/>
      <c r="F66" s="897"/>
      <c r="G66" s="897"/>
      <c r="H66" s="897"/>
      <c r="I66" s="897"/>
      <c r="J66" s="897"/>
    </row>
    <row r="67" spans="1:10" ht="12.75" customHeight="1">
      <c r="A67" s="896" t="s">
        <v>582</v>
      </c>
      <c r="B67" s="896"/>
      <c r="C67" s="896"/>
      <c r="D67" s="896"/>
      <c r="E67" s="896"/>
      <c r="F67" s="896"/>
      <c r="G67" s="896"/>
      <c r="H67" s="896"/>
      <c r="I67" s="896"/>
      <c r="J67" s="896"/>
    </row>
    <row r="68" spans="1:10" ht="12.75" customHeight="1">
      <c r="A68" s="805"/>
      <c r="B68" s="805"/>
      <c r="C68" s="805"/>
      <c r="D68" s="805"/>
      <c r="E68" s="805"/>
      <c r="F68" s="805"/>
      <c r="G68" s="805"/>
      <c r="H68" s="805"/>
      <c r="I68" s="805"/>
      <c r="J68" s="805"/>
    </row>
    <row r="69" spans="1:10">
      <c r="A69" s="896"/>
      <c r="B69" s="896"/>
      <c r="C69" s="896"/>
      <c r="D69" s="896"/>
      <c r="E69" s="896"/>
      <c r="F69" s="896"/>
      <c r="G69" s="896"/>
      <c r="H69" s="896"/>
      <c r="I69" s="896"/>
      <c r="J69" s="896"/>
    </row>
    <row r="70" spans="1:10">
      <c r="A70" s="888"/>
      <c r="B70" s="888"/>
      <c r="C70" s="888"/>
      <c r="D70" s="888"/>
      <c r="E70" s="888"/>
      <c r="F70" s="888"/>
      <c r="G70" s="888"/>
      <c r="H70" s="888"/>
      <c r="I70" s="888"/>
      <c r="J70" s="888"/>
    </row>
    <row r="71" spans="1:10">
      <c r="A71" s="889"/>
      <c r="B71" s="889"/>
      <c r="C71" s="889"/>
      <c r="D71" s="889"/>
      <c r="E71" s="889"/>
      <c r="F71" s="889"/>
      <c r="G71" s="889"/>
      <c r="H71" s="889"/>
      <c r="I71" s="889"/>
      <c r="J71" s="889"/>
    </row>
    <row r="72" spans="1:10">
      <c r="A72" s="888"/>
      <c r="B72" s="888"/>
      <c r="C72" s="888"/>
      <c r="D72" s="888"/>
      <c r="E72" s="888"/>
      <c r="F72" s="888"/>
      <c r="G72" s="888"/>
      <c r="H72" s="888"/>
      <c r="I72" s="888"/>
      <c r="J72" s="888"/>
    </row>
    <row r="73" spans="1:10">
      <c r="A73" s="889"/>
      <c r="B73" s="889"/>
      <c r="C73" s="889"/>
      <c r="D73" s="889"/>
      <c r="E73" s="889"/>
      <c r="F73" s="889"/>
      <c r="G73" s="889"/>
      <c r="H73" s="889"/>
      <c r="I73" s="889"/>
      <c r="J73" s="889"/>
    </row>
  </sheetData>
  <mergeCells count="13">
    <mergeCell ref="A70:J70"/>
    <mergeCell ref="A71:J71"/>
    <mergeCell ref="A72:J72"/>
    <mergeCell ref="A73:J73"/>
    <mergeCell ref="A2:I2"/>
    <mergeCell ref="A4:A5"/>
    <mergeCell ref="B4:D4"/>
    <mergeCell ref="G4:I4"/>
    <mergeCell ref="E65:J65"/>
    <mergeCell ref="A65:C65"/>
    <mergeCell ref="A69:J69"/>
    <mergeCell ref="A67:J67"/>
    <mergeCell ref="A66:J66"/>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2019&amp;C7&amp;R&amp;7Dirección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8FC8"/>
  </sheetPr>
  <dimension ref="A2:Y64"/>
  <sheetViews>
    <sheetView showGridLines="0" view="pageBreakPreview" zoomScale="130" zoomScaleNormal="100" zoomScaleSheetLayoutView="130" zoomScalePageLayoutView="160" workbookViewId="0"/>
  </sheetViews>
  <sheetFormatPr defaultColWidth="9.33203125" defaultRowHeight="11.25"/>
  <cols>
    <col min="1" max="11" width="10.33203125" customWidth="1"/>
    <col min="12" max="12" width="21.1640625" style="779" bestFit="1" customWidth="1"/>
    <col min="13" max="14" width="9.33203125" style="779"/>
    <col min="15" max="15" width="11.83203125" style="779" customWidth="1"/>
    <col min="16" max="17" width="9.33203125" style="779"/>
    <col min="18" max="18" width="9.33203125" style="798"/>
    <col min="19" max="19" width="9.33203125" style="826"/>
    <col min="20" max="20" width="15" style="826" customWidth="1"/>
    <col min="21" max="22" width="9.33203125" style="826"/>
    <col min="23" max="24" width="9.33203125" style="608"/>
    <col min="25" max="25" width="17.83203125" style="608" bestFit="1" customWidth="1"/>
  </cols>
  <sheetData>
    <row r="2" spans="1:25" ht="11.25" customHeight="1">
      <c r="A2" s="898" t="s">
        <v>245</v>
      </c>
      <c r="B2" s="898"/>
      <c r="C2" s="898"/>
      <c r="D2" s="898"/>
      <c r="E2" s="898"/>
      <c r="F2" s="898"/>
      <c r="G2" s="898"/>
      <c r="H2" s="898"/>
      <c r="I2" s="898"/>
      <c r="J2" s="898"/>
      <c r="K2" s="898"/>
    </row>
    <row r="3" spans="1:25" ht="11.25" customHeight="1"/>
    <row r="4" spans="1:25" ht="11.25" customHeight="1">
      <c r="L4" s="780" t="s">
        <v>55</v>
      </c>
      <c r="M4" s="781" t="s">
        <v>31</v>
      </c>
      <c r="N4" s="780"/>
      <c r="O4" s="782"/>
      <c r="P4" s="783"/>
      <c r="Q4" s="783"/>
    </row>
    <row r="5" spans="1:25" ht="10.5" customHeight="1">
      <c r="A5" s="149"/>
      <c r="B5" s="138"/>
      <c r="C5" s="138"/>
      <c r="D5" s="138"/>
      <c r="E5" s="138"/>
      <c r="F5" s="138"/>
      <c r="G5" s="138"/>
      <c r="H5" s="138"/>
      <c r="I5" s="138"/>
      <c r="J5" s="138"/>
      <c r="K5" s="138"/>
      <c r="L5" s="780"/>
      <c r="M5" s="781"/>
      <c r="N5" s="780"/>
      <c r="O5" s="780" t="s">
        <v>56</v>
      </c>
      <c r="P5" s="780" t="s">
        <v>57</v>
      </c>
      <c r="Q5" s="780"/>
      <c r="U5" s="826">
        <v>2019</v>
      </c>
      <c r="V5" s="829">
        <v>2018</v>
      </c>
      <c r="W5" s="800"/>
    </row>
    <row r="6" spans="1:25" ht="10.5" customHeight="1">
      <c r="A6" s="111"/>
      <c r="B6" s="138"/>
      <c r="C6" s="138"/>
      <c r="D6" s="138"/>
      <c r="E6" s="138"/>
      <c r="F6" s="138"/>
      <c r="G6" s="138"/>
      <c r="H6" s="138"/>
      <c r="I6" s="138"/>
      <c r="J6" s="138"/>
      <c r="K6" s="138"/>
      <c r="L6" s="784" t="s">
        <v>58</v>
      </c>
      <c r="M6" s="784" t="s">
        <v>59</v>
      </c>
      <c r="N6" s="785">
        <v>19.966000000000001</v>
      </c>
      <c r="O6" s="786">
        <v>14.743725877499999</v>
      </c>
      <c r="P6" s="786">
        <v>0.99252909229965114</v>
      </c>
      <c r="Q6" s="786"/>
      <c r="S6" s="826" t="s">
        <v>575</v>
      </c>
      <c r="T6" s="826" t="s">
        <v>60</v>
      </c>
      <c r="U6" s="827">
        <v>1</v>
      </c>
      <c r="V6" s="828">
        <v>1</v>
      </c>
      <c r="W6" s="801"/>
      <c r="X6" s="826"/>
      <c r="Y6" s="827"/>
    </row>
    <row r="7" spans="1:25" ht="10.5" customHeight="1">
      <c r="A7" s="136"/>
      <c r="B7" s="138"/>
      <c r="C7" s="138"/>
      <c r="D7" s="138"/>
      <c r="E7" s="138"/>
      <c r="F7" s="138"/>
      <c r="G7" s="138"/>
      <c r="H7" s="138"/>
      <c r="I7" s="138"/>
      <c r="J7" s="138"/>
      <c r="K7" s="138"/>
      <c r="L7" s="784" t="s">
        <v>483</v>
      </c>
      <c r="M7" s="784" t="s">
        <v>59</v>
      </c>
      <c r="N7" s="785">
        <v>20.16</v>
      </c>
      <c r="O7" s="786">
        <v>14.513979030000002</v>
      </c>
      <c r="P7" s="786">
        <v>0.96766053227406568</v>
      </c>
      <c r="Q7" s="786"/>
      <c r="T7" s="826" t="s">
        <v>469</v>
      </c>
      <c r="U7" s="827">
        <v>0.93967903283047971</v>
      </c>
      <c r="V7" s="828">
        <v>0.93748709423998255</v>
      </c>
      <c r="W7" s="801"/>
      <c r="X7" s="826"/>
      <c r="Y7" s="827"/>
    </row>
    <row r="8" spans="1:25" ht="10.5" customHeight="1">
      <c r="A8" s="136"/>
      <c r="B8" s="138"/>
      <c r="C8" s="138"/>
      <c r="D8" s="138"/>
      <c r="E8" s="138"/>
      <c r="F8" s="138"/>
      <c r="G8" s="138"/>
      <c r="H8" s="138"/>
      <c r="I8" s="138"/>
      <c r="J8" s="138"/>
      <c r="K8" s="138"/>
      <c r="L8" s="784" t="s">
        <v>481</v>
      </c>
      <c r="M8" s="784" t="s">
        <v>59</v>
      </c>
      <c r="N8" s="785">
        <v>20.16</v>
      </c>
      <c r="O8" s="786">
        <v>14.444742625</v>
      </c>
      <c r="P8" s="786">
        <v>0.96304447651316349</v>
      </c>
      <c r="Q8" s="786"/>
      <c r="T8" s="826" t="s">
        <v>67</v>
      </c>
      <c r="U8" s="827">
        <v>0.86415269208150214</v>
      </c>
      <c r="V8" s="828">
        <v>0.80333934229183057</v>
      </c>
      <c r="W8" s="801"/>
      <c r="X8" s="826"/>
      <c r="Y8" s="827"/>
    </row>
    <row r="9" spans="1:25" ht="10.5" customHeight="1">
      <c r="A9" s="136"/>
      <c r="B9" s="138"/>
      <c r="C9" s="138"/>
      <c r="D9" s="138"/>
      <c r="E9" s="138"/>
      <c r="F9" s="138"/>
      <c r="G9" s="138"/>
      <c r="H9" s="138"/>
      <c r="I9" s="138"/>
      <c r="J9" s="138"/>
      <c r="K9" s="138"/>
      <c r="L9" s="784" t="s">
        <v>469</v>
      </c>
      <c r="M9" s="787" t="s">
        <v>59</v>
      </c>
      <c r="N9" s="785">
        <v>19.605</v>
      </c>
      <c r="O9" s="786">
        <v>14.3635200525</v>
      </c>
      <c r="P9" s="786">
        <v>0.98473891977441574</v>
      </c>
      <c r="Q9" s="786"/>
      <c r="T9" s="826" t="s">
        <v>63</v>
      </c>
      <c r="U9" s="827">
        <v>0.82111296984554083</v>
      </c>
      <c r="V9" s="828">
        <v>0.8126698725733289</v>
      </c>
      <c r="W9" s="801"/>
      <c r="X9" s="826"/>
      <c r="Y9" s="827"/>
    </row>
    <row r="10" spans="1:25" ht="10.5" customHeight="1">
      <c r="A10" s="136"/>
      <c r="B10" s="138"/>
      <c r="C10" s="138"/>
      <c r="D10" s="138"/>
      <c r="E10" s="138"/>
      <c r="F10" s="138"/>
      <c r="G10" s="138"/>
      <c r="H10" s="138"/>
      <c r="I10" s="138"/>
      <c r="J10" s="138"/>
      <c r="K10" s="138"/>
      <c r="L10" s="784" t="s">
        <v>640</v>
      </c>
      <c r="M10" s="787" t="s">
        <v>59</v>
      </c>
      <c r="N10" s="785">
        <v>20</v>
      </c>
      <c r="O10" s="786">
        <v>14.270872125</v>
      </c>
      <c r="P10" s="786">
        <v>0.95906398689516126</v>
      </c>
      <c r="Q10" s="786"/>
      <c r="T10" s="826" t="s">
        <v>75</v>
      </c>
      <c r="U10" s="827">
        <v>0.80199247565993814</v>
      </c>
      <c r="V10" s="828">
        <v>0.72492616194149162</v>
      </c>
      <c r="W10" s="801"/>
      <c r="X10" s="826"/>
      <c r="Y10" s="827"/>
    </row>
    <row r="11" spans="1:25" ht="10.5" customHeight="1">
      <c r="A11" s="136"/>
      <c r="B11" s="138"/>
      <c r="C11" s="138"/>
      <c r="D11" s="138"/>
      <c r="E11" s="138"/>
      <c r="F11" s="138"/>
      <c r="G11" s="138"/>
      <c r="H11" s="138"/>
      <c r="I11" s="138"/>
      <c r="J11" s="138"/>
      <c r="K11" s="138"/>
      <c r="L11" s="784" t="s">
        <v>482</v>
      </c>
      <c r="M11" s="787" t="s">
        <v>59</v>
      </c>
      <c r="N11" s="785">
        <v>20.16</v>
      </c>
      <c r="O11" s="786">
        <v>14.1397753425</v>
      </c>
      <c r="P11" s="786">
        <v>0.94271202306947643</v>
      </c>
      <c r="Q11" s="786"/>
      <c r="T11" s="826" t="s">
        <v>484</v>
      </c>
      <c r="U11" s="827">
        <v>0.71491640329419437</v>
      </c>
      <c r="V11" s="828">
        <v>0.22208608630952381</v>
      </c>
      <c r="W11" s="801"/>
      <c r="X11" s="826"/>
      <c r="Y11" s="827"/>
    </row>
    <row r="12" spans="1:25" ht="10.5" customHeight="1">
      <c r="A12" s="136"/>
      <c r="B12" s="138"/>
      <c r="C12" s="138"/>
      <c r="D12" s="138"/>
      <c r="E12" s="138"/>
      <c r="F12" s="138"/>
      <c r="G12" s="138"/>
      <c r="H12" s="138"/>
      <c r="I12" s="138"/>
      <c r="J12" s="138"/>
      <c r="K12" s="138"/>
      <c r="L12" s="784" t="s">
        <v>64</v>
      </c>
      <c r="M12" s="784" t="s">
        <v>59</v>
      </c>
      <c r="N12" s="785">
        <v>19.899999999999999</v>
      </c>
      <c r="O12" s="786">
        <v>14.043767729999999</v>
      </c>
      <c r="P12" s="786">
        <v>0.94854431633976344</v>
      </c>
      <c r="Q12" s="786"/>
      <c r="T12" s="826" t="s">
        <v>72</v>
      </c>
      <c r="U12" s="827">
        <v>0.69878021127781409</v>
      </c>
      <c r="V12" s="828">
        <v>0.60151705599244609</v>
      </c>
      <c r="W12" s="801"/>
      <c r="X12" s="826"/>
      <c r="Y12" s="827"/>
    </row>
    <row r="13" spans="1:25" ht="10.5" customHeight="1">
      <c r="A13" s="136"/>
      <c r="B13" s="138"/>
      <c r="C13" s="138"/>
      <c r="D13" s="138"/>
      <c r="E13" s="138"/>
      <c r="F13" s="138"/>
      <c r="G13" s="138"/>
      <c r="H13" s="138"/>
      <c r="I13" s="138"/>
      <c r="J13" s="138"/>
      <c r="K13" s="138"/>
      <c r="L13" s="784" t="s">
        <v>641</v>
      </c>
      <c r="M13" s="784" t="s">
        <v>59</v>
      </c>
      <c r="N13" s="785">
        <v>20</v>
      </c>
      <c r="O13" s="786">
        <v>13.974380005</v>
      </c>
      <c r="P13" s="786">
        <v>0.93913844119623657</v>
      </c>
      <c r="Q13" s="786"/>
      <c r="T13" s="826" t="s">
        <v>74</v>
      </c>
      <c r="U13" s="827">
        <v>0.6786183531728367</v>
      </c>
      <c r="V13" s="828">
        <v>0.73256459352666703</v>
      </c>
      <c r="W13" s="801"/>
      <c r="X13" s="826"/>
      <c r="Y13" s="827"/>
    </row>
    <row r="14" spans="1:25" ht="10.5" customHeight="1">
      <c r="A14" s="136"/>
      <c r="B14" s="138"/>
      <c r="C14" s="138"/>
      <c r="D14" s="138"/>
      <c r="E14" s="138"/>
      <c r="F14" s="138"/>
      <c r="G14" s="138"/>
      <c r="H14" s="138"/>
      <c r="I14" s="138"/>
      <c r="J14" s="138"/>
      <c r="K14" s="138"/>
      <c r="L14" s="784" t="s">
        <v>60</v>
      </c>
      <c r="M14" s="784" t="s">
        <v>59</v>
      </c>
      <c r="N14" s="785">
        <v>15</v>
      </c>
      <c r="O14" s="786">
        <v>13.620981220000001</v>
      </c>
      <c r="P14" s="786">
        <v>1</v>
      </c>
      <c r="Q14" s="786"/>
      <c r="T14" s="826" t="s">
        <v>58</v>
      </c>
      <c r="U14" s="827">
        <v>0.67536264775117683</v>
      </c>
      <c r="V14" s="828">
        <v>0.76503767340551998</v>
      </c>
      <c r="W14" s="801"/>
      <c r="X14" s="826"/>
      <c r="Y14" s="827"/>
    </row>
    <row r="15" spans="1:25" ht="11.25" customHeight="1">
      <c r="A15" s="136"/>
      <c r="B15" s="138"/>
      <c r="C15" s="138"/>
      <c r="D15" s="138"/>
      <c r="E15" s="138"/>
      <c r="F15" s="138"/>
      <c r="G15" s="138"/>
      <c r="H15" s="138"/>
      <c r="I15" s="138"/>
      <c r="J15" s="138"/>
      <c r="K15" s="138"/>
      <c r="L15" s="784" t="s">
        <v>62</v>
      </c>
      <c r="M15" s="784" t="s">
        <v>59</v>
      </c>
      <c r="N15" s="785">
        <v>19.1995</v>
      </c>
      <c r="O15" s="786">
        <v>13.1368051575</v>
      </c>
      <c r="P15" s="786">
        <v>0.91965916713640894</v>
      </c>
      <c r="Q15" s="786"/>
      <c r="T15" s="826" t="s">
        <v>64</v>
      </c>
      <c r="U15" s="827">
        <v>0.66727213314001521</v>
      </c>
      <c r="V15" s="828">
        <v>0.56264461360742068</v>
      </c>
      <c r="W15" s="801"/>
      <c r="X15" s="826"/>
      <c r="Y15" s="827"/>
    </row>
    <row r="16" spans="1:25" ht="11.25" customHeight="1">
      <c r="A16" s="136"/>
      <c r="B16" s="138"/>
      <c r="C16" s="138"/>
      <c r="D16" s="138"/>
      <c r="E16" s="138"/>
      <c r="F16" s="138"/>
      <c r="G16" s="138"/>
      <c r="H16" s="138"/>
      <c r="I16" s="138"/>
      <c r="J16" s="138"/>
      <c r="K16" s="138"/>
      <c r="L16" s="784" t="s">
        <v>61</v>
      </c>
      <c r="M16" s="784" t="s">
        <v>59</v>
      </c>
      <c r="N16" s="785">
        <v>19.966999999999999</v>
      </c>
      <c r="O16" s="786">
        <v>12.601364645</v>
      </c>
      <c r="P16" s="786">
        <v>0.84826554170564228</v>
      </c>
      <c r="Q16" s="786"/>
      <c r="T16" s="826" t="s">
        <v>71</v>
      </c>
      <c r="U16" s="827">
        <v>0.66680311821591332</v>
      </c>
      <c r="V16" s="828">
        <v>0.716037180479694</v>
      </c>
      <c r="W16" s="801"/>
      <c r="X16" s="826"/>
      <c r="Y16" s="827"/>
    </row>
    <row r="17" spans="1:25" ht="11.25" customHeight="1">
      <c r="A17" s="136"/>
      <c r="B17" s="138"/>
      <c r="C17" s="138"/>
      <c r="D17" s="138"/>
      <c r="E17" s="138"/>
      <c r="F17" s="138"/>
      <c r="G17" s="138"/>
      <c r="H17" s="138"/>
      <c r="I17" s="138"/>
      <c r="J17" s="138"/>
      <c r="K17" s="138"/>
      <c r="L17" s="784" t="s">
        <v>492</v>
      </c>
      <c r="M17" s="784" t="s">
        <v>59</v>
      </c>
      <c r="N17" s="785">
        <v>20</v>
      </c>
      <c r="O17" s="786">
        <v>9.5464097149999994</v>
      </c>
      <c r="P17" s="786">
        <v>0.64155979267473118</v>
      </c>
      <c r="Q17" s="786"/>
      <c r="T17" s="826" t="s">
        <v>499</v>
      </c>
      <c r="U17" s="827">
        <v>0.65406604067213214</v>
      </c>
      <c r="V17" s="828"/>
      <c r="W17" s="801"/>
      <c r="X17" s="826"/>
      <c r="Y17" s="827"/>
    </row>
    <row r="18" spans="1:25">
      <c r="A18" s="136"/>
      <c r="B18" s="138"/>
      <c r="C18" s="138"/>
      <c r="D18" s="138"/>
      <c r="E18" s="138"/>
      <c r="F18" s="138"/>
      <c r="G18" s="138"/>
      <c r="H18" s="138"/>
      <c r="I18" s="138"/>
      <c r="J18" s="138"/>
      <c r="K18" s="138"/>
      <c r="L18" s="784" t="s">
        <v>499</v>
      </c>
      <c r="M18" s="784" t="s">
        <v>59</v>
      </c>
      <c r="N18" s="785">
        <v>13.2</v>
      </c>
      <c r="O18" s="786">
        <v>8.7329810025000008</v>
      </c>
      <c r="P18" s="786">
        <v>0.88923315844941364</v>
      </c>
      <c r="Q18" s="786"/>
      <c r="T18" s="826" t="s">
        <v>492</v>
      </c>
      <c r="U18" s="827">
        <v>0.64204528608732869</v>
      </c>
      <c r="V18" s="828">
        <v>0.49558954053030296</v>
      </c>
      <c r="W18" s="801"/>
      <c r="X18" s="826"/>
      <c r="Y18" s="827"/>
    </row>
    <row r="19" spans="1:25">
      <c r="A19" s="136"/>
      <c r="B19" s="138"/>
      <c r="C19" s="138"/>
      <c r="D19" s="138"/>
      <c r="E19" s="138"/>
      <c r="F19" s="138"/>
      <c r="G19" s="138"/>
      <c r="H19" s="138"/>
      <c r="I19" s="138"/>
      <c r="J19" s="138"/>
      <c r="K19" s="138"/>
      <c r="L19" s="784" t="s">
        <v>63</v>
      </c>
      <c r="M19" s="784" t="s">
        <v>59</v>
      </c>
      <c r="N19" s="785">
        <v>9.9830000000000005</v>
      </c>
      <c r="O19" s="786">
        <v>7.1016837224999998</v>
      </c>
      <c r="P19" s="786">
        <v>0.95615284188766048</v>
      </c>
      <c r="Q19" s="786"/>
      <c r="T19" s="826" t="s">
        <v>62</v>
      </c>
      <c r="U19" s="827">
        <v>0.62526381677200749</v>
      </c>
      <c r="V19" s="828">
        <v>0.61622619236183984</v>
      </c>
      <c r="W19" s="801"/>
      <c r="X19" s="826"/>
      <c r="Y19" s="827"/>
    </row>
    <row r="20" spans="1:25">
      <c r="A20" s="136"/>
      <c r="B20" s="138"/>
      <c r="C20" s="138"/>
      <c r="D20" s="138"/>
      <c r="E20" s="138"/>
      <c r="F20" s="138"/>
      <c r="G20" s="138"/>
      <c r="H20" s="138"/>
      <c r="I20" s="138"/>
      <c r="J20" s="138"/>
      <c r="K20" s="138"/>
      <c r="L20" s="784" t="s">
        <v>691</v>
      </c>
      <c r="M20" s="784" t="s">
        <v>59</v>
      </c>
      <c r="N20" s="785">
        <v>19</v>
      </c>
      <c r="O20" s="786">
        <v>6.8712794375000001</v>
      </c>
      <c r="P20" s="786">
        <v>0.48608371798953032</v>
      </c>
      <c r="Q20" s="786"/>
      <c r="T20" s="826" t="s">
        <v>70</v>
      </c>
      <c r="U20" s="827">
        <v>0.61275423962172915</v>
      </c>
      <c r="V20" s="828">
        <v>0.55299914052408794</v>
      </c>
      <c r="W20" s="801"/>
      <c r="X20" s="826"/>
      <c r="Y20" s="827"/>
    </row>
    <row r="21" spans="1:25">
      <c r="A21" s="136"/>
      <c r="B21" s="138"/>
      <c r="C21" s="138"/>
      <c r="D21" s="138"/>
      <c r="E21" s="138"/>
      <c r="F21" s="138"/>
      <c r="G21" s="138"/>
      <c r="H21" s="138"/>
      <c r="I21" s="138"/>
      <c r="J21" s="138"/>
      <c r="K21" s="138"/>
      <c r="L21" s="784" t="s">
        <v>65</v>
      </c>
      <c r="M21" s="784" t="s">
        <v>59</v>
      </c>
      <c r="N21" s="785">
        <v>10.222</v>
      </c>
      <c r="O21" s="786">
        <v>6.2227574150000002</v>
      </c>
      <c r="P21" s="786">
        <v>0.8182274757112532</v>
      </c>
      <c r="Q21" s="786"/>
      <c r="T21" s="826" t="s">
        <v>65</v>
      </c>
      <c r="U21" s="827">
        <v>0.59040543719384042</v>
      </c>
      <c r="V21" s="828">
        <v>0.63167170353539559</v>
      </c>
      <c r="W21" s="801"/>
      <c r="X21" s="826"/>
      <c r="Y21" s="827"/>
    </row>
    <row r="22" spans="1:25">
      <c r="A22" s="136"/>
      <c r="B22" s="138"/>
      <c r="C22" s="138"/>
      <c r="D22" s="138"/>
      <c r="E22" s="138"/>
      <c r="F22" s="138"/>
      <c r="G22" s="138"/>
      <c r="H22" s="138"/>
      <c r="I22" s="138"/>
      <c r="J22" s="138"/>
      <c r="K22" s="138"/>
      <c r="L22" s="784" t="s">
        <v>66</v>
      </c>
      <c r="M22" s="784" t="s">
        <v>59</v>
      </c>
      <c r="N22" s="785">
        <v>9.85</v>
      </c>
      <c r="O22" s="786">
        <v>6.172682955</v>
      </c>
      <c r="P22" s="786">
        <v>0.84229612944162446</v>
      </c>
      <c r="Q22" s="786"/>
      <c r="T22" s="826" t="s">
        <v>66</v>
      </c>
      <c r="U22" s="827">
        <v>0.5864999775745775</v>
      </c>
      <c r="V22" s="828">
        <v>0.62073401244118409</v>
      </c>
      <c r="W22" s="801"/>
      <c r="X22" s="826"/>
      <c r="Y22" s="827"/>
    </row>
    <row r="23" spans="1:25">
      <c r="A23" s="136"/>
      <c r="B23" s="138"/>
      <c r="C23" s="138"/>
      <c r="D23" s="138"/>
      <c r="E23" s="138"/>
      <c r="F23" s="138"/>
      <c r="G23" s="138"/>
      <c r="H23" s="138"/>
      <c r="I23" s="138"/>
      <c r="J23" s="138"/>
      <c r="K23" s="138"/>
      <c r="L23" s="784" t="s">
        <v>638</v>
      </c>
      <c r="M23" s="784" t="s">
        <v>59</v>
      </c>
      <c r="N23" s="785">
        <v>8.4</v>
      </c>
      <c r="O23" s="786">
        <v>5.7353228724999994</v>
      </c>
      <c r="P23" s="786">
        <v>0.917710393065156</v>
      </c>
      <c r="Q23" s="786"/>
      <c r="T23" s="826" t="s">
        <v>61</v>
      </c>
      <c r="U23" s="827">
        <v>0.54833239891483077</v>
      </c>
      <c r="V23" s="828">
        <v>0.60644141446400257</v>
      </c>
      <c r="W23" s="801"/>
      <c r="X23" s="826"/>
      <c r="Y23" s="827"/>
    </row>
    <row r="24" spans="1:25">
      <c r="A24" s="136"/>
      <c r="B24" s="138"/>
      <c r="C24" s="138"/>
      <c r="D24" s="138"/>
      <c r="E24" s="138"/>
      <c r="F24" s="138"/>
      <c r="G24" s="138"/>
      <c r="H24" s="138"/>
      <c r="I24" s="138"/>
      <c r="J24" s="138"/>
      <c r="K24" s="138"/>
      <c r="L24" s="784" t="s">
        <v>67</v>
      </c>
      <c r="M24" s="784" t="s">
        <v>59</v>
      </c>
      <c r="N24" s="785">
        <v>7.7450000000000001</v>
      </c>
      <c r="O24" s="786">
        <v>5.3050266075000003</v>
      </c>
      <c r="P24" s="786">
        <v>0.9206471409754472</v>
      </c>
      <c r="Q24" s="786"/>
      <c r="T24" s="826" t="s">
        <v>68</v>
      </c>
      <c r="U24" s="827">
        <v>0.54041926183807165</v>
      </c>
      <c r="V24" s="828">
        <v>0.54185108713502295</v>
      </c>
      <c r="W24" s="801"/>
      <c r="X24" s="826"/>
      <c r="Y24" s="827"/>
    </row>
    <row r="25" spans="1:25">
      <c r="A25" s="136"/>
      <c r="B25" s="138"/>
      <c r="C25" s="138"/>
      <c r="D25" s="138"/>
      <c r="E25" s="138"/>
      <c r="F25" s="138"/>
      <c r="G25" s="138"/>
      <c r="H25" s="138"/>
      <c r="I25" s="138"/>
      <c r="J25" s="138"/>
      <c r="K25" s="138"/>
      <c r="L25" s="784" t="s">
        <v>68</v>
      </c>
      <c r="M25" s="784" t="s">
        <v>59</v>
      </c>
      <c r="N25" s="785">
        <v>7.4240000000000004</v>
      </c>
      <c r="O25" s="786">
        <v>4.4991244749999995</v>
      </c>
      <c r="P25" s="786">
        <v>0.81454880332168833</v>
      </c>
      <c r="Q25" s="786"/>
      <c r="T25" s="826" t="s">
        <v>69</v>
      </c>
      <c r="U25" s="827">
        <v>0.52826582936136035</v>
      </c>
      <c r="V25" s="828">
        <v>0.517279203515286</v>
      </c>
      <c r="W25" s="801"/>
      <c r="X25" s="826"/>
      <c r="Y25" s="827"/>
    </row>
    <row r="26" spans="1:25">
      <c r="A26" s="136"/>
      <c r="B26" s="138"/>
      <c r="C26" s="138"/>
      <c r="D26" s="138"/>
      <c r="E26" s="138"/>
      <c r="F26" s="138"/>
      <c r="G26" s="138"/>
      <c r="H26" s="138"/>
      <c r="I26" s="138"/>
      <c r="J26" s="138"/>
      <c r="K26" s="138"/>
      <c r="L26" s="784" t="s">
        <v>69</v>
      </c>
      <c r="M26" s="784" t="s">
        <v>59</v>
      </c>
      <c r="N26" s="785">
        <v>6.9580000000000002</v>
      </c>
      <c r="O26" s="786">
        <v>4.3597190250000004</v>
      </c>
      <c r="P26" s="786">
        <v>0.84217266444287842</v>
      </c>
      <c r="Q26" s="786"/>
      <c r="T26" s="826" t="s">
        <v>641</v>
      </c>
      <c r="U26" s="827">
        <v>0.52510240595034241</v>
      </c>
      <c r="V26" s="828"/>
      <c r="W26" s="801"/>
      <c r="X26" s="826"/>
      <c r="Y26" s="827"/>
    </row>
    <row r="27" spans="1:25">
      <c r="A27" s="136"/>
      <c r="B27" s="138"/>
      <c r="C27" s="138"/>
      <c r="D27" s="138"/>
      <c r="E27" s="138"/>
      <c r="F27" s="138"/>
      <c r="G27" s="138"/>
      <c r="H27" s="138"/>
      <c r="I27" s="138"/>
      <c r="J27" s="138"/>
      <c r="K27" s="138"/>
      <c r="L27" s="784" t="s">
        <v>72</v>
      </c>
      <c r="M27" s="784" t="s">
        <v>59</v>
      </c>
      <c r="N27" s="785">
        <v>5.67</v>
      </c>
      <c r="O27" s="786">
        <v>3.5784355424999998</v>
      </c>
      <c r="P27" s="786">
        <v>0.84827604788928723</v>
      </c>
      <c r="Q27" s="786"/>
      <c r="T27" s="826" t="s">
        <v>481</v>
      </c>
      <c r="U27" s="827">
        <v>0.50522911615749799</v>
      </c>
      <c r="V27" s="828">
        <v>0.26330854082994642</v>
      </c>
      <c r="W27" s="801"/>
      <c r="X27" s="826"/>
      <c r="Y27" s="827"/>
    </row>
    <row r="28" spans="1:25">
      <c r="A28" s="136"/>
      <c r="B28" s="138"/>
      <c r="C28" s="138"/>
      <c r="D28" s="138"/>
      <c r="E28" s="138"/>
      <c r="F28" s="138"/>
      <c r="G28" s="138"/>
      <c r="H28" s="138"/>
      <c r="I28" s="138"/>
      <c r="J28" s="138"/>
      <c r="K28" s="138"/>
      <c r="L28" s="784" t="s">
        <v>70</v>
      </c>
      <c r="M28" s="784" t="s">
        <v>59</v>
      </c>
      <c r="N28" s="785">
        <v>9.5660000000000007</v>
      </c>
      <c r="O28" s="786">
        <v>2.6507902800000003</v>
      </c>
      <c r="P28" s="786">
        <v>0.37245349793961141</v>
      </c>
      <c r="Q28" s="786"/>
      <c r="T28" s="826" t="s">
        <v>73</v>
      </c>
      <c r="U28" s="827">
        <v>0.50108274254710561</v>
      </c>
      <c r="V28" s="828">
        <v>0.72215045145449508</v>
      </c>
      <c r="W28" s="801"/>
      <c r="X28" s="826"/>
      <c r="Y28" s="827"/>
    </row>
    <row r="29" spans="1:25">
      <c r="A29" s="136"/>
      <c r="B29" s="138"/>
      <c r="C29" s="138"/>
      <c r="D29" s="138"/>
      <c r="E29" s="138"/>
      <c r="F29" s="138"/>
      <c r="G29" s="138"/>
      <c r="H29" s="138"/>
      <c r="I29" s="138"/>
      <c r="J29" s="138"/>
      <c r="K29" s="138"/>
      <c r="L29" s="784" t="s">
        <v>75</v>
      </c>
      <c r="M29" s="784" t="s">
        <v>59</v>
      </c>
      <c r="N29" s="785">
        <v>3.964</v>
      </c>
      <c r="O29" s="786">
        <v>2.5846999999999998</v>
      </c>
      <c r="P29" s="786">
        <v>0.87640240660568769</v>
      </c>
      <c r="Q29" s="786"/>
      <c r="T29" s="826" t="s">
        <v>482</v>
      </c>
      <c r="U29" s="827">
        <v>0.49671202780722268</v>
      </c>
      <c r="V29" s="828">
        <v>0.18760959514742273</v>
      </c>
      <c r="W29" s="801"/>
      <c r="X29" s="826"/>
      <c r="Y29" s="827"/>
    </row>
    <row r="30" spans="1:25">
      <c r="A30" s="136"/>
      <c r="B30" s="138"/>
      <c r="C30" s="138"/>
      <c r="D30" s="138"/>
      <c r="E30" s="138"/>
      <c r="F30" s="138"/>
      <c r="G30" s="138"/>
      <c r="H30" s="138"/>
      <c r="I30" s="138"/>
      <c r="J30" s="138"/>
      <c r="K30" s="138"/>
      <c r="L30" s="784" t="s">
        <v>74</v>
      </c>
      <c r="M30" s="784" t="s">
        <v>59</v>
      </c>
      <c r="N30" s="785">
        <v>3.91621</v>
      </c>
      <c r="O30" s="786">
        <v>2.5357750924999998</v>
      </c>
      <c r="P30" s="786">
        <v>0.8703056923685788</v>
      </c>
      <c r="Q30" s="786"/>
      <c r="T30" s="826" t="s">
        <v>483</v>
      </c>
      <c r="U30" s="827">
        <v>0.44057373804937222</v>
      </c>
      <c r="V30" s="828">
        <v>0.20862393734865697</v>
      </c>
      <c r="W30" s="801"/>
      <c r="X30" s="826"/>
      <c r="Y30" s="827"/>
    </row>
    <row r="31" spans="1:25">
      <c r="A31" s="136"/>
      <c r="B31" s="138"/>
      <c r="C31" s="138"/>
      <c r="D31" s="138"/>
      <c r="E31" s="138"/>
      <c r="F31" s="138"/>
      <c r="G31" s="138"/>
      <c r="H31" s="138"/>
      <c r="I31" s="138"/>
      <c r="J31" s="138"/>
      <c r="K31" s="138"/>
      <c r="L31" s="784" t="s">
        <v>71</v>
      </c>
      <c r="M31" s="784" t="s">
        <v>59</v>
      </c>
      <c r="N31" s="785">
        <v>5.1890000000000001</v>
      </c>
      <c r="O31" s="786">
        <v>2.1941894350000002</v>
      </c>
      <c r="P31" s="786">
        <v>0.5683521580493891</v>
      </c>
      <c r="Q31" s="786"/>
      <c r="T31" s="826" t="s">
        <v>640</v>
      </c>
      <c r="U31" s="827">
        <v>0.38664259043949767</v>
      </c>
      <c r="V31" s="828"/>
      <c r="W31" s="801"/>
      <c r="X31" s="826"/>
      <c r="Y31" s="827"/>
    </row>
    <row r="32" spans="1:25">
      <c r="A32" s="136"/>
      <c r="B32" s="138"/>
      <c r="C32" s="138"/>
      <c r="D32" s="138"/>
      <c r="E32" s="138"/>
      <c r="F32" s="138"/>
      <c r="G32" s="138"/>
      <c r="H32" s="138"/>
      <c r="I32" s="138"/>
      <c r="J32" s="138"/>
      <c r="K32" s="138"/>
      <c r="L32" s="784" t="s">
        <v>73</v>
      </c>
      <c r="M32" s="784" t="s">
        <v>59</v>
      </c>
      <c r="N32" s="785">
        <v>3.48</v>
      </c>
      <c r="O32" s="786">
        <v>2.07250172</v>
      </c>
      <c r="P32" s="786">
        <v>0.80046568718329014</v>
      </c>
      <c r="Q32" s="786"/>
      <c r="T32" s="826" t="s">
        <v>76</v>
      </c>
      <c r="U32" s="827">
        <v>0.15269548037781797</v>
      </c>
      <c r="V32" s="828">
        <v>0.16123056746615308</v>
      </c>
      <c r="W32" s="801"/>
      <c r="X32" s="826"/>
      <c r="Y32" s="827"/>
    </row>
    <row r="33" spans="1:25">
      <c r="A33" s="136"/>
      <c r="B33" s="138"/>
      <c r="C33" s="138"/>
      <c r="D33" s="138"/>
      <c r="E33" s="138"/>
      <c r="F33" s="138"/>
      <c r="G33" s="138"/>
      <c r="H33" s="138"/>
      <c r="I33" s="138"/>
      <c r="J33" s="138"/>
      <c r="K33" s="138"/>
      <c r="L33" s="784" t="s">
        <v>484</v>
      </c>
      <c r="M33" s="784" t="s">
        <v>59</v>
      </c>
      <c r="N33" s="785">
        <v>0.7</v>
      </c>
      <c r="O33" s="786">
        <v>0.4433283475</v>
      </c>
      <c r="P33" s="786">
        <v>0.85124490687403997</v>
      </c>
      <c r="Q33" s="786"/>
      <c r="T33" s="826" t="s">
        <v>638</v>
      </c>
      <c r="U33" s="827">
        <v>0.12339957881468794</v>
      </c>
      <c r="V33" s="828"/>
      <c r="W33" s="801"/>
      <c r="X33" s="826"/>
      <c r="Y33" s="827"/>
    </row>
    <row r="34" spans="1:25">
      <c r="B34" s="138"/>
      <c r="C34" s="138"/>
      <c r="D34" s="138"/>
      <c r="E34" s="138"/>
      <c r="F34" s="138"/>
      <c r="G34" s="138"/>
      <c r="H34" s="138"/>
      <c r="I34" s="138"/>
      <c r="J34" s="138"/>
      <c r="K34" s="138"/>
      <c r="L34" s="784" t="s">
        <v>76</v>
      </c>
      <c r="M34" s="784" t="s">
        <v>59</v>
      </c>
      <c r="N34" s="785">
        <v>1.714</v>
      </c>
      <c r="O34" s="786">
        <v>0.26574854249999996</v>
      </c>
      <c r="P34" s="786">
        <v>0.20839492485978847</v>
      </c>
      <c r="Q34" s="786"/>
      <c r="T34" s="826" t="s">
        <v>691</v>
      </c>
      <c r="U34" s="827">
        <v>4.2747421638428262E-2</v>
      </c>
      <c r="W34" s="801"/>
      <c r="X34" s="826"/>
      <c r="Y34" s="827"/>
    </row>
    <row r="35" spans="1:25">
      <c r="A35" s="136"/>
      <c r="B35" s="138"/>
      <c r="C35" s="138"/>
      <c r="D35" s="138"/>
      <c r="E35" s="138"/>
      <c r="F35" s="138"/>
      <c r="G35" s="138"/>
      <c r="H35" s="138"/>
      <c r="I35" s="138"/>
      <c r="J35" s="138"/>
      <c r="K35" s="138"/>
      <c r="L35" s="784" t="s">
        <v>514</v>
      </c>
      <c r="M35" s="784" t="s">
        <v>224</v>
      </c>
      <c r="N35" s="785">
        <v>132.30000000000001</v>
      </c>
      <c r="O35" s="786">
        <v>47.909157652499999</v>
      </c>
      <c r="P35" s="786">
        <v>0.48672735527454702</v>
      </c>
      <c r="Q35" s="786"/>
      <c r="S35" s="826" t="s">
        <v>547</v>
      </c>
      <c r="T35" s="826" t="s">
        <v>79</v>
      </c>
      <c r="U35" s="827">
        <v>0.56046330484803097</v>
      </c>
      <c r="V35" s="828">
        <v>0.52933399228560218</v>
      </c>
      <c r="W35" s="801"/>
      <c r="X35" s="826"/>
      <c r="Y35" s="827"/>
    </row>
    <row r="36" spans="1:25">
      <c r="A36" s="136"/>
      <c r="B36" s="138"/>
      <c r="C36" s="138"/>
      <c r="D36" s="138"/>
      <c r="E36" s="138"/>
      <c r="F36" s="138"/>
      <c r="G36" s="138"/>
      <c r="H36" s="138"/>
      <c r="I36" s="138"/>
      <c r="J36" s="138"/>
      <c r="K36" s="138"/>
      <c r="L36" s="784" t="s">
        <v>77</v>
      </c>
      <c r="M36" s="784" t="s">
        <v>224</v>
      </c>
      <c r="N36" s="785">
        <v>97.15</v>
      </c>
      <c r="O36" s="786">
        <v>31.962913342499998</v>
      </c>
      <c r="P36" s="786">
        <v>0.4422120950102103</v>
      </c>
      <c r="Q36" s="786"/>
      <c r="T36" s="826" t="s">
        <v>77</v>
      </c>
      <c r="U36" s="827">
        <v>0.54188868373061461</v>
      </c>
      <c r="V36" s="828">
        <v>0.54720675729171797</v>
      </c>
      <c r="W36" s="801"/>
      <c r="X36" s="826"/>
      <c r="Y36" s="827"/>
    </row>
    <row r="37" spans="1:25">
      <c r="A37" s="136"/>
      <c r="B37" s="138"/>
      <c r="C37" s="138"/>
      <c r="D37" s="138"/>
      <c r="E37" s="138"/>
      <c r="F37" s="138"/>
      <c r="G37" s="138"/>
      <c r="H37" s="138"/>
      <c r="I37" s="138"/>
      <c r="J37" s="138"/>
      <c r="K37" s="138"/>
      <c r="L37" s="784" t="s">
        <v>78</v>
      </c>
      <c r="M37" s="784" t="s">
        <v>224</v>
      </c>
      <c r="N37" s="785">
        <v>83.15</v>
      </c>
      <c r="O37" s="786">
        <v>28.791526627499998</v>
      </c>
      <c r="P37" s="786">
        <v>0.46540334910189507</v>
      </c>
      <c r="Q37" s="786"/>
      <c r="T37" s="826" t="s">
        <v>514</v>
      </c>
      <c r="U37" s="827">
        <v>0.50408204700297166</v>
      </c>
      <c r="V37" s="828">
        <v>0.58239238063535903</v>
      </c>
      <c r="W37" s="801"/>
      <c r="X37" s="826"/>
      <c r="Y37" s="827"/>
    </row>
    <row r="38" spans="1:25" ht="11.25" customHeight="1">
      <c r="A38" s="136"/>
      <c r="B38" s="138"/>
      <c r="C38" s="138"/>
      <c r="D38" s="138"/>
      <c r="E38" s="138"/>
      <c r="F38" s="138"/>
      <c r="G38" s="138"/>
      <c r="H38" s="138"/>
      <c r="I38" s="138"/>
      <c r="J38" s="138"/>
      <c r="K38" s="138"/>
      <c r="L38" s="784" t="s">
        <v>80</v>
      </c>
      <c r="M38" s="784" t="s">
        <v>224</v>
      </c>
      <c r="N38" s="785">
        <v>30.86</v>
      </c>
      <c r="O38" s="786">
        <v>11.8269391525</v>
      </c>
      <c r="P38" s="786">
        <v>0.51511417991153241</v>
      </c>
      <c r="Q38" s="788"/>
      <c r="T38" s="826" t="s">
        <v>80</v>
      </c>
      <c r="U38" s="827">
        <v>0.46574247533417967</v>
      </c>
      <c r="V38" s="828">
        <v>0.45540836066992796</v>
      </c>
      <c r="W38" s="801"/>
      <c r="X38" s="826"/>
      <c r="Y38" s="827"/>
    </row>
    <row r="39" spans="1:25">
      <c r="A39" s="136"/>
      <c r="B39" s="138"/>
      <c r="C39" s="138"/>
      <c r="D39" s="138"/>
      <c r="E39" s="138"/>
      <c r="F39" s="138"/>
      <c r="G39" s="138"/>
      <c r="H39" s="138"/>
      <c r="I39" s="138"/>
      <c r="J39" s="138"/>
      <c r="K39" s="138"/>
      <c r="L39" s="784" t="s">
        <v>79</v>
      </c>
      <c r="M39" s="784" t="s">
        <v>224</v>
      </c>
      <c r="N39" s="785">
        <v>32</v>
      </c>
      <c r="O39" s="786">
        <v>10.58693339</v>
      </c>
      <c r="P39" s="786">
        <v>0.44467966187836022</v>
      </c>
      <c r="T39" s="826" t="s">
        <v>78</v>
      </c>
      <c r="U39" s="827">
        <v>0.43627004394256397</v>
      </c>
      <c r="V39" s="828">
        <v>0.39055398275521225</v>
      </c>
      <c r="W39" s="801"/>
      <c r="X39" s="826"/>
      <c r="Y39" s="827"/>
    </row>
    <row r="40" spans="1:25">
      <c r="A40" s="136"/>
      <c r="B40" s="138"/>
      <c r="C40" s="138"/>
      <c r="D40" s="138"/>
      <c r="E40" s="138"/>
      <c r="F40" s="138"/>
      <c r="G40" s="138"/>
      <c r="H40" s="138"/>
      <c r="I40" s="138"/>
      <c r="J40" s="138"/>
      <c r="K40" s="138"/>
      <c r="L40" s="784" t="s">
        <v>515</v>
      </c>
      <c r="M40" s="784" t="s">
        <v>81</v>
      </c>
      <c r="N40" s="785">
        <v>144.47999999999999</v>
      </c>
      <c r="O40" s="786">
        <v>44.343811827499998</v>
      </c>
      <c r="P40" s="786">
        <v>0.41252697686605438</v>
      </c>
      <c r="S40" s="826" t="s">
        <v>533</v>
      </c>
      <c r="T40" s="826" t="s">
        <v>82</v>
      </c>
      <c r="U40" s="827">
        <v>0.33751199992865288</v>
      </c>
      <c r="V40" s="828">
        <v>0.34049667292736874</v>
      </c>
      <c r="W40" s="801"/>
      <c r="X40" s="826"/>
      <c r="Y40" s="827"/>
    </row>
    <row r="41" spans="1:25">
      <c r="A41" s="136"/>
      <c r="B41" s="138"/>
      <c r="C41" s="138"/>
      <c r="D41" s="138"/>
      <c r="E41" s="138"/>
      <c r="F41" s="138"/>
      <c r="G41" s="138"/>
      <c r="H41" s="138"/>
      <c r="I41" s="138"/>
      <c r="J41" s="138"/>
      <c r="K41" s="138"/>
      <c r="L41" s="784" t="s">
        <v>516</v>
      </c>
      <c r="M41" s="784" t="s">
        <v>81</v>
      </c>
      <c r="N41" s="785">
        <v>44.54</v>
      </c>
      <c r="O41" s="786">
        <v>11.219323107500001</v>
      </c>
      <c r="P41" s="786">
        <v>0.33856612841362843</v>
      </c>
      <c r="T41" s="826" t="s">
        <v>515</v>
      </c>
      <c r="U41" s="827">
        <v>0.3342356266406657</v>
      </c>
      <c r="V41" s="828">
        <v>0.30819540921014227</v>
      </c>
      <c r="W41" s="801"/>
      <c r="X41" s="826"/>
      <c r="Y41" s="827"/>
    </row>
    <row r="42" spans="1:25">
      <c r="A42" s="136"/>
      <c r="B42" s="138"/>
      <c r="C42" s="138"/>
      <c r="D42" s="138"/>
      <c r="E42" s="138"/>
      <c r="F42" s="138"/>
      <c r="G42" s="138"/>
      <c r="H42" s="138"/>
      <c r="I42" s="138"/>
      <c r="J42" s="138"/>
      <c r="K42" s="138"/>
      <c r="L42" s="784" t="s">
        <v>243</v>
      </c>
      <c r="M42" s="784" t="s">
        <v>81</v>
      </c>
      <c r="N42" s="785">
        <v>20</v>
      </c>
      <c r="O42" s="786">
        <v>5.1118561224999999</v>
      </c>
      <c r="P42" s="786">
        <v>0.34353871790994628</v>
      </c>
      <c r="T42" s="826" t="s">
        <v>243</v>
      </c>
      <c r="U42" s="827">
        <v>0.29281275777682653</v>
      </c>
      <c r="V42" s="828">
        <v>0.29663191695205482</v>
      </c>
      <c r="W42" s="801"/>
      <c r="X42" s="826"/>
      <c r="Y42" s="827"/>
    </row>
    <row r="43" spans="1:25" ht="36" customHeight="1">
      <c r="A43" s="885"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diciembre 2019.
Nota: Son consideradas las centrales con operación comercial</v>
      </c>
      <c r="B43" s="885"/>
      <c r="C43" s="885"/>
      <c r="D43" s="885"/>
      <c r="E43" s="885"/>
      <c r="F43" s="885"/>
      <c r="G43" s="885"/>
      <c r="H43" s="885"/>
      <c r="I43" s="885"/>
      <c r="J43" s="885"/>
      <c r="K43" s="885"/>
      <c r="L43" s="784" t="s">
        <v>82</v>
      </c>
      <c r="M43" s="784" t="s">
        <v>81</v>
      </c>
      <c r="N43" s="785">
        <v>16</v>
      </c>
      <c r="O43" s="786">
        <v>4.7135483574999997</v>
      </c>
      <c r="P43" s="786">
        <v>0.395963403687836</v>
      </c>
      <c r="T43" s="826" t="s">
        <v>516</v>
      </c>
      <c r="U43" s="827">
        <v>0.27086007030517945</v>
      </c>
      <c r="V43" s="828">
        <v>0.27536111039932626</v>
      </c>
      <c r="W43" s="801"/>
      <c r="X43" s="826"/>
      <c r="Y43" s="827"/>
    </row>
    <row r="44" spans="1:25" ht="18" customHeight="1">
      <c r="A44" s="136"/>
      <c r="B44" s="138"/>
      <c r="C44" s="138"/>
      <c r="D44" s="138"/>
      <c r="E44" s="138"/>
      <c r="F44" s="138"/>
      <c r="G44" s="138"/>
      <c r="H44" s="138"/>
      <c r="I44" s="138"/>
      <c r="J44" s="138"/>
      <c r="K44" s="138"/>
      <c r="L44" s="784" t="s">
        <v>242</v>
      </c>
      <c r="M44" s="784" t="s">
        <v>81</v>
      </c>
      <c r="N44" s="785">
        <v>20</v>
      </c>
      <c r="O44" s="786">
        <v>4.1535138974999999</v>
      </c>
      <c r="P44" s="786">
        <v>0.27913399848790321</v>
      </c>
      <c r="T44" s="826" t="s">
        <v>242</v>
      </c>
      <c r="U44" s="827">
        <v>0.26680857133276253</v>
      </c>
      <c r="V44" s="828">
        <v>0.27537398849885847</v>
      </c>
      <c r="W44" s="801"/>
      <c r="X44" s="826"/>
      <c r="Y44" s="827"/>
    </row>
    <row r="45" spans="1:25" ht="12">
      <c r="A45" s="136"/>
      <c r="B45" s="138"/>
      <c r="C45" s="899" t="str">
        <f>"Factor de planta de las centrales RER  Acumulado al "&amp;'1. Resumen'!Q7&amp;" de "&amp;'1. Resumen'!Q4</f>
        <v>Factor de planta de las centrales RER  Acumulado al 31 de diciembre</v>
      </c>
      <c r="D45" s="899"/>
      <c r="E45" s="899"/>
      <c r="F45" s="899"/>
      <c r="G45" s="899"/>
      <c r="H45" s="899"/>
      <c r="I45" s="899"/>
      <c r="J45" s="138"/>
      <c r="K45" s="138"/>
      <c r="L45" s="784" t="s">
        <v>244</v>
      </c>
      <c r="M45" s="784" t="s">
        <v>81</v>
      </c>
      <c r="N45" s="785">
        <v>20</v>
      </c>
      <c r="O45" s="786">
        <v>4.0165161999999999</v>
      </c>
      <c r="P45" s="786">
        <v>0.26992716397849464</v>
      </c>
      <c r="T45" s="826" t="s">
        <v>244</v>
      </c>
      <c r="U45" s="827">
        <v>0.25275814591894968</v>
      </c>
      <c r="V45" s="828">
        <v>0.25388001660958903</v>
      </c>
      <c r="W45" s="801"/>
      <c r="X45" s="826"/>
      <c r="Y45" s="827"/>
    </row>
    <row r="46" spans="1:25" ht="9.75" customHeight="1">
      <c r="A46" s="136"/>
      <c r="B46" s="138"/>
      <c r="C46" s="138"/>
      <c r="D46" s="138"/>
      <c r="E46" s="138"/>
      <c r="F46" s="138"/>
      <c r="G46" s="138"/>
      <c r="H46" s="138"/>
      <c r="I46" s="138"/>
      <c r="J46" s="138"/>
      <c r="K46" s="138"/>
      <c r="L46" s="784" t="s">
        <v>83</v>
      </c>
      <c r="M46" s="784" t="s">
        <v>81</v>
      </c>
      <c r="N46" s="785">
        <v>20</v>
      </c>
      <c r="O46" s="786">
        <v>3.9413794699999998</v>
      </c>
      <c r="P46" s="786">
        <v>0.26487765255376344</v>
      </c>
      <c r="T46" s="826" t="s">
        <v>83</v>
      </c>
      <c r="U46" s="827">
        <v>0.24763715602168948</v>
      </c>
      <c r="V46" s="828">
        <v>0.23569123025114158</v>
      </c>
      <c r="W46" s="801"/>
      <c r="X46" s="826"/>
      <c r="Y46" s="827"/>
    </row>
    <row r="47" spans="1:25" ht="9.75" customHeight="1">
      <c r="A47" s="136"/>
      <c r="B47" s="138"/>
      <c r="C47" s="138"/>
      <c r="D47" s="138"/>
      <c r="E47" s="138"/>
      <c r="F47" s="138"/>
      <c r="G47" s="138"/>
      <c r="H47" s="138"/>
      <c r="I47" s="138"/>
      <c r="J47" s="138"/>
      <c r="K47" s="138"/>
      <c r="L47" s="784" t="s">
        <v>84</v>
      </c>
      <c r="M47" s="784" t="s">
        <v>463</v>
      </c>
      <c r="N47" s="785">
        <v>12.74105</v>
      </c>
      <c r="O47" s="786">
        <v>9.2241424849999998</v>
      </c>
      <c r="P47" s="786">
        <v>0.97307843344640887</v>
      </c>
      <c r="S47" s="826" t="s">
        <v>534</v>
      </c>
      <c r="T47" s="826" t="s">
        <v>85</v>
      </c>
      <c r="U47" s="827">
        <v>0.90537404183237569</v>
      </c>
      <c r="V47" s="828">
        <v>0.81013708057151257</v>
      </c>
      <c r="X47" s="826"/>
      <c r="Y47" s="827"/>
    </row>
    <row r="48" spans="1:25" ht="9.75" customHeight="1">
      <c r="A48" s="136"/>
      <c r="B48" s="138"/>
      <c r="C48" s="138"/>
      <c r="D48" s="138"/>
      <c r="E48" s="138"/>
      <c r="F48" s="138"/>
      <c r="G48" s="138"/>
      <c r="H48" s="138"/>
      <c r="I48" s="138"/>
      <c r="J48" s="138"/>
      <c r="K48" s="138"/>
      <c r="L48" s="784" t="s">
        <v>85</v>
      </c>
      <c r="M48" s="784" t="s">
        <v>463</v>
      </c>
      <c r="N48" s="785">
        <v>4.2625000000000002</v>
      </c>
      <c r="O48" s="786">
        <v>2.840626275</v>
      </c>
      <c r="P48" s="786">
        <v>0.89572928294390308</v>
      </c>
      <c r="T48" s="826" t="s">
        <v>84</v>
      </c>
      <c r="U48" s="827">
        <v>0.87134051816908875</v>
      </c>
      <c r="V48" s="828">
        <v>0.8025814673175814</v>
      </c>
      <c r="X48" s="826"/>
      <c r="Y48" s="827"/>
    </row>
    <row r="49" spans="1:25" ht="9.75" customHeight="1">
      <c r="A49" s="136"/>
      <c r="B49" s="138"/>
      <c r="C49" s="138"/>
      <c r="D49" s="138"/>
      <c r="E49" s="138"/>
      <c r="F49" s="138"/>
      <c r="G49" s="138"/>
      <c r="H49" s="138"/>
      <c r="I49" s="138"/>
      <c r="J49" s="138"/>
      <c r="K49" s="138"/>
      <c r="L49" s="784" t="s">
        <v>517</v>
      </c>
      <c r="M49" s="784" t="s">
        <v>463</v>
      </c>
      <c r="N49" s="785">
        <v>2.4</v>
      </c>
      <c r="O49" s="786">
        <v>1.5055900250000001</v>
      </c>
      <c r="P49" s="786">
        <v>0.84318437780017919</v>
      </c>
      <c r="T49" s="826" t="s">
        <v>517</v>
      </c>
      <c r="U49" s="827">
        <v>0.70362049752663647</v>
      </c>
      <c r="V49" s="828">
        <v>0.29804004304604265</v>
      </c>
      <c r="X49" s="826"/>
      <c r="Y49" s="827"/>
    </row>
    <row r="50" spans="1:25" ht="9.75" customHeight="1">
      <c r="A50" s="136"/>
      <c r="B50" s="138"/>
      <c r="C50" s="138"/>
      <c r="D50" s="138"/>
      <c r="E50" s="138"/>
      <c r="F50" s="138"/>
      <c r="G50" s="138"/>
      <c r="H50" s="138"/>
      <c r="I50" s="138"/>
      <c r="J50" s="138"/>
      <c r="K50" s="138"/>
      <c r="L50" s="784" t="s">
        <v>86</v>
      </c>
      <c r="M50" s="784" t="s">
        <v>463</v>
      </c>
      <c r="N50" s="785">
        <v>2.9537</v>
      </c>
      <c r="O50" s="786">
        <v>0.30642174999999999</v>
      </c>
      <c r="P50" s="786">
        <v>0.13943771908461083</v>
      </c>
      <c r="T50" s="826" t="s">
        <v>86</v>
      </c>
      <c r="U50" s="827">
        <v>0.65789340014760511</v>
      </c>
      <c r="V50" s="828">
        <v>0.544182319389519</v>
      </c>
    </row>
    <row r="51" spans="1:25" ht="9.75" customHeight="1">
      <c r="A51" s="136"/>
      <c r="B51" s="138"/>
      <c r="C51" s="138"/>
      <c r="D51" s="138"/>
      <c r="E51" s="138"/>
      <c r="F51" s="138"/>
      <c r="G51" s="138"/>
      <c r="H51" s="138"/>
      <c r="I51" s="138"/>
      <c r="J51" s="138"/>
      <c r="K51" s="138"/>
    </row>
    <row r="52" spans="1:25" ht="9.75" customHeight="1">
      <c r="A52" s="136"/>
      <c r="B52" s="138"/>
      <c r="C52" s="138"/>
      <c r="D52" s="138"/>
      <c r="E52" s="138"/>
      <c r="F52" s="138"/>
      <c r="G52" s="138"/>
      <c r="H52" s="138"/>
      <c r="I52" s="138"/>
      <c r="J52" s="138"/>
      <c r="K52" s="138"/>
    </row>
    <row r="53" spans="1:25" ht="9.75" customHeight="1">
      <c r="B53" s="138"/>
      <c r="C53" s="138"/>
      <c r="D53" s="138"/>
      <c r="E53" s="138"/>
      <c r="F53" s="138"/>
      <c r="G53" s="138"/>
      <c r="H53" s="138"/>
      <c r="I53" s="138"/>
      <c r="J53" s="138"/>
      <c r="K53" s="138"/>
    </row>
    <row r="54" spans="1:25" ht="9.75" customHeight="1"/>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885"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diciembre.
Nota: Son consideradas las centrales con operación comercial</v>
      </c>
      <c r="B64" s="885"/>
      <c r="C64" s="885"/>
      <c r="D64" s="885"/>
      <c r="E64" s="885"/>
      <c r="F64" s="885"/>
      <c r="G64" s="885"/>
      <c r="H64" s="885"/>
      <c r="I64" s="885"/>
      <c r="J64" s="885"/>
      <c r="K64" s="885"/>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Diciembre 2019
INFSGI-MES-12-2019
15/01/2020
Versión: 01</oddHeader>
    <oddFooter>&amp;L&amp;7COES, 2019&amp;C6&amp;R&amp;7Dirección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20</vt:i4>
      </vt:variant>
    </vt:vector>
  </HeadingPairs>
  <TitlesOfParts>
    <vt:vector size="49" baseType="lpstr">
      <vt:lpstr>Portada </vt:lpstr>
      <vt:lpstr>Índice</vt:lpstr>
      <vt:lpstr>1. Resumen</vt:lpstr>
      <vt:lpstr>2. Oferta de generación</vt:lpstr>
      <vt:lpstr>3. Tipo Generación</vt:lpstr>
      <vt:lpstr>4. Tipo Recurso</vt:lpstr>
      <vt:lpstr>5. RER</vt:lpstr>
      <vt:lpstr>7. Generacion empresa</vt:lpstr>
      <vt:lpstr>6. FP RER</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'26.ANEXO III -2'!Print_Area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Edgar Egusquiza</cp:lastModifiedBy>
  <cp:lastPrinted>2020-01-20T23:05:06Z</cp:lastPrinted>
  <dcterms:created xsi:type="dcterms:W3CDTF">2018-02-13T14:18:17Z</dcterms:created>
  <dcterms:modified xsi:type="dcterms:W3CDTF">2020-01-20T23:06:05Z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ies>
</file>