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fs\Areas\SGI\1-SGI_IE   Informes - Estadistica\INFORMES\03 Informe Mensual\2019\"/>
    </mc:Choice>
  </mc:AlternateContent>
  <xr:revisionPtr revIDLastSave="0" documentId="13_ncr:1_{7DE06AAD-DB7E-41BC-B19B-24C4F87D0B76}" xr6:coauthVersionLast="43" xr6:coauthVersionMax="43" xr10:uidLastSave="{00000000-0000-0000-0000-000000000000}"/>
  <bookViews>
    <workbookView xWindow="-120" yWindow="-120" windowWidth="29040" windowHeight="15840" tabRatio="1000"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47" r:id="rId27"/>
    <sheet name="26.ANEXO III -2" sheetId="48" r:id="rId28"/>
    <sheet name="27.ANEXO III - 3" sheetId="49" r:id="rId29"/>
    <sheet name="28.ANEXO III - 4" sheetId="50" r:id="rId30"/>
    <sheet name="29.ANEXO III - 5" sheetId="51" r:id="rId31"/>
    <sheet name="30.ANEXO III -6" sheetId="52" r:id="rId32"/>
    <sheet name="31.ANEXOIII - 7" sheetId="53" r:id="rId33"/>
    <sheet name="32.ANEXOIII - 8" sheetId="62" r:id="rId34"/>
    <sheet name="Contraportada" sheetId="59" r:id="rId35"/>
  </sheets>
  <definedNames>
    <definedName name="_xlnm._FilterDatabase" localSheetId="7" hidden="1">'6. FP RER'!$T$51:$V$54</definedName>
    <definedName name="_xlnm._FilterDatabase" localSheetId="8" hidden="1">'7. Generacion empresa'!$L$4:$N$61</definedName>
    <definedName name="_xlnm._FilterDatabase" localSheetId="10" hidden="1">'9. Pot. Empresa'!$L$6:$N$63</definedName>
    <definedName name="_xlnm.Print_Area" localSheetId="2">'1. Resumen'!$A$1:$M$50</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generación'!$A$1:$J$63</definedName>
    <definedName name="_xlnm.Print_Area" localSheetId="27">'26.ANEXO III -2'!$A$1:$F$10</definedName>
    <definedName name="_xlnm.Print_Area" localSheetId="30">'29.ANEXO III - 5'!$A$1:$F$10</definedName>
    <definedName name="_xlnm.Print_Area" localSheetId="31">'30.ANEXO III -6'!$A$1:$F$9</definedName>
    <definedName name="_xlnm.Print_Area" localSheetId="33">'32.ANEXOIII - 8'!$A$1:$F$9</definedName>
    <definedName name="_xlnm.Print_Area" localSheetId="6">'5. RER'!$A$1:$K$61</definedName>
    <definedName name="_xlnm.Print_Area" localSheetId="7">'6. FP RER'!$A$1:$K$64</definedName>
    <definedName name="_xlnm.Print_Area" localSheetId="8">'7. Generacion empresa'!$A$1:$J$68</definedName>
    <definedName name="_xlnm.Print_Area" localSheetId="10">'9. Pot. Empresa'!$A$1:$J$70</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8" i="12" l="1"/>
  <c r="F18" i="12"/>
  <c r="J14" i="12"/>
  <c r="K14" i="12" s="1"/>
  <c r="H14" i="12"/>
  <c r="I14" i="12" s="1"/>
  <c r="G14" i="12"/>
  <c r="E14" i="12"/>
  <c r="F14" i="12" s="1"/>
  <c r="D14" i="12"/>
  <c r="C14" i="12"/>
  <c r="B14" i="12"/>
  <c r="G11" i="9" l="1"/>
  <c r="H11" i="9"/>
  <c r="F14" i="7" l="1"/>
  <c r="I14" i="7"/>
  <c r="K14" i="7"/>
  <c r="F15" i="7"/>
  <c r="I15" i="7"/>
  <c r="K15" i="7"/>
  <c r="C3" i="4"/>
  <c r="F46" i="36" l="1"/>
  <c r="F45" i="36"/>
  <c r="F50" i="46"/>
  <c r="F70" i="45"/>
  <c r="F69" i="45"/>
  <c r="F68" i="45"/>
  <c r="F67" i="45"/>
  <c r="F66" i="45"/>
  <c r="F65" i="45"/>
  <c r="F64" i="45"/>
  <c r="F63" i="45"/>
  <c r="F62" i="45"/>
  <c r="F61" i="45"/>
  <c r="F60" i="45"/>
  <c r="F59" i="45"/>
  <c r="F58" i="45"/>
  <c r="F57" i="45"/>
  <c r="F56" i="45"/>
  <c r="F55" i="45"/>
  <c r="F54" i="45"/>
  <c r="F53" i="45"/>
  <c r="F52" i="45"/>
  <c r="F51" i="45"/>
  <c r="F50" i="45"/>
  <c r="F49" i="45"/>
  <c r="F48" i="45"/>
  <c r="F47" i="45"/>
  <c r="F46" i="45"/>
  <c r="F45" i="45"/>
  <c r="F44" i="45"/>
  <c r="F43" i="45"/>
  <c r="F42" i="45"/>
  <c r="F41" i="45"/>
  <c r="F40" i="45"/>
  <c r="F39" i="45"/>
  <c r="F38" i="45"/>
  <c r="F37" i="45"/>
  <c r="F36" i="45"/>
  <c r="F35" i="45"/>
  <c r="F34" i="45"/>
  <c r="F33" i="45"/>
  <c r="F32" i="45"/>
  <c r="F31" i="45"/>
  <c r="F30" i="45"/>
  <c r="F29" i="45"/>
  <c r="F28" i="45"/>
  <c r="F27" i="45"/>
  <c r="F26" i="45"/>
  <c r="F25" i="45"/>
  <c r="F24" i="45"/>
  <c r="F23" i="45"/>
  <c r="F22" i="45"/>
  <c r="F21" i="45"/>
  <c r="F20" i="45"/>
  <c r="F19" i="45"/>
  <c r="F18" i="45"/>
  <c r="F17" i="45"/>
  <c r="F16" i="45"/>
  <c r="F15" i="45"/>
  <c r="F14" i="45"/>
  <c r="F13" i="45"/>
  <c r="F12" i="45"/>
  <c r="F11" i="45"/>
  <c r="F10" i="45"/>
  <c r="F9" i="45"/>
  <c r="F8" i="45"/>
  <c r="F7" i="45"/>
  <c r="F6" i="45"/>
  <c r="F5" i="45"/>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4" i="36"/>
  <c r="F43" i="36"/>
  <c r="F42" i="36"/>
  <c r="F41" i="36"/>
  <c r="F40" i="36"/>
  <c r="F39" i="36"/>
  <c r="F38" i="36"/>
  <c r="F37" i="36"/>
  <c r="F36" i="36"/>
  <c r="F35" i="36"/>
  <c r="F34" i="36"/>
  <c r="F33" i="36"/>
  <c r="F32" i="36"/>
  <c r="F31" i="36"/>
  <c r="F30" i="36"/>
  <c r="F29" i="36"/>
  <c r="F28" i="36"/>
  <c r="F27" i="36"/>
  <c r="F26" i="36"/>
  <c r="F25" i="36"/>
  <c r="F24" i="36"/>
  <c r="F23" i="36"/>
  <c r="F20" i="36"/>
  <c r="F19" i="36"/>
  <c r="F18" i="36"/>
  <c r="F17" i="36"/>
  <c r="F16" i="36"/>
  <c r="F15" i="36"/>
  <c r="F14" i="36"/>
  <c r="F13" i="36"/>
  <c r="F12" i="36"/>
  <c r="F11" i="36"/>
  <c r="F10" i="36"/>
  <c r="F9" i="36"/>
  <c r="F8" i="36"/>
  <c r="F7" i="36"/>
  <c r="F6" i="36"/>
  <c r="F7" i="16" l="1"/>
  <c r="F8" i="16"/>
  <c r="F9" i="16"/>
  <c r="F10" i="16"/>
  <c r="F11" i="16"/>
  <c r="F12" i="16"/>
  <c r="F13" i="16"/>
  <c r="F14" i="16"/>
  <c r="F15" i="16"/>
  <c r="F16" i="16"/>
  <c r="F17" i="16"/>
  <c r="F18" i="16"/>
  <c r="F19" i="16"/>
  <c r="F20" i="16"/>
  <c r="F21" i="16"/>
  <c r="F22" i="16"/>
  <c r="F23" i="16"/>
  <c r="F24" i="16"/>
  <c r="F25" i="16"/>
  <c r="F26" i="16"/>
  <c r="F27" i="16"/>
  <c r="F28" i="16"/>
  <c r="F29" i="16"/>
  <c r="F30" i="16"/>
  <c r="C63" i="11"/>
  <c r="B63" i="11"/>
  <c r="D62" i="11"/>
  <c r="F10" i="7"/>
  <c r="F12" i="7"/>
  <c r="M24" i="6"/>
  <c r="M25" i="6"/>
  <c r="I20" i="6"/>
  <c r="H20" i="6"/>
  <c r="J9" i="12" l="1"/>
  <c r="H9" i="12"/>
  <c r="G9" i="12"/>
  <c r="E9" i="12"/>
  <c r="D9" i="12"/>
  <c r="C9" i="12"/>
  <c r="B9" i="12"/>
  <c r="D61" i="13"/>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63" i="11" l="1"/>
  <c r="E11" i="9" l="1"/>
  <c r="D11" i="9"/>
  <c r="C11" i="9"/>
  <c r="B11" i="9"/>
  <c r="D19" i="8"/>
  <c r="C19" i="8"/>
  <c r="B19" i="8"/>
  <c r="E19" i="8"/>
  <c r="F19" i="8" l="1"/>
  <c r="G24" i="21"/>
  <c r="I7" i="22" l="1"/>
  <c r="I11" i="22"/>
  <c r="B47" i="4" l="1"/>
  <c r="A9" i="4"/>
  <c r="A57" i="21" l="1"/>
  <c r="H12" i="22"/>
  <c r="A64" i="10" l="1"/>
  <c r="A43" i="10"/>
  <c r="A61" i="9"/>
  <c r="A34" i="9"/>
  <c r="A63" i="8"/>
  <c r="B49" i="4" l="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E25" i="21" l="1"/>
  <c r="F25" i="21"/>
  <c r="D25" i="21"/>
  <c r="M27" i="6" l="1"/>
  <c r="F2" i="38" l="1"/>
  <c r="J12" i="22" l="1"/>
  <c r="F9" i="8" l="1"/>
  <c r="C28" i="14" l="1"/>
  <c r="G25" i="21" l="1"/>
  <c r="C64" i="13"/>
  <c r="B64" i="13"/>
  <c r="D64" i="13" l="1"/>
  <c r="N29" i="18"/>
  <c r="N28" i="18"/>
  <c r="N27" i="18"/>
  <c r="N26" i="18"/>
  <c r="N25" i="18"/>
  <c r="N24" i="18"/>
  <c r="N23" i="18"/>
  <c r="N20" i="18"/>
  <c r="N19" i="18"/>
  <c r="N18" i="18"/>
  <c r="N17" i="18"/>
  <c r="N16" i="18"/>
  <c r="N15" i="18"/>
  <c r="N14" i="18"/>
  <c r="N12" i="18"/>
  <c r="N11" i="18"/>
  <c r="N10" i="18"/>
  <c r="N9" i="18"/>
  <c r="N8" i="18"/>
  <c r="B12" i="22" l="1"/>
  <c r="H47" i="4" l="1"/>
  <c r="B37" i="6" l="1"/>
  <c r="A53" i="22" l="1"/>
  <c r="B58" i="18"/>
  <c r="B40" i="18"/>
  <c r="B21" i="18"/>
  <c r="A58" i="12"/>
  <c r="F65" i="13"/>
  <c r="M23" i="6" l="1"/>
  <c r="B18" i="12" l="1"/>
  <c r="B20" i="12" s="1"/>
  <c r="C18" i="12"/>
  <c r="D18" i="12"/>
  <c r="E18" i="12"/>
  <c r="G18" i="12"/>
  <c r="H18" i="12"/>
  <c r="J18" i="12"/>
  <c r="H7" i="21" l="1"/>
  <c r="F44" i="6" l="1"/>
  <c r="F46" i="6"/>
  <c r="F11" i="14" l="1"/>
  <c r="F45" i="6" l="1"/>
  <c r="F43" i="6"/>
  <c r="A58" i="7" l="1"/>
  <c r="E42" i="6"/>
  <c r="E64" i="11" l="1"/>
  <c r="A64" i="11"/>
  <c r="C45" i="10"/>
  <c r="D3" i="36" l="1"/>
  <c r="D2" i="45" s="1"/>
  <c r="D2" i="46" s="1"/>
  <c r="C3" i="36"/>
  <c r="C2" i="45" s="1"/>
  <c r="C2" i="46" s="1"/>
  <c r="F2" i="37"/>
  <c r="F3" i="23"/>
  <c r="C2" i="23"/>
  <c r="C1" i="37" s="1"/>
  <c r="C1" i="38" s="1"/>
  <c r="A38" i="22"/>
  <c r="E17" i="22"/>
  <c r="A17" i="22"/>
  <c r="A13" i="22"/>
  <c r="A26" i="21"/>
  <c r="F6" i="21"/>
  <c r="E6" i="21"/>
  <c r="D6" i="21"/>
  <c r="B47" i="18"/>
  <c r="B28" i="18"/>
  <c r="B10" i="18"/>
  <c r="C31" i="16"/>
  <c r="E6" i="16"/>
  <c r="D6" i="16"/>
  <c r="A65" i="13"/>
  <c r="B3" i="13"/>
  <c r="B5" i="11"/>
  <c r="C5" i="11" s="1"/>
  <c r="B4" i="11"/>
  <c r="G6" i="7"/>
  <c r="G4" i="8" s="1"/>
  <c r="G4" i="9" s="1"/>
  <c r="D7" i="7"/>
  <c r="E7" i="7" s="1"/>
  <c r="A63" i="6"/>
  <c r="B48" i="6"/>
  <c r="A21" i="6"/>
  <c r="D5" i="8" l="1"/>
  <c r="C7" i="7"/>
  <c r="B7" i="7" s="1"/>
  <c r="B5" i="8" s="1"/>
  <c r="D4" i="46"/>
  <c r="C4" i="46"/>
  <c r="D3" i="46"/>
  <c r="C3" i="46"/>
  <c r="D4" i="45"/>
  <c r="C4" i="45"/>
  <c r="D3" i="45"/>
  <c r="C3" i="45"/>
  <c r="D4" i="36"/>
  <c r="D5" i="36"/>
  <c r="C5" i="36"/>
  <c r="C4" i="36"/>
  <c r="C6" i="13" l="1"/>
  <c r="B6" i="13"/>
  <c r="C5" i="13"/>
  <c r="B5" i="13"/>
  <c r="C5" i="8" l="1"/>
  <c r="C5" i="9" s="1"/>
  <c r="C7" i="12" s="1"/>
  <c r="D5" i="9"/>
  <c r="D7" i="12" s="1"/>
  <c r="B5" i="9"/>
  <c r="B7" i="12" s="1"/>
  <c r="J23" i="8"/>
  <c r="E23" i="8"/>
  <c r="D23" i="8"/>
  <c r="C23" i="8"/>
  <c r="B23" i="8"/>
  <c r="K22" i="8"/>
  <c r="F22" i="8"/>
  <c r="K21" i="8"/>
  <c r="I21" i="8"/>
  <c r="F21" i="8"/>
  <c r="F8" i="8"/>
  <c r="A2" i="8"/>
  <c r="A4" i="7"/>
  <c r="D42" i="6"/>
  <c r="E47" i="6"/>
  <c r="D47" i="6"/>
  <c r="F39" i="9" l="1"/>
  <c r="F47" i="6"/>
  <c r="B12" i="9"/>
  <c r="G23" i="8"/>
  <c r="H23" i="8"/>
  <c r="I22" i="8"/>
  <c r="I20" i="4" l="1"/>
  <c r="C20" i="4"/>
  <c r="G12" i="22"/>
  <c r="F12" i="22"/>
  <c r="E12" i="22"/>
  <c r="D12" i="22"/>
  <c r="C12" i="22"/>
  <c r="H25" i="21"/>
  <c r="F27" i="14"/>
  <c r="F26" i="14"/>
  <c r="F25" i="14"/>
  <c r="F24" i="14"/>
  <c r="F23" i="14"/>
  <c r="F22" i="14"/>
  <c r="F21" i="14"/>
  <c r="F20" i="14"/>
  <c r="F19" i="14"/>
  <c r="F18" i="14"/>
  <c r="F17" i="14"/>
  <c r="F16" i="14"/>
  <c r="F15" i="14"/>
  <c r="F14" i="14"/>
  <c r="F13" i="14"/>
  <c r="F12" i="14"/>
  <c r="F10" i="14"/>
  <c r="F9" i="14"/>
  <c r="F8" i="14"/>
  <c r="F7" i="14"/>
  <c r="K16" i="12"/>
  <c r="K13" i="12"/>
  <c r="I13" i="12"/>
  <c r="F13" i="12"/>
  <c r="K12" i="12"/>
  <c r="I12" i="12"/>
  <c r="F12" i="12"/>
  <c r="K11" i="12"/>
  <c r="I11" i="12"/>
  <c r="F11" i="12"/>
  <c r="K10" i="12"/>
  <c r="I10" i="12"/>
  <c r="D2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F14" i="8"/>
  <c r="K13" i="8"/>
  <c r="I13" i="8"/>
  <c r="F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I12" i="22" l="1"/>
  <c r="K18" i="12"/>
  <c r="G20" i="12"/>
  <c r="H20" i="12"/>
  <c r="J20" i="12"/>
  <c r="F10" i="12"/>
  <c r="K17" i="12"/>
  <c r="E12" i="9"/>
  <c r="C12" i="9"/>
  <c r="J11" i="9"/>
  <c r="K7" i="9"/>
  <c r="I6" i="9"/>
  <c r="G19" i="8"/>
  <c r="F7" i="8"/>
  <c r="H19" i="8"/>
  <c r="J19" i="8"/>
  <c r="I12" i="7"/>
  <c r="E5" i="8"/>
  <c r="E5" i="9" s="1"/>
  <c r="E7" i="12" s="1"/>
  <c r="I19" i="8" l="1"/>
  <c r="I20" i="12"/>
  <c r="K20" i="12"/>
  <c r="F40" i="9"/>
  <c r="M39" i="9" s="1"/>
  <c r="D12" i="9"/>
  <c r="E20" i="12"/>
  <c r="F20" i="12" s="1"/>
  <c r="K19" i="8"/>
  <c r="J12" i="9"/>
  <c r="G12" i="9"/>
  <c r="K12" i="7"/>
  <c r="I11" i="9"/>
  <c r="H12" i="9"/>
  <c r="F11" i="9"/>
  <c r="K11" i="9"/>
</calcChain>
</file>

<file path=xl/sharedStrings.xml><?xml version="1.0" encoding="utf-8"?>
<sst xmlns="http://schemas.openxmlformats.org/spreadsheetml/2006/main" count="1783" uniqueCount="846">
  <si>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</si>
  <si>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</si>
  <si>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</si>
  <si>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</si>
  <si>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</si>
  <si>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</si>
  <si>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</si>
  <si>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</si>
  <si>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</si>
  <si>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</si>
  <si>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</si>
  <si>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</si>
  <si>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</si>
  <si>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</si>
  <si>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</si>
  <si>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</si>
  <si>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</si>
  <si>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</si>
  <si>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</si>
  <si>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</si>
  <si>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</si>
  <si>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</si>
  <si>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</si>
  <si>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</si>
  <si>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</si>
  <si>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</si>
  <si>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</si>
  <si>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</si>
  <si>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</si>
  <si>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</si>
  <si>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</si>
  <si>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</si>
  <si>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</si>
  <si>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</si>
  <si>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</si>
  <si>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</si>
  <si>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Var (%)
2017/2016</t>
  </si>
  <si>
    <t>Hidroeléctrica</t>
  </si>
  <si>
    <t>Termoeléctrica</t>
  </si>
  <si>
    <t>Eólica</t>
  </si>
  <si>
    <t>Importación</t>
  </si>
  <si>
    <t>Exportación</t>
  </si>
  <si>
    <t>Intercambios Internacionales</t>
  </si>
  <si>
    <t>Var (%)
2018/2017</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</si>
  <si>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</si>
  <si>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</si>
  <si>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</si>
  <si>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</si>
  <si>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</si>
  <si>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</si>
  <si>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</si>
  <si>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</si>
  <si>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</si>
  <si>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</si>
  <si>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</si>
  <si>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</si>
  <si>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</si>
  <si>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</si>
  <si>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</si>
  <si>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</si>
  <si>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</si>
  <si>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</si>
  <si>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</si>
  <si>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</si>
  <si>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</si>
  <si>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</si>
  <si>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</si>
  <si>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</si>
  <si>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</si>
  <si>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</si>
  <si>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</si>
  <si>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</si>
  <si>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</si>
  <si>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</si>
  <si>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</si>
  <si>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</si>
  <si>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</si>
  <si>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</si>
  <si>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</si>
  <si>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EOLICA</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</si>
  <si>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</si>
  <si>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</si>
  <si>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</si>
  <si>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</si>
  <si>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</si>
  <si>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</si>
  <si>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</si>
  <si>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</si>
  <si>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</si>
  <si>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</si>
  <si>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</si>
  <si>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</si>
  <si>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</si>
  <si>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</si>
  <si>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</si>
  <si>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</si>
  <si>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</si>
  <si>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</si>
  <si>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</si>
  <si>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</si>
  <si>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</si>
  <si>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</si>
  <si>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</si>
  <si>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</si>
  <si>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</si>
  <si>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</si>
  <si>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</si>
  <si>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</si>
  <si>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</si>
  <si>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</si>
  <si>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</si>
  <si>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</si>
  <si>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</si>
  <si>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</si>
  <si>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</si>
  <si>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</si>
  <si>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</si>
  <si>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</si>
  <si>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</si>
  <si>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</si>
  <si>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</si>
  <si>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IYEPSA</t>
  </si>
  <si>
    <t>ELECTRICA SANTA ROSA</t>
  </si>
  <si>
    <t>SHOUGESA</t>
  </si>
  <si>
    <t>AGUA AZUL</t>
  </si>
  <si>
    <t>AGROAURORA</t>
  </si>
  <si>
    <t>RIO BAÑOS</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</si>
  <si>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</si>
  <si>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</si>
  <si>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</si>
  <si>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</si>
  <si>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</si>
  <si>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</si>
  <si>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</si>
  <si>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</si>
  <si>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</si>
  <si>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</si>
  <si>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</si>
  <si>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</si>
  <si>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</si>
  <si>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</si>
  <si>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</si>
  <si>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</si>
  <si>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</si>
  <si>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</si>
  <si>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</si>
  <si>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</si>
  <si>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</si>
  <si>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</si>
  <si>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</si>
  <si>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</si>
  <si>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</si>
  <si>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</si>
  <si>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</si>
  <si>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</si>
  <si>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</si>
  <si>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</si>
  <si>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</si>
  <si>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</si>
  <si>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</si>
  <si>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</si>
  <si>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</si>
  <si>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</si>
  <si>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</si>
  <si>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</si>
  <si>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</si>
  <si>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</si>
  <si>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</si>
  <si>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</si>
  <si>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</si>
  <si>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</si>
  <si>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</si>
  <si>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</si>
  <si>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</si>
  <si>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</si>
  <si>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</si>
  <si>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</si>
  <si>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</si>
  <si>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</si>
  <si>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CHAVARRIA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</si>
  <si>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</si>
  <si>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</si>
  <si>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</si>
  <si>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</si>
  <si>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</si>
  <si>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</si>
  <si>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</si>
  <si>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</si>
  <si>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</si>
  <si>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</si>
  <si>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</si>
  <si>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</si>
  <si>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</si>
  <si>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</si>
  <si>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</si>
  <si>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Var. (2017/2016)</t>
  </si>
  <si>
    <t>SUR</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</si>
  <si>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</si>
  <si>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</si>
  <si>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</si>
  <si>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</si>
  <si>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</si>
  <si>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</si>
  <si>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</si>
  <si>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</si>
  <si>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</si>
  <si>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</si>
  <si>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</si>
  <si>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</si>
  <si>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</si>
  <si>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</si>
  <si>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</si>
  <si>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</si>
  <si>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</si>
  <si>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</si>
  <si>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</si>
  <si>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</si>
  <si>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</si>
  <si>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</si>
  <si>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</si>
  <si>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</si>
  <si>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</si>
  <si>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Empresa</t>
  </si>
  <si>
    <t>Tipo de Generación</t>
  </si>
  <si>
    <t>Recurso Energético</t>
  </si>
  <si>
    <t>Tipo de Tecnologia</t>
  </si>
  <si>
    <t>Central</t>
  </si>
  <si>
    <t>Unidad</t>
  </si>
  <si>
    <t>2.1.  INGRESO EN OPERACIÓN COMERCIAL AL SEIN</t>
  </si>
  <si>
    <t>ENEL GREEN PERU</t>
  </si>
  <si>
    <t>C.S. Rubí</t>
  </si>
  <si>
    <t>30.01.2018</t>
  </si>
  <si>
    <t>HIDROELÉCTRICA</t>
  </si>
  <si>
    <t>TERMOELÉCTRICA</t>
  </si>
  <si>
    <t>EÓLICA</t>
  </si>
  <si>
    <t>fotovoltaica</t>
  </si>
  <si>
    <t>Tensión  
(kV)</t>
  </si>
  <si>
    <t>Operación Comercial</t>
  </si>
  <si>
    <t>Central Solar</t>
  </si>
  <si>
    <t>POTENCIA INSTALADA (MW)</t>
  </si>
  <si>
    <t>Potencia Instalada (MW)</t>
  </si>
  <si>
    <t>560 880 
Módulos</t>
  </si>
  <si>
    <t>VARIACIÓN
 (%)</t>
  </si>
  <si>
    <t>2.1. Ingreso en Operación Comercial al SEIN</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</si>
  <si>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</si>
  <si>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</si>
  <si>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</si>
  <si>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</si>
  <si>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</si>
  <si>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</si>
  <si>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</si>
  <si>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</si>
  <si>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</si>
  <si>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</si>
  <si>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</si>
  <si>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</si>
  <si>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</si>
  <si>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</si>
  <si>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BIOMASA</t>
  </si>
  <si>
    <t>3.4. FACTOR DE PLANTA DE LAS CENTRALES RER DEL SEIN</t>
  </si>
  <si>
    <t>3.5. PARTICIPACIÓN DE LA PRODUCCIÓN (GWh) POR EMPRESAS INTEGRANTES</t>
  </si>
  <si>
    <t>CERRO VERDE</t>
  </si>
  <si>
    <t>EMGE HUALLAGA</t>
  </si>
  <si>
    <t>EMGE HUANZA</t>
  </si>
  <si>
    <t>EMGE JUNÍN</t>
  </si>
  <si>
    <t>FENIX POWER</t>
  </si>
  <si>
    <t>HUAURA POWER</t>
  </si>
  <si>
    <t>ORAZUL ENERGY PERÚ</t>
  </si>
  <si>
    <t>P.E. MARCONA</t>
  </si>
  <si>
    <t>PLANTA  ETEN</t>
  </si>
  <si>
    <t>SAMAY I</t>
  </si>
  <si>
    <t>SANTA CRUZ</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</si>
  <si>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</si>
  <si>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</si>
  <si>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</si>
  <si>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</si>
  <si>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</si>
  <si>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</si>
  <si>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</si>
  <si>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</si>
  <si>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5.1. VOLÚMEN UTIL DE LOS EMBALSES Y LAGUNAS (Millones de m3)</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</si>
  <si>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</si>
  <si>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</si>
  <si>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</si>
  <si>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</si>
  <si>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</si>
  <si>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</si>
  <si>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</si>
  <si>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</si>
  <si>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</si>
  <si>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</si>
  <si>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</si>
  <si>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</si>
  <si>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</si>
  <si>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</si>
  <si>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</si>
  <si>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</si>
  <si>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</si>
  <si>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</si>
  <si>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</si>
  <si>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</si>
  <si>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</si>
  <si>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</si>
  <si>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</si>
  <si>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</si>
  <si>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</si>
  <si>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</si>
  <si>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</si>
  <si>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</si>
  <si>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AGROAURORA Total</t>
  </si>
  <si>
    <t>AGUA AZUL Total</t>
  </si>
  <si>
    <t>AIPSA Total</t>
  </si>
  <si>
    <t>C.H. PLATANAL</t>
  </si>
  <si>
    <t>CELEPSA Total</t>
  </si>
  <si>
    <t>C.T. RECKA</t>
  </si>
  <si>
    <t>CERRO VERDE Total</t>
  </si>
  <si>
    <t>C.H. CHIMAY</t>
  </si>
  <si>
    <t>C.H. YANANGO</t>
  </si>
  <si>
    <t>CHINANGO Total</t>
  </si>
  <si>
    <t>C.H. CHARCANI I</t>
  </si>
  <si>
    <t>C.H. CHARCANI II</t>
  </si>
  <si>
    <t>C.H. CHARCANI III</t>
  </si>
  <si>
    <t>C.H. CHARCANI IV</t>
  </si>
  <si>
    <t>C.H. CHARCANI V</t>
  </si>
  <si>
    <t>C.H. CHARCANI VI</t>
  </si>
  <si>
    <t>C.T. CHILINA DIESEL</t>
  </si>
  <si>
    <t>C.T. MOLLENDO DIESEL</t>
  </si>
  <si>
    <t>C.T. PISCO</t>
  </si>
  <si>
    <t>EGASA Total</t>
  </si>
  <si>
    <t>EGECSAC Total</t>
  </si>
  <si>
    <t>C.H. MACHUPICCHU</t>
  </si>
  <si>
    <t>EGEMSA Total</t>
  </si>
  <si>
    <t>C.H. ARICOTA I</t>
  </si>
  <si>
    <t>C.H. ARICOTA II</t>
  </si>
  <si>
    <t>C.T. INDEPENDENCIA</t>
  </si>
  <si>
    <t>EGESUR Total</t>
  </si>
  <si>
    <t>ELECTRICA SANTA ROSA Total</t>
  </si>
  <si>
    <t>ELECTRICA YANAPAMPA Total</t>
  </si>
  <si>
    <t>C.H. MANTARO</t>
  </si>
  <si>
    <t>C.H. RESTITUCION</t>
  </si>
  <si>
    <t>C.T. TUMBES</t>
  </si>
  <si>
    <t>ELECTROPERU Total</t>
  </si>
  <si>
    <t>C.H. CHAGLLA</t>
  </si>
  <si>
    <t>P.C.H CHAGLLA</t>
  </si>
  <si>
    <t>EMGE HUALLAGA Total</t>
  </si>
  <si>
    <t>C.H. HUANZA</t>
  </si>
  <si>
    <t>EMGE HUANZA Total</t>
  </si>
  <si>
    <t>EMGE JUNÍN Total</t>
  </si>
  <si>
    <t>C.H. HUAMPANI</t>
  </si>
  <si>
    <t>C.H. HUINCO</t>
  </si>
  <si>
    <t>C.H. MATUCANA</t>
  </si>
  <si>
    <t>C.H. MOYOPAMPA</t>
  </si>
  <si>
    <t>C.T. SANTA ROSA</t>
  </si>
  <si>
    <t>C.T. SANTA ROSA II</t>
  </si>
  <si>
    <t>C.T. VENTANILLA</t>
  </si>
  <si>
    <t>ENEL GENERACION PERU Total</t>
  </si>
  <si>
    <t>C.T. MALACAS 1</t>
  </si>
  <si>
    <t>C.T. MALACAS 2</t>
  </si>
  <si>
    <t>C.T. R.F. DE GENERACION TALARA</t>
  </si>
  <si>
    <t>ENEL GENERACION PIURA Total</t>
  </si>
  <si>
    <t>ENEL GREEN POWER PERU Total</t>
  </si>
  <si>
    <t>ENERGÍA EÓLICA Total</t>
  </si>
  <si>
    <t>C.H. QUITARACSA</t>
  </si>
  <si>
    <t>C.H. YUNCAN</t>
  </si>
  <si>
    <t>C.T. CHILCA 1</t>
  </si>
  <si>
    <t>C.T. CHILCA 2</t>
  </si>
  <si>
    <t>C.T. ILO 2</t>
  </si>
  <si>
    <t>C.T. NEPI</t>
  </si>
  <si>
    <t>C.T. R.F. PLANTA ILO</t>
  </si>
  <si>
    <t>ENGIE Total</t>
  </si>
  <si>
    <t>C.T. FENIX</t>
  </si>
  <si>
    <t>FENIX POWER Total</t>
  </si>
  <si>
    <t>GEPSA Total</t>
  </si>
  <si>
    <t>GTS MAJES Total</t>
  </si>
  <si>
    <t>GTS REPARTICION Total</t>
  </si>
  <si>
    <t>HIDROCAÑETE Total</t>
  </si>
  <si>
    <t>C.H. HUANCHOR</t>
  </si>
  <si>
    <t>HIDROELECTRICA HUANCHOR Total</t>
  </si>
  <si>
    <t>C.H. MARAÑON</t>
  </si>
  <si>
    <t>HUAURA POWER Total</t>
  </si>
  <si>
    <t>C.T. R.F. PTO MALDONADO</t>
  </si>
  <si>
    <t>C.T. R.F. PUCALLPA</t>
  </si>
  <si>
    <t>IYEPSA Total</t>
  </si>
  <si>
    <t>C.T. KALLPA</t>
  </si>
  <si>
    <t>C.T. LAS FLORES</t>
  </si>
  <si>
    <t>M.C.H. CERRO DEL AGUILA</t>
  </si>
  <si>
    <t>KALLPA Total</t>
  </si>
  <si>
    <t>MAJA ENERGIA Total</t>
  </si>
  <si>
    <t>MOQUEGUA FV Total</t>
  </si>
  <si>
    <t>C.H. CAÑON DEL PATO</t>
  </si>
  <si>
    <t>C.H. CARHUAQUERO</t>
  </si>
  <si>
    <t>ORAZUL ENERGY PERÚ Total</t>
  </si>
  <si>
    <t>P.E. MARCONA Total</t>
  </si>
  <si>
    <t>P.E. TRES HERMANAS Total</t>
  </si>
  <si>
    <t>PANAMERICANA SOLAR Total</t>
  </si>
  <si>
    <t>PETRAMAS Total</t>
  </si>
  <si>
    <t>C.T. R. F. GENERACION ETEN</t>
  </si>
  <si>
    <t>PLANTA  ETEN Total</t>
  </si>
  <si>
    <t>RIO DOBLE Total</t>
  </si>
  <si>
    <t>C.T. PUERTO BRAVO</t>
  </si>
  <si>
    <t>SAMAY I Total</t>
  </si>
  <si>
    <t>C.H. SAN GABAN II</t>
  </si>
  <si>
    <t>SAN GABAN Total</t>
  </si>
  <si>
    <t>SANTA CRUZ Total</t>
  </si>
  <si>
    <t>C.T. OQUENDO</t>
  </si>
  <si>
    <t>SDF ENERGIA Total</t>
  </si>
  <si>
    <t>C.T. SAN NICOLAS</t>
  </si>
  <si>
    <t>SHOUGESA Total</t>
  </si>
  <si>
    <t>SINERSA Total</t>
  </si>
  <si>
    <t>C.H. CAHUA</t>
  </si>
  <si>
    <t>C.H. CHEVES</t>
  </si>
  <si>
    <t>C.H. GALLITO CIEGO</t>
  </si>
  <si>
    <t>C.H. HUAYLLACHO</t>
  </si>
  <si>
    <t>C.H. MALPASO</t>
  </si>
  <si>
    <t>C.H. MISAPUQUIO</t>
  </si>
  <si>
    <t>C.H. OROYA</t>
  </si>
  <si>
    <t>C.H. PACHACHACA</t>
  </si>
  <si>
    <t>C.H. PARIAC</t>
  </si>
  <si>
    <t>C.H. SAN ANTONIO</t>
  </si>
  <si>
    <t>C.H. SAN IGNACIO</t>
  </si>
  <si>
    <t>C.H. YAUPI</t>
  </si>
  <si>
    <t>STATKRAFT Total</t>
  </si>
  <si>
    <t>TACNA SOLAR Total</t>
  </si>
  <si>
    <t>TERMOCHILCA Total</t>
  </si>
  <si>
    <t>C.T. AGUAYTIA</t>
  </si>
  <si>
    <t>TERMOSELVA Total</t>
  </si>
  <si>
    <t>IMPORTACIÓN</t>
  </si>
  <si>
    <t>EXPORTACIÓN</t>
  </si>
  <si>
    <t>Variación</t>
  </si>
  <si>
    <t>%</t>
  </si>
  <si>
    <t>ECELIM Total</t>
  </si>
  <si>
    <t>C.T. ILO 1</t>
  </si>
  <si>
    <t>C.T. TAPARACHI</t>
  </si>
  <si>
    <t>C.H. CHANCAY</t>
  </si>
  <si>
    <t>2018 / 2017</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</si>
  <si>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</si>
  <si>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</si>
  <si>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</si>
  <si>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</si>
  <si>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</si>
  <si>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</si>
  <si>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</si>
  <si>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</si>
  <si>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</si>
  <si>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</si>
  <si>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</si>
  <si>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</si>
  <si>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</si>
  <si>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</si>
  <si>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</si>
  <si>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</si>
  <si>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</si>
  <si>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ELECTRO PUNO</t>
  </si>
  <si>
    <t>HIDRANDINA</t>
  </si>
  <si>
    <t>RED DE ENERGIA DEL PERU</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</si>
  <si>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</si>
  <si>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</si>
  <si>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</si>
  <si>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</si>
  <si>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</si>
  <si>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</si>
  <si>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</si>
  <si>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</si>
  <si>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</si>
  <si>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</si>
  <si>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</si>
  <si>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</si>
  <si>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</si>
  <si>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</si>
  <si>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5.2. EVOLUCIÓN DE VOLUMENES DE LOS EMBALSES Y LAGUNAS</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</si>
  <si>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</si>
  <si>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</si>
  <si>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</si>
  <si>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</si>
  <si>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</si>
  <si>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</si>
  <si>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</si>
  <si>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</si>
  <si>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</si>
  <si>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7.1. HORAS DE CONGESTION POR ÁREA OPERATIVA</t>
  </si>
  <si>
    <t>4. MÁXIMA POTENCIA COINCIDENTE A NIVEL DE GENERACIÓN EN EL SEIN</t>
  </si>
  <si>
    <t>3. PRODUCCIÓN DE ENERGÍA ELÉCTRICA EN EL SEIN</t>
  </si>
  <si>
    <t>4.1 Máxima Potencia Coincidente Por tipo de generación</t>
  </si>
  <si>
    <t>4.2. Participación por Empresas Integrantes en la máxima potencia conincidente</t>
  </si>
  <si>
    <t>5.3. Promedio mensual de los caudales</t>
  </si>
  <si>
    <t xml:space="preserve">5.1. Volumen útil de los embalses y lagunas </t>
  </si>
  <si>
    <t>6.1. Costos Marginales Promedio Mensual del SEIN</t>
  </si>
  <si>
    <t>7.1. Horas de congestión por Área Operativa</t>
  </si>
  <si>
    <t>II. MÁXIMA POTENCIA COINCIDENTE MENSUAL</t>
  </si>
  <si>
    <t>LINEA DE TRANSMISION</t>
  </si>
  <si>
    <t>● Máxima Potencia calculado durante los periodos de hora punta acorde al PR-30 y PR-43, la misma que incluye la importación desde Ecuador.</t>
  </si>
  <si>
    <t>1. RESUMEN</t>
  </si>
  <si>
    <t>Var. (2018/2017)</t>
  </si>
  <si>
    <t>SANTA ANA</t>
  </si>
  <si>
    <t>BIOCOMBUSTIBLE</t>
  </si>
  <si>
    <t>SANTA ANA Total</t>
  </si>
  <si>
    <t>TOTAL MÁXIMA POTENCIA COINCIDENTE</t>
  </si>
  <si>
    <t>Cuadro N°7 : Máxima potencia coincidente (MW) por tipo de generación en el SEIN.</t>
  </si>
  <si>
    <t>25.03.2018</t>
  </si>
  <si>
    <t>C.T. Sto Domingo de los Olleros</t>
  </si>
  <si>
    <t>19:30</t>
  </si>
  <si>
    <t>19:45</t>
  </si>
  <si>
    <t>11:45</t>
  </si>
  <si>
    <t>11:30</t>
  </si>
  <si>
    <t xml:space="preserve">SANTA ANA </t>
  </si>
  <si>
    <t>C.H. RENOVANDES H1</t>
  </si>
  <si>
    <t>C.H. Renovandes H1</t>
  </si>
  <si>
    <t>C.S. Intipampa</t>
  </si>
  <si>
    <t>138 120 
Módulos</t>
  </si>
  <si>
    <t>31.03.2018</t>
  </si>
  <si>
    <t>20.03.2018</t>
  </si>
  <si>
    <t>G1</t>
  </si>
  <si>
    <t>Turbina Pelton</t>
  </si>
  <si>
    <t>Central Hidroeléctrica</t>
  </si>
  <si>
    <t>(2) Valor referido a la potencia instalada de la Turbina de vapor de la C.T. Sto. Domingo de los Olleros.</t>
  </si>
  <si>
    <t xml:space="preserve">(3) Valor de 103,95 MW corresponde al aumento de potencia efectiva de la central Sto. Domigo de los Olleros debido al ingreso de la Turbina de Vapor, el valor de la potencia efectiva del modo ciclo combinado (TG+TV) es de 305,32 MW. </t>
  </si>
  <si>
    <t>Gráfico N°24: Porcentaje de participación por tipo de causa en el número de fallas.</t>
  </si>
  <si>
    <t>Gráfico N°25: Comparación en el número de fallas por tipo de equipo.</t>
  </si>
  <si>
    <t>TV</t>
  </si>
  <si>
    <t xml:space="preserve">(*) Valor de 103,95 MW corresponde al aumento de potencia efectiva de la central Sto. Domigo de los Olleros debido al ingreso de la Turbina de Vapor, el valor de la potencia efectiva del modo ciclo combinado (TG+TV) es de 305,32 MW. </t>
  </si>
  <si>
    <t>4 eventos corresponde a rechazo manual de carga en la S.S.E.E. Pucallpa por deficit de generación (74,15 MWh)</t>
  </si>
  <si>
    <t xml:space="preserve">Potencia Efectiva  (MW) </t>
  </si>
  <si>
    <t>ENLACE CENTRO - SUR</t>
  </si>
  <si>
    <t>eólica</t>
  </si>
  <si>
    <t>aerogenerador</t>
  </si>
  <si>
    <t>C.E. Wayra I</t>
  </si>
  <si>
    <t>42 aerogeneradores</t>
  </si>
  <si>
    <t>19.05.2018</t>
  </si>
  <si>
    <t>(1) El valor de potencias efectivas de la C.S. Rubí, C.S. Intipampa y C.E. Wayra I corresponden a la potencia instalada nominal declarada en la fecha de ingreso de operación comercial.</t>
  </si>
  <si>
    <t>Central Eólica</t>
  </si>
  <si>
    <t>Máxima Demanda:</t>
  </si>
  <si>
    <t>KALLPA</t>
  </si>
  <si>
    <t>PETRAMAS</t>
  </si>
  <si>
    <t>12:00</t>
  </si>
  <si>
    <t>ECELIM</t>
  </si>
  <si>
    <t>ELECTRO SUR ESTE</t>
  </si>
  <si>
    <t>20:15</t>
  </si>
  <si>
    <t>CELDA</t>
  </si>
  <si>
    <t>HYDRO PATAPO</t>
  </si>
  <si>
    <t>C.H. ÁNGEL II</t>
  </si>
  <si>
    <t>C.H. ÁNGEL III</t>
  </si>
  <si>
    <t>C.H. ÁNGEL I</t>
  </si>
  <si>
    <t>C.H. HER 1</t>
  </si>
  <si>
    <t>HYDRO PATAPO Total</t>
  </si>
  <si>
    <t>Lagunas Rajucolta (ORAZUL)</t>
  </si>
  <si>
    <t>ENEL GENERACIÓN PERU</t>
  </si>
  <si>
    <t>Viento</t>
  </si>
  <si>
    <t>M.C.I.</t>
  </si>
  <si>
    <t>C.T. Doña Catalina</t>
  </si>
  <si>
    <t>C.H. Her I</t>
  </si>
  <si>
    <t>C.H. Angel I</t>
  </si>
  <si>
    <t>C.H. Angel II</t>
  </si>
  <si>
    <t>C.H. Angel III</t>
  </si>
  <si>
    <t>G3 ; G4</t>
  </si>
  <si>
    <t>G1 ; G2</t>
  </si>
  <si>
    <t>29.08.2018</t>
  </si>
  <si>
    <t>30.08.2018</t>
  </si>
  <si>
    <t>Central a Biogás</t>
  </si>
  <si>
    <t>Turbina de Vapor (*)</t>
  </si>
  <si>
    <t>Turbina StreamDiver</t>
  </si>
  <si>
    <t xml:space="preserve">● Los valores de Potencia Efectiva de las centrales corresponden a la declaración de sus propietarios en los ingresos de operación comercial. </t>
  </si>
  <si>
    <t>MINERA ARES</t>
  </si>
  <si>
    <t>TRANSMANTARO</t>
  </si>
  <si>
    <t>CONENHUA</t>
  </si>
  <si>
    <t>ATN S.A.</t>
  </si>
  <si>
    <t>POMACOCHA - SAN JUAN</t>
  </si>
  <si>
    <t>ANDEAN POWER</t>
  </si>
  <si>
    <t>20:30</t>
  </si>
  <si>
    <t>16:00</t>
  </si>
  <si>
    <t>15:30</t>
  </si>
  <si>
    <t>ANDEAN POWER Total</t>
  </si>
  <si>
    <t>(*) Se denomina RER a los Recursos Energéticos Renovables (biomasa, eólica, solar, geotérmica, mareomotriz), e hidroléctricas cuya capacidad instalada no sobrepase los 20 MW, según D.L. N° 1002. Son consideradas las centrales RER adjudicadas por susbasta.</t>
  </si>
  <si>
    <t>L-2051 L-2052  L-5034
  L-5036</t>
  </si>
  <si>
    <t>8. EVENTOS Y FALLAS QUE OCASIONARON INTERRUPCIÓN Y DISMINUCIÓN DE SUMINISTRO ELÉCTRICO</t>
  </si>
  <si>
    <t>8.1. FALLAS POR TIPO DE EQUIPO Y CAUSA SEGÚN CLASIFICACION CIER</t>
  </si>
  <si>
    <t>STATKRAFT S.A</t>
  </si>
  <si>
    <t>ATN 2 S.A.</t>
  </si>
  <si>
    <t>SOUTHERN PERU CC</t>
  </si>
  <si>
    <t>20:45</t>
  </si>
  <si>
    <t>20:00</t>
  </si>
  <si>
    <t>Turbina Francis</t>
  </si>
  <si>
    <t>C.H. Carhuac</t>
  </si>
  <si>
    <t>L-2205  L-2206</t>
  </si>
  <si>
    <t>L-2259</t>
  </si>
  <si>
    <t>CARHUAMAYO - OROYA NUEVA</t>
  </si>
  <si>
    <t>MARCONA - SAN NICOLÁS</t>
  </si>
  <si>
    <t>C.H. CARHUAC</t>
  </si>
  <si>
    <t>C.H. RUCUY</t>
  </si>
  <si>
    <t>RIO BAÑOS Total</t>
  </si>
  <si>
    <t>ELECTRO NOR OESTE</t>
  </si>
  <si>
    <t>MINERA ARUNTANI</t>
  </si>
  <si>
    <t xml:space="preserve">TRANSFORMADOR </t>
  </si>
  <si>
    <t>SUBESTACIÓN</t>
  </si>
  <si>
    <t>ELECTRO ZAÑA</t>
  </si>
  <si>
    <t>ELECTRO ZAÑA Total</t>
  </si>
  <si>
    <t>HIDROMARAÑON/ CELEPSA RENOVABLES Total</t>
  </si>
  <si>
    <t>15:45</t>
  </si>
  <si>
    <t>15:00</t>
  </si>
  <si>
    <t>144,48(1)</t>
  </si>
  <si>
    <t>123,61(2)</t>
  </si>
  <si>
    <t>103,95(3)</t>
  </si>
  <si>
    <t>44,54(1)</t>
  </si>
  <si>
    <t>132,30(1)</t>
  </si>
  <si>
    <t>07.11.2018</t>
  </si>
  <si>
    <t>C.H. Zaña</t>
  </si>
  <si>
    <t>G2</t>
  </si>
  <si>
    <t>29.12.2018</t>
  </si>
  <si>
    <t>LUZ DEL SUR / INLAND</t>
  </si>
  <si>
    <t>TOTAL MWh</t>
  </si>
  <si>
    <t>C.H. CERRO DEL AGUILA  (1)</t>
  </si>
  <si>
    <t>C.T. LA GRINGA  (2)</t>
  </si>
  <si>
    <t>C.S. RUBI  (3)</t>
  </si>
  <si>
    <t>C.E. WAYRA I  (9)</t>
  </si>
  <si>
    <t>LUZ DEL SUR / INLANDTotal</t>
  </si>
  <si>
    <t>C.H. SANTA TERESA  (4)</t>
  </si>
  <si>
    <t>C.H. RENOVANDES H1  (5)</t>
  </si>
  <si>
    <t>C.T. OLLEROS  (6)</t>
  </si>
  <si>
    <t>C.S. INTIPAMPA  (7)</t>
  </si>
  <si>
    <t>HIDROMARAÑON/ CELEPSA RENOVABLES  (8)</t>
  </si>
  <si>
    <t>C.T. DOÑA CATALINA  (10)</t>
  </si>
  <si>
    <t>C.H. HER 1  (11)</t>
  </si>
  <si>
    <t>C.H. ÁNGEL I  (12)</t>
  </si>
  <si>
    <t>C.H. ÁNGEL II  (12)</t>
  </si>
  <si>
    <t>C.H. ÁNGEL III  (12)</t>
  </si>
  <si>
    <t>C.H. CARHUAC  (13)</t>
  </si>
  <si>
    <t>C.H. ZAÑA  (14)</t>
  </si>
  <si>
    <t>C.H. PATAPO  (15)</t>
  </si>
  <si>
    <t/>
  </si>
  <si>
    <t>LUZ DEL SUR / INLAND Total</t>
  </si>
  <si>
    <t>C.H. PATAPO (15)</t>
  </si>
  <si>
    <t>(*) Se denomina RER a los Recursos Energéticos Renovables tales como biomasa, eólica, solar, geotérmica, mareomotriz e hidráulicas cuya capacidad instalada no sobrepasa de los 20 MW, según D.L. N° 1002, Se consideran RER a las centrales adjudicadas</t>
  </si>
  <si>
    <t>1.1. Producción de energía eléctrica en enero 2019 en comparación al mismo mes del año anterior</t>
  </si>
  <si>
    <t>enero</t>
  </si>
  <si>
    <t xml:space="preserve">El total de la producción de energía eléctrica de la empresas generadoras integrantes del COES en el mes de enero 2019 fue de 4 497,08  GWh, lo que representa un incremento de 241,83 GWh (5,68%) en comparación con el año 2018. </t>
  </si>
  <si>
    <t xml:space="preserve">La producción de electricidad con centrales hidroeléctricas durante el mes de enero 2019 fue de 2 780,51 GWh (5,40% menor al registrado durante enero del año 2018). </t>
  </si>
  <si>
    <t>La producción de electricidad con centrales termoeléctricas durante el mes de enero 2019 fue de 1 550,17 GWh, 32,60% mayor al registrado durante enero del año 2018. La participación del gas natural de Camisea fue de 32,21%, mientras que las del gas que proviene de los yacimientos de Aguaytía y Malacas fue del 1,72%, la producción con diesel, residual, carbón, biogás y bagazo tuvieron una intervención del 0,03%, 0,13%, 0,09%, 0,13%, 0,16% respectivamente.</t>
  </si>
  <si>
    <t>La producción de energía eléctrica con centrales eólicas fue de 87,37 GWh y con centrales solares fue de 59,66 GWh, los cuales tuvieron una participación de 2,45% y 1,25% respectivamente.</t>
  </si>
  <si>
    <t>Var (%)
2019/2018</t>
  </si>
  <si>
    <t>C.H. ZAÑA</t>
  </si>
  <si>
    <t>CENTRAL EOLICA WAYRA I</t>
  </si>
  <si>
    <t>CENTRAL SOLAR RUBI</t>
  </si>
  <si>
    <t>CENTRAL SOLAR INTIPAMPA</t>
  </si>
  <si>
    <t>CS TACNA SOLAR</t>
  </si>
  <si>
    <t>CS-MAJES SOLAR 20T</t>
  </si>
  <si>
    <t>CS PANAMERICANA SOLAR</t>
  </si>
  <si>
    <t>CS-REPARTICION</t>
  </si>
  <si>
    <t>CS MOQUEGUA FV</t>
  </si>
  <si>
    <t>CT PARAMONGA</t>
  </si>
  <si>
    <t>C.T.B DOÑA CATALINA</t>
  </si>
  <si>
    <t>HIDROMARAÑON/ CELEPSA RENOVABLES</t>
  </si>
  <si>
    <t xml:space="preserve">INLAND </t>
  </si>
  <si>
    <t>Variación 2019/2018 (GWh)</t>
  </si>
  <si>
    <t>Variación 2019/2018 (MW)</t>
  </si>
  <si>
    <t>VOLUMEN UTIL
31-01-2019</t>
  </si>
  <si>
    <t>L. PARAMONGA N. - 09 DE OCTUBRE - LINEA L-6655</t>
  </si>
  <si>
    <t>Desconectó la línea L-6655 (Paramonga Nueva - 09 de Octubre) de 66 kV, cuya causa no fue informada por HIDRANDINA, titular de la línea. Como consecuencia se interrumpió el suministro de la S.E. 09 de Octubre con un total de 4,16 MW. A las 02:30 h, se conectó la línea y se inició la normalización del suministro interrumpido.</t>
  </si>
  <si>
    <t>Desconectó la línea L-6655 (Paramonga Nueva - 09 de Octubre) de 66 kV, cuya causa no fue informada por HIDRANDINA, titular de la línea. Como consecuencia se interrumpió el suministro de la S.E. 09 de Octubre con un total de 3,62 MW. A las 04:55 h, se conectó la línea y se inició la normalización del suministro interrumpido.</t>
  </si>
  <si>
    <t>L. COTARUSE - LAS BAMBAS - LINEA L-2056</t>
  </si>
  <si>
    <t>Desconectó la línea L-2056 (Cotaruse - Las Bambas) de 220 kV, cuya causa no fue informada por ATN 2, titular de la línea. Cabe resaltar que la línea paralela L-2055 (Cotaruse – Las Bambas) de 220 kV, realizó un recierre monofásico exitoso. El sistema de protección señalizó la activación de la función diferencial de línea (87). Como consecuencia el usuario libre Minera Las Bambas redujo su carga en 92,34 MW. A las 13:06 h, el CCO-COES coordinó con el CC-BAM la normalización de sus suministros reducidos. A las 13:17 h, se conectó la línea.</t>
  </si>
  <si>
    <t>L. ARES - ARCATA - LINEA L-6018</t>
  </si>
  <si>
    <t>Desconectó la línea L-6018 (Ares – Arcata) de 66 kV, por falla. De acuerdo con lo informado por MINERA ARES, titular de la línea, la falla se produjo por descargas atmosféricas. Como consecuencia se interrumpió el suministro de la S.E. Arcata con un total de 3,86 MW. A las 13:55 h, se conectó la línea y se inició la normalización del suministro interrumpido.</t>
  </si>
  <si>
    <t>L. AZÁNGARO - PUTINA - LINEA L-6024</t>
  </si>
  <si>
    <t>Desconectó la línea L-6024 (Azángaro - Putina) de 60 kV, por falla. De acuerdo con lo informado por ELECTROPUNO, titular de la línea, la falla se produjo por descargas atmosféricas. El sistema de protección señalizó la activación de la función diferencial de línea (87). Como consecuencia se interrumpió el suministro de las subestaciones Ananea y Huancané con un total de 3,41 MW. A las 14:25 h, se conectó la línea y se inició la normalización del suministro interrumpido.</t>
  </si>
  <si>
    <t>L. MOROCOCHA - CARLOS FRANCISCO - LINEA L-6532</t>
  </si>
  <si>
    <t xml:space="preserve">Desconectó la línea L-6532/6533 (Morococha Nueva - Casapalca) de 50 kV, por falla. De acuerdo con lo informado por STATKRAFT, titular de la línea, la falla se produjo por descargas atmosféricas. Como consecuencia se interrumpió el suministro de las subestaciones Casapalca, Carlos Francisco, Ticlio, Antuquito, Bellavista y San Mateo con un total de 25,79 MW. Asimismo, desconectó la C.H. Huanchor cuando generaba 18,51 MW. A las 13:29 h, se conectaron las líneas y se inició la normalización del suministro interrumpido. </t>
  </si>
  <si>
    <t>L. PUNO - TUCARI - LINEA L-6007</t>
  </si>
  <si>
    <t>Desconectó la línea L-6007 (Puno - Tukari) de 60 kV, por falla monofásica a tierra en la fase “T”. De acuerdo con lo informado por MINERA ARUNTANI, titular de la línea, la falla se produjo por descargas atmosféricas. El sistema de protección señalizó la activación de la función de distancia (21). Como consecuencia se interrumpió el suministro de la S.E. Tukari con un total de 4,76 MW. A las 13:42 h, se conectó la línea y se inició la normalización del suministro interrumpido.</t>
  </si>
  <si>
    <t>L. KIMAN AYLLU - SIHUAS - LINEA L-1132</t>
  </si>
  <si>
    <t>Desconectó la línea L-1132 (Kiman Ayllu - Sihuas) de 138 kV, por falla monofásica a tierra en la fase “S”. De acuerdo con lo informado por HIDRANDINA, titular de la línea, la falla se produjo por descargas atmosféricas. El sistema de protección señalizó la activación de la función de distancia (21) y ubicó la falla a 69,2 km de la S.E. Kiman Ayllu. Como consecuencia se interrumpió el suministro de las subestaciones Sihuas, Pomabamba, Huari, Tayabamba con un total de 7,80 MW. A las 14:13 h, se conectó la línea y se inició la normalización del suministro interrumpido.</t>
  </si>
  <si>
    <t>L. OROYA NUEVA - Der. PACHACAYO - LINEA L-6601 A</t>
  </si>
  <si>
    <t>Desconectó la línea L-6601 (Oroya Nueva - Chumpe) 69 kV, por falla. De acuerdo con lo informado por STATKRAFT, titular de la línea, la falla se produjo por descargas atmosféricas. Como consecuencia se interrumpió el suministro de las subestaciones Chumpe, Pachacayo y Azulcocha con un total de 9,45 MW. A las 17:23 h, se conectó la línea y se inició la normalización del suministro interrumpido.</t>
  </si>
  <si>
    <t>Desconectó la línea L-6024 (Azángaro - Putina) de 60 kV, por falla. De acuerdo con lo informado por ELECTROPUNO, titular de la línea, la falla se produjo por descargas atmosféricas. El sistema de protección señalizó la activación de la función diferencial de línea (87). Como consecuencia se interrumpió el suministro de las subestaciones Ananea y Huancané con un total de 3,46 MW. A las 14:36 h, se conectó la línea y se inició la normalización del suministro interrumpido.</t>
  </si>
  <si>
    <t>REDESUR</t>
  </si>
  <si>
    <t>L. MOQUEGUA - PUNO - LINEA L-2030</t>
  </si>
  <si>
    <t>Se produjo un recierre monofásico exitoso en la línea L-2030 (Moquegua – Puno) de 220 kV, por falla monofásica a tierra en la fase “S”. De acuerdo con lo informado por REDESUR, titular de la línea, el motivo de la falla se encuentra en investigación. El sistema de protección señalizó la activación de la función diferencial de línea (87). No se produjo interrupción de suministros en el SEIN. Como consecuencia los usuarios libres MINERA CERRO VERDE y MINERA SOUTHERN redujeron su carga en 174,10 MW y 21,40 MW, respectivamente. A las 23:27 h y 23:40 h, se coordinó con los CC-MCV y CC-SOU normalizar el total de sus suministros reducidos.</t>
  </si>
  <si>
    <t>L. PIURA OESTE - EJIDOS - LINEA L-6657</t>
  </si>
  <si>
    <t>Desconectó la línea L-6657 (Piura Oeste - Ejidos) de 60 kV, cuya causa no fue informada por ENOSA, titular de la línea. El sistema de protección señalizó la activación de la función de distancia (21) y ubicó la falla a 7,80 km de la S.E. Piura Oeste. Como consecuencia se interrumpió el suministro de las subestaciones Ejidos, Chulucanas, Morropón y Loma Larga con un total de 30,58 MW. A las 16:44 h, se conectó la línea y se inició la normalización del suministro interrumpido.</t>
  </si>
  <si>
    <t>L. PIURA OESTE - SULLANA - LINEA L-6698</t>
  </si>
  <si>
    <t xml:space="preserve">Desconectó la línea L-6698 (Piura Oeste - Sullana) y L-6662B (El Arenal – La Huaca) de 60 kV, cuya causa no fue informada por ENOSA, titular de las líneas. El sistema de protección señalizó la activación de la función de sobre corriente de fases (51). Asimismo, desconectó la C.T. Tablazo cuando generaba 27,00 MW. Como consecuencia se interrumpió el suministro de las subestaciones Sullana, Poechos y Quiroz con un total 44,06 MW y salieron de servicio la C.H. Poechos II con 4,20 MW. A las 13:56 h, se conectó la línea L-6698 y se inició la normalización del suministro interrumpido. A las 14:01 h, se conectó la línea L-6662B. A las 14:05 h y 14:13 h. sincronizó la C.H. Poechos II y la C.T. Tablazo con el SEIN, respectivamente. </t>
  </si>
  <si>
    <t>L. SURIRAY - COTARUSE - LINEA L-2059</t>
  </si>
  <si>
    <t>Se produjo un recierre monofásico exitoso en las líneas L-2059 (Cotaruse - Suriray) y L-2060 (Cotaruse - Abancay Nueva) de 220 kV, por falla monofásica a tierra en la fase “T”. De acuerdo con lo informado por REP, titular de las líneas, la falla se produjo por descargas atmosféricas. El sistema de protección señalizó la activación de la función diferencial de línea (87) y ubicó la falla a 33,60 km de la S.E. Cotaruse. Como consecuencia el usuario libre Minera Las Bambas redujo su carga en 70,00 MW. A las 17:15 h, el CCO-COES coordinó con el CC-BAM normalizar el total de sus suministros reducidos.</t>
  </si>
  <si>
    <t>L. CARHUAMAYO - HUARÓN - LINEA L-6514</t>
  </si>
  <si>
    <t>Desconectaron las líneas L-6514 / L-6515 (Carhuamayo – Shelby – Excélsior) de 50 kV, por falla. De acuerdo con lo informado por STATKRAFT, titular de las líneas, la falla se produjo por descargas atmosféricas. El sistema de protección señalizó la activación de la función de sobre corriente direccional a tierra (67N). Como consecuencia se interrumpió el suministro de las subestaciones Shelby, San José, La Fundición y San Juan con un total de 9,37 MW. A las 19:45 h, se conectaron las líneas y se inició la normalización del suministro interrumpido.</t>
  </si>
  <si>
    <t>L. PARAGSHA II - CARHUAMAYO - LINEA L-2267</t>
  </si>
  <si>
    <t>Se produjo un recierre monofásico exitoso en la línea L-2267 (Carhuamayo – Paragsha 2) de 220 kV, por falla monofásica a tierra en la fase “R”. De acuerdo con lo informado por ATN, titular de la línea, el motivo de la falla se encuentra en investigación. El sistema de protección señalizó la activación de la función diferencial de línea (87) y ubicó la falla a 10,50 km de la S.E. Paragsha 2. Como consecuencia el usuario libre Minera Antamina redujo su carga de 115,51 MW a 66,95 MW. A las 20:18 h, el CCO-COES coordinó con el CC-CMA normalizar el total de sus suministros reducidos.</t>
  </si>
  <si>
    <t>Desconectaron las líneas L-6514 / L-6515 (Carhuamayo – Shelby – Excélsior) de 50 kV, por falla. De acuerdo con lo informado por STATKRAFT, titular de las líneas, la falla se produjo por descargas atmosféricas. El sistema de protección señalizó la activación de la función de sobre corriente direccional a tierra (67N). Como consecuencia se interrumpió el suministro de las subestaciones Shelby, San José, La Fundición y San Juan con un total de 9,37 MW. A las 20:24 h, se conectaron las líneas y se inició la normalización del suministro interrumpido.</t>
  </si>
  <si>
    <t>Desconectó la línea L-6007 (Puno - Tukari) de 60 kV, por falla. De acuerdo con lo informado por MINERA ARUNTANI, titular de la línea, falla se produjo por descargas atmosféricas. El sistema de protección señalizó la activación de la función de distancia (21). Como consecuencia se interrumpió el suministro de la S.E. Tukari con un total de 4,88 MW. A las 13:59 h, se conectó la línea y se inició la normalización del suministro interrumpido.</t>
  </si>
  <si>
    <t>AGROAURORA S.A.C.</t>
  </si>
  <si>
    <t>L. PIURA OESTE - PLANTA DE ETANOL - LINEA L-6699</t>
  </si>
  <si>
    <t>Desconectó la línea L-6699 (Piura Oeste – Planta Etanol) de 60 kV, por falla. De acuerdo con lo informado por AGROAURORA, titular de la línea, la falla se produjo en el transformador de la S.E. Planta Etanol por acumulación de suciedad. Como consecuencia, se interrumpió el suministro de la S.E. Planta Etanol con un total de 9,45 MW. A las 11:21 h, se conectó la línea y se inició la normalización del suministro interrumpido.</t>
  </si>
  <si>
    <t>L. MAZUCO - PTO MALDONADO                             - LINEA L-1015</t>
  </si>
  <si>
    <t>Desconectó la línea L-1015 (Mazuco - Puerto Maldonado) de 138 kV, por falla monofásica a tierra en la fase “S”. De acuerdo con lo informado por ELECTRO SUR ESTE, titular de la línea, la falla se produjo por descargas atmosféricas. El sistema de protección ubicó la falla a 25,58 km de la S.E. Mazuco. Como consecuencia se interrumpió el suministro de la S.E. Puerto Maldonado con un total de 5,54 MW. A las 05:50 h, se conectó la línea y se inició la normalización del suministro interrumpido.</t>
  </si>
  <si>
    <t>L. CHIMBOTE SUR - TRAPECIO - LINEA L-1129</t>
  </si>
  <si>
    <t>Desconectó la línea L-1129 (Chimbote Sur - Trapecio) de 138 kV, por falla bifásica entre las fases “R” y “S”. De acuerdo con lo informado por “HIDRANDINA” titular de la línea, la falla se produjo por quema de caña. El sistema de protección señalizó la activación de la función de sobre corriente de fases (50/51). Como consecuencia se interrumpió el suministro de la S.E. Trapecio con un total de 9,20 MW. A las 11:29 h, se conectó la línea y se inició la normalización del suministro interrumpido.</t>
  </si>
  <si>
    <t>L. CALLALLI - SANTUARIO - LINEA L-1020</t>
  </si>
  <si>
    <t>Desconectó la línea L-1020 (Santuario - Callalli) de 138 kV, por falla bifásica a tierra en las fases “R” y “S”. De acuerdo a lo informado por REP, titular de la línea, se presentaron descargas atmosféricas en la zona. El sistema de protección señalizo la activación de la función de distancia (21). El sistema de protección detecto la falla a una distancia de 57,10 km de la S.E. Callalli. No se produjo interrupción de suministros en el SEIN. El usuario libre Cementos Yura reporto la reducción de su carga en 13,40 MW. A las 15:10 h, el CCO-COES coordinó con el CC-YUR recuperar el total de su carga reducida. A las 15:36 h, se conectó la línea.</t>
  </si>
  <si>
    <t>Desconectó la línea L-6024 (Azángaro - Putina) de 60 kV, por falla. De acuerdo con lo informado por ELECTROPUNO, titular de la línea, la falla se produjo por descargas atmosféricas. El sistema de protección señalizó la activación de la función diferencial de línea (87). Como consecuencia se interrumpió el suministro de las subestaciones Ananea y Huancané con un total de 8,87 MW. A las 10:47 h, se conectó la línea y se inició la normalización del suministro interrumpido.</t>
  </si>
  <si>
    <t>COMP. TRANSMISORA ANDINA</t>
  </si>
  <si>
    <t>L. TRUJILLO NORTE - ALTO CHICAMA - LINEA L-1136</t>
  </si>
  <si>
    <t>Desconectó la línea L-1136 (Trujillo Norte - Alto Chicama) de 138 kV, cuya causa no fue informada por COMPAÑÍA TRANSMISORA ANDINA, titular de la línea. El sistema de protección señalizó la activación de la función de distancia (21) y ubicó la falla a 72,9 km de la S.E. Trujillo Norte. Como consecuencia se interrumpió el suministro de la S.E. Alto Chicama con un total de 12,00 MW. A las 16:17 h, se conectó la línea y se inició la normalización del suministro interrumpido.</t>
  </si>
  <si>
    <t>L. ARES - HUANCARAMA - LINEA L-6017</t>
  </si>
  <si>
    <t>Desconectó la línea L-6017 (Ares - Huancarama) de 66 kV, por falla monofásica a tierra en la fase “S”. De acuerdo con lo informado por CONENHUA,  titular de la línea, la falla se produjo por descargas atmosféricas. El sistema de protección señalizó la activación de la función de distancia (21) y ubicó la falla a 24,33 km de la S.E. Ares. Como consecuencia se interrumpió el suministro de la S.E. Huancarama con un total de 6,16 MW. A las 17:44 h, se conectó la línea y se inició la normalización del suministro interrumpido.</t>
  </si>
  <si>
    <t>ELECTRO DUNAS</t>
  </si>
  <si>
    <t>L. MARCONA - NAZCA - LINEA L-6630</t>
  </si>
  <si>
    <t>Desconectó la línea L-6630/2 (Nazca - Puquio - Cora Cora) de 60 kV, cuya causa no fue informada por ADINELSA, titular de la línea. Como consecuencia se interrumpió el suministro de las subestaciones Puquio y Cora Cora con un total de 1,89 MW. 00:17 h del 18.01.2019, se conectó la línea y se inició la normalización del suministro interrumpido.</t>
  </si>
  <si>
    <t>L. NEPEÑA - CASMA - LINEA L-1113</t>
  </si>
  <si>
    <t>Desconectó de la línea L-1113 (Nepeña – Casma) de 138 kV, por falla monofásica a tierra en la fase “T”. De acuerdo con lo informado por HIDRANDINA, titular de la línea, la falla se produjo por descargas parciales en aisladores. El sistema de protección señalizó la activación de la función de distancia (21) y ubicó la falla a 21,9 km de la S.E. Nepeña. Como consecuencia se interrumpió el suministro de la S.E. Casma con un total de 6,10 MW. A las 03:36 h, se conectó la línea y se inició la normalización del suministro interrumpido.</t>
  </si>
  <si>
    <t>Desconectó de la línea L-1113 (Nepeña – Casma) de 138 kV, por falla monofásica a tierra en la fase “T”. De acuerdo con lo informado por HIDRANDINA, titular de la línea, la falla se produjo por descargas parciales en aisladores. El sistema de protección señalizó la activación de la función de distancia (21) y ubicó la falla a 21,9 km de la S.E. Nepeña. Como consecuencia se interrumpió el suministro de la S.E. Casma con un total de 2,18 MW. A las 11:06 h, se conectó la línea y se inició la normalización del suministro interrumpido.</t>
  </si>
  <si>
    <t>L. CHIMBOTE SUR - NEPEÑA - LINEA L-1112</t>
  </si>
  <si>
    <t>Desconectó de la línea L-1113 (Nepeña – Casma) de 138 kV, por falla bifásica a tierra entre las fases “S” y “T”. De acuerdo con lo informado por HIDRANDINA, titular de la línea, la falla se produjo al momento del intento fallido de energización de la línea L-1113. El sistema de protección señalizó la activación de la función de sobre corriente de fase a tierra (51N). Como consecuencia se interrumpió el suministro de las subestaciones Nepeña y San Jacinto con un total de 4,33 MW. A las 07:08 h, se conectó la línea y se inició la normalización del suministro interrumpido.</t>
  </si>
  <si>
    <t>L. PIURA OESTE - PAITA - LINEA L-6654</t>
  </si>
  <si>
    <t>Desconectaron las líneas L-6654 (Piura Oeste - Paita) de 60 kV y L-6698 (Piura Oeste - Sullana) de 60 kV, cuya causa no fue informada por ENOSA, titular de las líneas. El sistema de protección señalizó la activación de la función de distancia. Como consecuencia se interrumpió el suministro de las subestaciones Paita y Sullana con un total de 87,10 MW y desconectaron las CC.HH. Curumuy, Poechos I y Poechos II. A las 11:54 h y 11:57 h, se conectaron las líneas L-6654 y L-6698, respectivamente, y se inició la normalización del suministro interrumpido.</t>
  </si>
  <si>
    <t>Desconectó la línea L-6655 (Paramonga Nueva - 9 de octubre) de 66 kV, por falla. De acuerdo con lo informado por HIDRANDINA, titular de la línea, la falla se produjo en la celda de la línea L-6688 (9 de Octubre – Puerto Antamina) de 66 kV en la S.E. 09 de Octubre, por descargas parciales. El sistema de protección señalizó la activación de la función de sobre corriente de fase a tierra (50N/51N). Como consecuencia se interrumpieron el suministro de las subestaciones Huarmey y Puerto Antamina con un total de 3,21 MW. A las 01:17 h, se energizó la línea y se inició la normalización del suministro interrumpido.</t>
  </si>
  <si>
    <t>Desconectó la línea L-6655 (Paramonga Nueva - 9 de octubre) de 66 kV, por falla. De acuerdo con lo informado por HIDRANDINA, titular de la línea, la falla se produjo en la celda de la línea L-6688 (9 de Octubre – Puerto Antamina) de 66 kV en la S.E. 09 de Octubre, por descargas parciales. El sistema de protección señalizó la activación de la función de sobre corriente de fase a tierra (50N/51N). Como consecuencia se interrumpieron el suministro de las subestaciones Huarmey y Puerto Antamina con un total de 2,57 MW. A las 03:23 h, se energizó la línea y se inició la normalización del suministro interrumpido.</t>
  </si>
  <si>
    <t>Desconectó la línea L-6655 (Paramonga Nueva - 9 de octubre) de 66 kV, por falla. De acuerdo con lo informado por HIDRANDINA, titular de la línea, la falla se produjo en la celda de la línea L-6688 (9 de Octubre – Puerto Antamina) de 66 kV en la S.E. 09 de Octubre, por descargas parciales. El sistema de protección señalizó la activación de la función de sobre corriente de fase a tierra (50N/51N). Como consecuencia se interrumpieron el suministro de las subestaciones Huarmey y Puerto Antamina con un total de 2,57 MW. A las 05:40 h, se energizó la línea y se inició la normalización del suministro interrumpido.</t>
  </si>
  <si>
    <t>Desconectó la línea L-6654 (Piura Oeste - Paita) de 60 kV, cuya causa no fue informada por ENOSA, titular de la línea. El sistema de protección señalizó la activación de la función de distancia (21) y ubicó la falla a 44,5 km de la S.E. Paita. Como consecuencia se interrumpió el suministro de las subestaciones Paita, Tierra Colorada y Arenal con un total de 35,50 MW. A las 10:39 h, se conectó la línea y se inició la normalización del suministro interrumpido.</t>
  </si>
  <si>
    <t>L. PUNO - POMATA - ILAVE - LINEA L-6027</t>
  </si>
  <si>
    <t>Desconectó la línea L-6027 (Puno - Pomata - Ilave) de 60 kV, por falla. De acuerdo con lo informado por ELECTROPUNO, titular de la línea, la falla se produjo por descargas atmosféricas. El sistema de protección señalizó la activación de la función de sobre corriente a tierra (51N). Como consecuencia se interrumpió el suministro de las subestaciones Puno, Pomata e Ilave con un total de 2,59 MW. A las 05:22 h, se conectó la línea y se inició la normalización del suministro interrumpido.</t>
  </si>
  <si>
    <t>Desconectó la línea L-6027 (Puno - Pomata - Ilave) de 60 kV, por falla. De acuerdo con lo informado por ELECTROPUNO, titular de la línea, la falla se produjo por descargas atmosféricas. El sistema de protección señalizó la activación de la función de sobre corriente a tierra (50N). Como consecuencia se interrumpió el suministro de las subestaciones Puno, Pomata e Ilave con un total de 2,91 MW. A las 10:24 h, se conectó la línea y se inició la normalización del suministro interrumpido.</t>
  </si>
  <si>
    <t>CONCESIONARIA LINEA DE TRANSMISION CCNCM S.A.C.</t>
  </si>
  <si>
    <t>L. CACLIC - BELAUNDE TERRY - LINEA L-2194</t>
  </si>
  <si>
    <t>Desconectó la línea L-2194 (Cáclic – Belaunde Terry) de 220 kV por falla bifásica a tierra en las fases “R” y “T”. De acuerdo a lo informado por CONCESIONARIA LT CCNCM, titular de la línea, se presento fuertes lluvias en la zona. El sistema de protección señalizo la activación de la función diferencial (87). El sistema de protección detecto la falla a una distancia de 34,90 km de la S.E. Cáclic. Asimismo, desconectó el reactor de barra RB-4201 de la S.E. Belaunde Terry. Como consecuencia activó el Esquema de Rechazo Automático de carga por Mínima Tensión de la S.E. Moyobamba, interrumpiendo el suministro de las subestaciones Rioja, Nueva Cajamarca y Cementos Selva con un total de 13,04 MW. Asimismo, la empresa ELECTRO ORIENTE reportó interrupción de suministros en las subestaciones Yurimaguas, Pongo de Caynarachi y Bellavista con un total de 9,64 MW por activación de sus protecciones propias. A las 11:25 h, el CCO-COES coordinó con el CC-EOR la normalización de sus suministros interrumpidos. A las 11:27 h, se conectó la línea L-2194. A las 11:28 h, se cerró el anillo de 138 y 220 kV, Juanjuí - Bellavista-Tarapoto – Belaunde Terry.</t>
  </si>
  <si>
    <t>L. ARICOTA 1 - SARITA - LINEA L-6667</t>
  </si>
  <si>
    <t>Desconectó la línea L-6627 (Aricota 1 - Sarita) de 66 kV, cuya causa no fue informada por EGESUR, titular de la línea. Como consecuencia se interrumpió el suministro de las subestaciones Tarata, Candarave y El Ayro un total de 0,50 MW. A las 15:01 h, se conectó la línea y se inició la normalización del suministro interrumpido.</t>
  </si>
  <si>
    <t>L. CHILCA-FENIX - LINEA L-5011</t>
  </si>
  <si>
    <t>Desconectó la línea L-5011 (Chilca CTM - Fénix) de 500 kV en el lado de la S.E. Fénix. De acuerdo a lo informado por Transmantaro, titular de la línea, la desconexión se produjo por un disparo remoto, por la pérdida de los servicios auxiliares S.S.A.A. de la línea en el lado de la S.E. Chilca CTM. Como consecuencia desconectó la C.T. Fénix cuando generaba 543,00 MW y la frecuencia del SEIN descendió hasta 58,927 Hz activándose así el Esquema de Rechazo Automático de Carga por Mínima Frecuencia (ERACMF) que interrumpió un total de 294,70 MW, aproximadamente. A las 05:30 h, se inició la normalización del suministro interrumpido. A las 10:18 h, se conectó la línea L-5011 en el lado de la S.E. Fénix. A las 15:33 h y 17:20 h, sincronizaron las unidades TG11 y TG12 de la C.T. Fénix con el SEIN, respectivamente.</t>
  </si>
  <si>
    <t>L. ILO 3 - PLAZA TOQUEPALA - LINEA L-1393</t>
  </si>
  <si>
    <t>Desconectó la línea L-1393 (Ilo 3 - Plaza Toquepala) de 138 kV, cuya causa no fue informada por SOUTHERN PERÚ, titular de la línea. Como consecuencia los usuarios libres Minera Southern y Minera Cerro Verde redujeron su carga en 135,20 MW y 70,00 MW, respectivamente. A las 12:00 h y 12:04 h, el CCO-COES coordinó con el CC-SPC y CC-MCV normalizar el total de sus suministros reducidos. A las 16:27 h, se conectó la línea.</t>
  </si>
  <si>
    <t>L. HUARAZ - TICAPAMPA - LINEA L-6681</t>
  </si>
  <si>
    <t>Desconectó la línea L-6681 (Huaraz – Ticapampa) de 66 kV, por falla monofásica a tierra en la fase “S”. De acuerdo con lo informado por HIDRANDINA, titular de la línea, la falla se produjo por descargas atmosféricas. El sistema de protección señalizó la activación de la función de sobre corriente a tierra (50N/51N). Como consecuencia se interrumpió el suministro de la S.E. Ticapampa con un total de 6,70 MW. A las 19:05 h, se conectó la línea y se inició la normalización del suministro interrumpido.</t>
  </si>
  <si>
    <t>L. LA NIÑA - PIURA OESTE - LINEA L-2241</t>
  </si>
  <si>
    <t>Desconectó la línea L-2241 (Piura Oeste - La Niña) de 220 kV en el lado de la S.E. Piura Oeste. De acuerdo a lo informado por REP, titular de la línea, la desconexión se produjo por actuación indebida de la protección diferencial, por falla en canal de comunicaciones. Cabe resaltar que la línea paralela L-2162 (Piura Oeste – La Niña) de 220 kV, se encontraba fiera de servicio, por indisponibilidad programada. Asimismo, desconectó la unidad TG4 de la C.T. Malacas 2 con una generación de 26,20 MW. Como consecuencia, se interrumpieron los suministros de las subestaciones Piura Oeste, Talara y Zorritos con un total de 205,00 MW, aproximadamente. A las 00:40 h, se conectó la línea L-2241 en la S.E. Piura Oeste y se inició la normalizacion del suministro interrumpido.</t>
  </si>
  <si>
    <t>Desconectó la línea L-6027 (Puno - Pomata - Ilave) de 60 kV, por falla. De acuerdo con lo informado por ELECTROPUNO, titular de la línea, la falla se produjo por descargas atmosféricas. El sistema de protección señalizó la activación de la función de sobre corriente a tierra (50N). Como consecuencia se interrumpió el suministro de las subestaciones Puno, Pomata e Ilave con un total de 2,70 MW. A las 04:54 h, se conectó la línea y se inició la normalización del suministro interrumpido.</t>
  </si>
  <si>
    <t>L. BOTIFLACA - PUSH BACK - LINEA L-1386/1</t>
  </si>
  <si>
    <t>Desconectó la línea L-1386/1 (Botiflaca – Push Back) de 138 kV,  por falla monofásica a tierra en la fase “T”. De acuerdo con lo informado por SOUTHERN PERÚ, titular de la línea, la falla se produjo por descargas atmosféricas. El sistema de protección señalizó la activación de la función diferencial de línea (87L). Como consecuencia la empresa MINERA SOUTHERN redujo su carga en 6,80 MW. A las 13:21 h, el CCO-COES coordinó con el CC-SOU normalizar el total de sus suministros interrumpidos. A las 15:34 h, se conectó la línea.</t>
  </si>
  <si>
    <t>Desconectó la línea L-6667 (Aricota 1 - Sarita) de 66 kV, por falla. De acuerdo con lo informado por EGESUR, titular de la línea, la falla se produjo por descargas atmosféricas. El sistema de protección señalizó la activación de la función de sobre corriente de fase a tierra (51N). Como consecuencia se interrumpió el suministro de las subestaciones Tarata, Candarave y El Ayro un total de 0,60 MW. A las 15:27 h, se conectó la línea y se inició la normalización del suministro interrumpido.</t>
  </si>
  <si>
    <t>Desconectó la línea L-6667 (Aricota 1 - Sarita) de 66 kV, por falla. De acuerdo con lo informado por EGESUR, titular de la línea, la falla se produjo por descargas atmosféricas. El sistema de protección señalizó la activación de la función de sobre corriente de fase a tierra (51N). Como consecuencia se interrumpió el suministro de las subestaciones Tarata, Candarave y El Ayro un total de 0,60 MW. A las 14:35 h, se conectó la línea y se inició la normalización del suministro interrumpido</t>
  </si>
  <si>
    <t>Desconectó la línea L-6017 (Ares – Huancarama) de 66 kV, por falla monofásica a tierra en la fase “T”. De acuerdo con lo informado por CONENHUA, titular de la línea, la falla se produjo por nevada intensa en la zona. El sistema de protección señalizó la activación de la función de distancia (21) y ubicó la falla a 13,6 km de la S.E. Ares. Como consecuencia se interrumpió el suministro de la S.E. Huancarama con un total de 4,31 MW. A las 03:02 h, se conectó la línea y se inició la normalización del suministro interrumpido.</t>
  </si>
  <si>
    <t>Desconectó la línea L-6017 (Ares – Huancarama) de 66 kV, por falla monofásica a tierra en la fase “S”. De acuerdo con lo informado por CONENHUA, titular de la línea, la falla se produjo por nevada intensa en la zona. El sistema de protección señalizó la activación de la función de distancia (21) y ubicó la falla a 16,15 km de la S.E. Ares. Como consecuencia se interrumpió el suministro de la S.E. Huancarama con un total de 1,51 MW. A las 07:18 h, se conectó la línea y se inició la normalización del suministro interrumpido.</t>
  </si>
  <si>
    <t>L. CALLALLI - CAYLLOMA - LINEA L-6015</t>
  </si>
  <si>
    <t>Desconectó la línea L-6015 (Callalli - Caylloma) de 66 kV, por falla. De acuerdo con lo informado por MINERA ARES, titular de la línea, la falla se produjo por nevadas en la zona. Como consecuencia se interrumpió el suministro de las subestaciones Ares y Arcata con un total de 5,85 MW y desconectaron las CC.HH. San Antonio y San Ignacio con un total de 0,26 MW y 0,25 MW, respectivamente. A las 07:44 h, se conectó la línea y se inició la normalización del suministro interrumpido. A las 08:01 h y 08:20 h, sincronizaron las CC.HH. San Antonio y San Ignacio, respectivamente.</t>
  </si>
  <si>
    <t>Desconectó la línea L-1386/1 (Botiflaca – Push Back) de 138 kV,  cuya causa no fue informada por SOUTHERN PERÚ, titular de la línea. Como consecuencia la empresa MINERA SOUTHERN redujo su carga en 11,60 MW. A las 12:02 h, el CCO-COES coordinó con el CC-SOU normalizar el total de sus suministros interrumpidos. A las 13:28 h, se conectó la línea.</t>
  </si>
  <si>
    <t>L. MALPASO - OROYA - LINEA L-6503</t>
  </si>
  <si>
    <t>Desconectaron las líneas L-6504 (Malpaso – Oroya Nueva), L-6503 (Malpaso – Oroya), L-6509 (Oroya – Torre 7), L-6511 (Torre 7 – Torre 8), L-6512 (Torre 8 – Planta de Zinc) y L-6540/L-6541 (Oroya Nueva - Planta de Zinc) de 50 kV, por falla. De acuerdo con lo informado por STATKRAFT, titular de las líneas, la falla se produjo por descargas atmosféricas. Como consecuencia desconectaron las CC.HH. Malpaso y Oroya cuando generaban 29,30 MW y Oroya 7,50 MW, respectivamente. Asimismo, se interrumpió el suministro de las subestaciones Torre 7, Torre 8, Casa de Fuerza, Planta de Zinc y Mayupampa con un total de 2,02 MW. A las 16:08 h y 16:09 h, se conectaron las líneas L-6504 y L-6540/L-6541, respectivamente. A las 16:17 h, se conectaron las líneas L-6509, L-6511 y L-6512. A las 16:46 h, se conectó la línea L-6503. A las 18:02 h, sincronizó la C.H. Malpaso con el SEIN.</t>
  </si>
  <si>
    <t>S.E. ABANCAY - TRAFO3D TA-TR-1001</t>
  </si>
  <si>
    <t>Desconectó el transformador TA-TR-1001 de 138/60/13.2 kV de la S.E. Abancay, por falla. De acuerdo con lo informado por ELECTRO SUR ESTE, titular de la línea, la falla se produjo por inversión de fases en el lado de 13.2 kV. El sistema de protección señalizó la activación de la función diferencial del transformador (87T). Como consecuencia se interrumpió el suministro de las subestaciones Tamburco, Chacapuente y Andahuaylas con un total de 4,93 MW. A las 17:12 h, se conectó el transformador y se inició la normalización del suministro interrumpido.</t>
  </si>
  <si>
    <t>L. COLCABAMBA - CERRO DEL AGUILA - LINEA L-2140</t>
  </si>
  <si>
    <t>Desconectaron las líneas L-2140/L-2141 (Colcabamba - Cerro del Águila) de 220 kV, cuya causa no fue informada por TRANSMANTARO, titular de las líneas. El sistema de protección señalizó la activación de la función diferencial de línea (87). Como consecuencia desconectó la C.H. Cerro del Águila cuando generaba 489,74 MW y disminuyó la frecuencia del SEIN hasta 58,996 Hz activándose el Esquema de Rechazo Automático de Carga por Mínima Frecuencia (ERACMF) con lo cual se interrumpió un total de 282,93 MW, aproximadamente. A las 05:41 h, se inició la normalización de suministros interrumpidos. A las 06:19 h, se conectaron las líneas L-2140 y L-2141. A las 06:37 h, sincronizó la central con el SEIN.</t>
  </si>
  <si>
    <t>Desconectó la línea L-2056 (Cotaruse - Las Bambas) de 220 kV, por falla bifásica entre las fases “S” y “T”. De acuerdo con lo informado por ATN 2, titular de la línea, el motivo de la falla se encuentra en investigación. El sistema de protección señalizó la activación de la función diferencial de línea (87). Como consecuencia el usuario libre Minera Las Bambas redujo su carga de 123,00 MW a 33,00 MW. A las 08:15 h, se conectó la línea.</t>
  </si>
  <si>
    <t>L. COTARUSE - LAS BAMBAS - LINEA L-2055</t>
  </si>
  <si>
    <t>Desconexión de la línea L-2055 (Cotaruse - Las Bambas) de 220 kV, por falla bifásica entre las fases “R” y “S” cuya causa no fue informada por ATN 2, titular de la línea. El sistema de protección señalizó la activación de la función diferencial de línea (87). El sistema de protección detecto la falla a una distancia de 6,10 km de la S.E. Las Bambas. Cabe resaltar que la línea paralela L-2056, se encontraba fuera de servicio por falla. Como consecuencia, se interrumpió el suministro de la S.E. Las Bambas con un total de 108,18 MW. A las 08:15 h, se conectó la línea L-2056 y se inició la normalización del suministro interrumpido. A las 08:34 h, se conectó la línea L-2055.</t>
  </si>
  <si>
    <t>L. CERRO VERDE - REPARTICIÓN - LINEA L-1029</t>
  </si>
  <si>
    <t>Desconectó la línea L-1029 (Cerro Verde - Repartición) de 138 kV, cuya causa no fue informada por REP, titular de la línea. Como consecuencia se interrumpió el suministro de las subestaciones Repartición, Mollendo, Majes, Pedregal, Camaná, La Joya y San Camilo con un total de 32,04 MW, aproximadamente. Asimismo, desconectaron las CC.SS. Repartición y Majes cuando generaban 2,06 MW y 5,33 MW, respectivamente. A las 15:10 h, se conectó la línea y se inició la normalización del suministro interrumpido.</t>
  </si>
  <si>
    <t>Desconectó la línea L-1029 (Cerro Verde - Repartición) de 138 kV, cuya causa no fue informada por REP, titular de la línea. Como consecuencia se interrumpió el suministro de las subestaciones Repartición, Mollendo, Majes, Pedregal, Camaná, La Joya y San Camilo con un total de 28,56 MW, aproximadamente. Asimismo, desconectaron las CC.SS. Repartición y Majes cuando generaban 0,87 MW y 0,39 MW, respectivamente. A las 16:57 h, se conectó la línea y se inició la normalización del suministro interrumpido.</t>
  </si>
  <si>
    <t>Desconectó la línea L-1029 (Cerro Verde - Repartición) de 138 kV, cuya causa no fue informada por REP, titular de la línea. Como consecuencia se interrumpió el suministro de las subestaciones Repartición, Mollendo, Majes, Pedregal, Camaná, La Joya y San Camilo con un total de 34,90 MW, aproximadamente. A las 23:58 h, se conectó la línea y se inició la normalización del suministro interrumpido.</t>
  </si>
  <si>
    <t>Se produjo un recierre monofásico exitoso en la línea L-2030 (Moquegua – Puno) de 220 kV, por falla monofásica a tierra en la fase “S”. De acuerdo con lo informado por REDESUR, titular de la línea, el motivo de la falla se encuentra en investigación. El sistema de protección señalizó la activación de la función diferencial de línea (87). Como consecuencia los usuarios libres Minera Cerro Verde y Minera Southern redujeron su carga en 139,00 MW y 29,20 MW, respectivamente.</t>
  </si>
  <si>
    <t>Desconectó la línea L-1029 (Cerro Verde - Repartición) de 138 kV, cuya causa no fue informada por REP, titular de la línea. Como consecuencia se interrumpió el suministro de las subestaciones Repartición, Mollendo, Majes, Pedregal, Camaná, La Joya y San Camilo con un total de 26,10 MW, aproximadamente. A las 04:22 h, se conectó la línea. A las 04:30 h, desconectó nuevamente la línea L-1029 cuando se encontraban realizando las maniobras de restablecimiento. A las 08:28 h, se energizó la línea L-1029 en serie con la línea L-1024, ambas conectadas a la barra B de la S.E. Cerro Verde. A las 08:30 h, se energizó la barra de 138 kV de la S.E. Repartición y se inició la normalización del suministro interrumpido.</t>
  </si>
  <si>
    <t>L. INGENIO - CAUDALOSA - LINEA L-6644</t>
  </si>
  <si>
    <t>Desconectó la línea L-6644 (Ingenio - Caudalosa) de 60 kV, por falla bifásica entre las fases “S” y “T”. De acuerdo con lo informado por CONENHUA, titular de la línea, el motivo de la falla se encuentra en investigación. El sistema de protección señalizó la activación de la función de distancia (21). Como consecuencia se interrumpió el suministro de la S.E. Caudalosa con un total de 0,44 MW. A las 07:36 h, se conectó la línea y se inició la normalización del suministro interrumpido.</t>
  </si>
  <si>
    <t>Desconectó la línea L-1136 (Trujillo Norte - Alto Chicama) de 138 kV, cuya causa no fue informada por COMPAÑÍA TRANSMISORA ANDINA, titular de la línea. El sistema de protección señalizó la activación de la función de distancia (21) y ubicó la falla a 81,5 km de la S.E. Trujillo Norte. Como consecuencia se interrumpió el suministro de la S.E. Alto Chicama con un total de 10,22 MW, aproximadamente. A las 13:00 h, se conectó la línea y se inició la normalización de suministros interrumpidos.</t>
  </si>
  <si>
    <t>Desconectó la línea L-6007 (Puno - Tucari) de 60 kV, cuya causa no fue informada por MINERA ARUNTANI, titular de la línea. El sistema de protección señalizó la activación de la función de distancia (21). Como consecuencia se interrumpió el suministro del usuario libre Minera Aruntani con un total de 5,07 MW. A las 14:23 h, se conectó la línea y se inició la normalización del suministro interrumpido.</t>
  </si>
  <si>
    <t>EMPRESA DE GENERACION HUALLAGA</t>
  </si>
  <si>
    <t>L. CHAGLLA - PARAGSHA - LINEA L-2151</t>
  </si>
  <si>
    <t>Desconectó la línea L-2151 (Chaglla – Paragsha 2) de 220 kV, por falla bifásica a tierra entre las fases “R” y “T”. De acuerdo con lo informado por EMPRESA DE GENERACIÓN HUALLAGA, titular de la línea, la falla se produjo por descargas atmosféricas. Como consecuencia desconectó el grupo G1 de la C.H. Chaglla cuando generaba 225,80 MW. Asimismo, el usuario libre Minera Antamina redujo su carga de 110,92 MW a 58,31 MW. A las 22:05 h, se conectó la línea. A las 21:09 h, el CCO-COES coordinó con el CC-CMA normalizar el total de sus suministros reducidos. A las 22:43 h, el grupo con el SEIN.</t>
  </si>
  <si>
    <t>L. ARES - TALTA - LINEA L-1047</t>
  </si>
  <si>
    <t>Desconectó la línea L-1047 (Talta - Ares) de 138 kV, por falla cuya causa no fue informada por CONENHUA, titular de la línea. El sistema de protección señalizó la activación de la función de distancia (21). Como consecuencia se interrumpió el suministro de la S.E. Ares con un total de 1,67 MW. A las 06:36 h, se conectó la línea y se inició la normalización del suministro interrumpido.</t>
  </si>
  <si>
    <t>Desconectó la línea L-1047 (Talta - Ares) de 138 kV, por falla cuya causa no fue informada por CONENHUA, titular de la línea. El sistema de protección señalizó la activación de la función de distancia (21). Como consecuencia se interrumpió el suministro de la S.E. Ares con un total de 0,75 MW. A las 07:40 h, se conectó la línea y se inició la normalización del suministro interrumpido.</t>
  </si>
  <si>
    <t>Desconectó la línea L-1047 (Talta - Ares) de 138 kV, por falla cuya causa no fue informada por CONENHUA, titular de la línea. El sistema de protección señalizó la activación de la función de distancia (21). Como consecuencia se interrumpió el suministro de la S.E. Ares con un total de 0,01 MW. A las 13:01 h, se conectó la línea y se inició la normalización del suministro interrumpido.</t>
  </si>
  <si>
    <t>L. HUANCAVELICA - INGENIO - LINEA L-6643</t>
  </si>
  <si>
    <t>Desconectó la línea L-6643 (Huancavelica - Ingenio) de 60 kV, cuya causa no fue informada por CONENHUA, titular de la línea. Como consecuencia se interrumpió el suministro de la S.E. Ingenio con un total de 7,73 MW. A las 14:11 h, se conectó la línea y se inició la normalización del suministro interrumpido.</t>
  </si>
  <si>
    <t>Desconectó la línea L-6024 (Azángaro - Putina) de 60 kV, por falla. De acuerdo con lo informado por ELECTROPUNO, titular de la línea, la falla se produjo por descargas atmosféricas. El sistema de protección señalizó la activación de la función diferencial de línea (87). Como consecuencia se interrumpió el suministro de las subestaciones Ananea y Huancané con un total de 8,51 MW. A las 16:20 h, se conectó la línea y se inició la normalización del suministro interrumpido.</t>
  </si>
  <si>
    <t>CL-2018</t>
  </si>
  <si>
    <t>L-2018</t>
  </si>
  <si>
    <t>L-2003  L-2004</t>
  </si>
  <si>
    <t>L-2110</t>
  </si>
  <si>
    <t>L-2201  L-2202</t>
  </si>
  <si>
    <t>L-2203  L-2204</t>
  </si>
  <si>
    <t>L-2222  L-2223</t>
  </si>
  <si>
    <t>L-2226</t>
  </si>
  <si>
    <t>L-2241</t>
  </si>
  <si>
    <t>L-2264</t>
  </si>
  <si>
    <t>L-2294</t>
  </si>
  <si>
    <t>L-3002  L-3003</t>
  </si>
  <si>
    <t>L-6627  L-6628</t>
  </si>
  <si>
    <t>T-30  T3-261  T4-261</t>
  </si>
  <si>
    <t>CERRO DEL AGUILA</t>
  </si>
  <si>
    <t>LOS INDUSTRIALES</t>
  </si>
  <si>
    <t>SAN JUAN - LOS INDUSTRIALES</t>
  </si>
  <si>
    <t>SANTA ROSA N. - CHAVARRÍA</t>
  </si>
  <si>
    <t>HUANZA-CARABAYLLO</t>
  </si>
  <si>
    <t>CAMPO ARMIÑO - POMACOCHA</t>
  </si>
  <si>
    <t>CAMPO ARMIÑO - HUANCAVELICA</t>
  </si>
  <si>
    <t>PACHACHACA - CALLAHUANCA (REP)</t>
  </si>
  <si>
    <t>PACHACHACA - POMACOCHA</t>
  </si>
  <si>
    <t>LA NIÑA - PIURA OESTE</t>
  </si>
  <si>
    <t>PARAGSHA II - CONOCOCHA</t>
  </si>
  <si>
    <t>POMACOCHA - CARHUAMAYO</t>
  </si>
  <si>
    <t>CHILINA - CONVERTIDOR</t>
  </si>
  <si>
    <t>INDEPENDENCIA</t>
  </si>
  <si>
    <t>ENERO 2019</t>
  </si>
  <si>
    <t>29/01/2019</t>
  </si>
  <si>
    <t>01/01/2019</t>
  </si>
  <si>
    <t>00:15</t>
  </si>
  <si>
    <t>02/01/2019</t>
  </si>
  <si>
    <t>03/01/2019</t>
  </si>
  <si>
    <t>04/01/2019</t>
  </si>
  <si>
    <t>05/01/2019</t>
  </si>
  <si>
    <t>06/01/2019</t>
  </si>
  <si>
    <t>07/01/2019</t>
  </si>
  <si>
    <t>14:45</t>
  </si>
  <si>
    <t>08/01/2019</t>
  </si>
  <si>
    <t>09/01/2019</t>
  </si>
  <si>
    <t>10/01/2019</t>
  </si>
  <si>
    <t>11/01/2019</t>
  </si>
  <si>
    <t>12/01/2019</t>
  </si>
  <si>
    <t>13/01/2019</t>
  </si>
  <si>
    <t>14/01/2019</t>
  </si>
  <si>
    <t>15/01/2019</t>
  </si>
  <si>
    <t>16/01/2019</t>
  </si>
  <si>
    <t>17/01/2019</t>
  </si>
  <si>
    <t>18/01/2019</t>
  </si>
  <si>
    <t>19/01/2019</t>
  </si>
  <si>
    <t>20/01/2019</t>
  </si>
  <si>
    <t>21/01/2019</t>
  </si>
  <si>
    <t>22/01/2019</t>
  </si>
  <si>
    <t>23/01/2019</t>
  </si>
  <si>
    <t>24/01/2019</t>
  </si>
  <si>
    <t>21:45</t>
  </si>
  <si>
    <t>25/01/2019</t>
  </si>
  <si>
    <t>26/01/2019</t>
  </si>
  <si>
    <t>27/01/2019</t>
  </si>
  <si>
    <t>28/01/2019</t>
  </si>
  <si>
    <t>16:30</t>
  </si>
  <si>
    <t>30/01/2019</t>
  </si>
  <si>
    <t>31/01/2019</t>
  </si>
  <si>
    <t xml:space="preserve">          No se presentó nuevos ingresos en el mes enero 2019.</t>
  </si>
  <si>
    <t>2. MODIFICACION DE LA OFERTA DE GENERACIÓN ELÉCTRICA DEL SEIN EN EL 2019</t>
  </si>
  <si>
    <t>VOLUMEN UTIL
31-01-2018</t>
  </si>
  <si>
    <t>Gráfico N°13: Evolución semanal del volumen de las lagunas de ENEL durante los años 2016 - 2019</t>
  </si>
  <si>
    <t>Gráfico N°14: Evolución semanal del volumen del lago JUNÍN durante los años 2016 - 2019</t>
  </si>
  <si>
    <t>Gráfico N°15: Evolución semanal del volumen de los embalses de EGASA durante los años 2016 - 2019.</t>
  </si>
  <si>
    <t>Gráfico N°16: Evolución del promedio semanal de caudales de los ríos SANTA, CHANCAY y PATIVILCA en los años 2016 - 2019.</t>
  </si>
  <si>
    <t>Gráfico N°17: Evolución del promedio semanal de caudales de los ríos RÍMAC y SANTA EULALIA en los años 2016 - 2019.</t>
  </si>
  <si>
    <t>Gráfico N°18: Evolución del promedio semanal de caudales de los ríos MANTARO, TULUMAYO y TARMA  en los años 2016 - 2019.</t>
  </si>
  <si>
    <t>Gráfico N°19: Evolución del promedio semanal de caudales de las cuencas CHILI, ARICOTA, VILCANOTA Y SAN GABÁN en los años 2016 - 2019.</t>
  </si>
  <si>
    <t>23:15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</si>
</sst>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s>
  <fonts count="85">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i/>
      <sz val="8"/>
      <color indexed="12"/>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sz val="7"/>
      <color theme="0"/>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5.5"/>
      <color theme="1"/>
      <name val="Arial"/>
      <family val="2"/>
    </font>
    <font>
      <b/>
      <sz val="6"/>
      <name val="Arial"/>
      <family val="2"/>
    </font>
    <font>
      <sz val="6"/>
      <name val="Arial"/>
      <family val="2"/>
    </font>
    <font>
      <sz val="8"/>
      <color theme="0"/>
      <name val="Arial"/>
      <family val="2"/>
    </font>
    <font>
      <sz val="5"/>
      <color rgb="FFA3A3A3"/>
      <name val="Arial"/>
      <family val="2"/>
    </font>
    <font>
      <sz val="8"/>
      <color rgb="FFA3A3A3"/>
      <name val="Arial"/>
      <family val="2"/>
    </font>
    <font>
      <b/>
      <sz val="5"/>
      <color rgb="FFA3A3A3"/>
      <name val="Arial"/>
      <family val="2"/>
    </font>
    <font>
      <sz val="5"/>
      <color theme="1"/>
      <name val="Arial"/>
      <family val="2"/>
    </font>
    <font>
      <b/>
      <sz val="5"/>
      <color theme="1"/>
      <name val="Arial"/>
      <family val="2"/>
    </font>
    <font>
      <sz val="8"/>
      <color theme="1" tint="0.249977111117893"/>
      <name val="Arial"/>
      <family val="2"/>
    </font>
    <font>
      <b/>
      <sz val="10"/>
      <color theme="1" tint="0.249977111117893"/>
      <name val="Tahoma"/>
      <family val="2"/>
    </font>
    <font>
      <b/>
      <sz val="8.5"/>
      <color theme="1" tint="0.249977111117893"/>
      <name val="Tahoma"/>
      <family val="2"/>
    </font>
    <font>
      <sz val="8.5"/>
      <color theme="1" tint="0.249977111117893"/>
      <name val="Tahoma"/>
      <family val="2"/>
    </font>
    <font>
      <sz val="8"/>
      <color theme="1" tint="0.249977111117893"/>
      <name val="Helvetica"/>
      <family val="2"/>
    </font>
    <font>
      <sz val="8"/>
      <color theme="1" tint="0.249977111117893"/>
      <name val="Arial Narrow"/>
      <family val="2"/>
    </font>
    <font>
      <b/>
      <sz val="6"/>
      <color theme="1"/>
      <name val="Arial"/>
      <family val="2"/>
    </font>
    <font>
      <sz val="6"/>
      <color theme="0"/>
      <name val="Arial"/>
      <family val="2"/>
    </font>
    <font>
      <sz val="5"/>
      <color theme="1" tint="0.249977111117893"/>
      <name val="Arial"/>
      <family val="2"/>
    </font>
    <font>
      <b/>
      <sz val="12"/>
      <color rgb="FF1F2532"/>
      <name val="Calibri"/>
      <family val="2"/>
    </font>
    <font>
      <sz val="4"/>
      <color theme="1"/>
      <name val="Arial"/>
      <family val="2"/>
    </font>
    <font>
      <b/>
      <sz val="5"/>
      <name val="Arial"/>
      <family val="2"/>
    </font>
    <font>
      <sz val="5"/>
      <name val="Arial"/>
      <family val="2"/>
    </font>
    <font>
      <sz val="4"/>
      <name val="Arial"/>
      <family val="2"/>
    </font>
    <font>
      <b/>
      <sz val="10.5"/>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s>
  <borders count="156">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style="hair">
        <color theme="3" tint="0.39991454817346722"/>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hair">
        <color theme="3" tint="0.39991454817346722"/>
      </left>
      <right style="hair">
        <color theme="3" tint="0.39991454817346722"/>
      </right>
      <top style="hair">
        <color theme="3" tint="0.39991454817346722"/>
      </top>
      <bottom/>
      <diagonal/>
    </border>
    <border>
      <left style="hair">
        <color theme="3" tint="0.39991454817346722"/>
      </left>
      <right style="hair">
        <color theme="3" tint="0.39991454817346722"/>
      </right>
      <top/>
      <bottom style="hair">
        <color theme="3" tint="0.39991454817346722"/>
      </bottom>
      <diagonal/>
    </border>
    <border>
      <left/>
      <right/>
      <top/>
      <bottom style="hair">
        <color theme="3" tint="0.39991454817346722"/>
      </bottom>
      <diagonal/>
    </border>
    <border>
      <left/>
      <right/>
      <top style="hair">
        <color theme="3" tint="0.39991454817346722"/>
      </top>
      <bottom/>
      <diagonal/>
    </border>
    <border>
      <left style="hair">
        <color theme="4"/>
      </left>
      <right style="hair">
        <color theme="4"/>
      </right>
      <top style="hair">
        <color theme="4"/>
      </top>
      <bottom/>
      <diagonal/>
    </border>
    <border>
      <left style="hair">
        <color theme="4"/>
      </left>
      <right style="hair">
        <color theme="4"/>
      </right>
      <top/>
      <bottom/>
      <diagonal/>
    </border>
    <border>
      <left style="hair">
        <color theme="4"/>
      </left>
      <right style="hair">
        <color theme="4"/>
      </right>
      <top/>
      <bottom style="hair">
        <color theme="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right/>
      <top style="thin">
        <color theme="4"/>
      </top>
      <bottom/>
      <diagonal/>
    </border>
    <border>
      <left/>
      <right style="thin">
        <color theme="4"/>
      </right>
      <top style="thin">
        <color theme="4"/>
      </top>
      <bottom/>
      <diagonal/>
    </border>
    <border>
      <left/>
      <right style="thin">
        <color theme="4"/>
      </right>
      <top/>
      <bottom/>
      <diagonal/>
    </border>
    <border>
      <left style="thin">
        <color theme="4"/>
      </left>
      <right/>
      <top/>
      <bottom/>
      <diagonal/>
    </border>
    <border>
      <left style="thin">
        <color theme="4"/>
      </left>
      <right/>
      <top style="thin">
        <color theme="4"/>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
      <left style="thin">
        <color theme="4"/>
      </left>
      <right style="thin">
        <color theme="0"/>
      </right>
      <top style="thin">
        <color theme="4"/>
      </top>
      <bottom style="thin">
        <color theme="0"/>
      </bottom>
      <diagonal/>
    </border>
    <border>
      <left style="thin">
        <color theme="0"/>
      </left>
      <right style="thin">
        <color theme="0"/>
      </right>
      <top style="thin">
        <color theme="4"/>
      </top>
      <bottom style="thin">
        <color theme="0"/>
      </bottom>
      <diagonal/>
    </border>
    <border>
      <left style="thin">
        <color theme="0"/>
      </left>
      <right style="thin">
        <color theme="4"/>
      </right>
      <top style="thin">
        <color theme="4"/>
      </top>
      <bottom style="thin">
        <color theme="0"/>
      </bottom>
      <diagonal/>
    </border>
    <border>
      <left style="thin">
        <color theme="4"/>
      </left>
      <right style="thin">
        <color theme="0"/>
      </right>
      <top style="thin">
        <color theme="0"/>
      </top>
      <bottom style="thin">
        <color theme="0"/>
      </bottom>
      <diagonal/>
    </border>
    <border>
      <left style="thin">
        <color theme="0"/>
      </left>
      <right style="thin">
        <color theme="4"/>
      </right>
      <top style="thin">
        <color theme="0"/>
      </top>
      <bottom style="thin">
        <color theme="0"/>
      </bottom>
      <diagonal/>
    </border>
    <border>
      <left style="thin">
        <color theme="4"/>
      </left>
      <right style="thin">
        <color theme="0"/>
      </right>
      <top style="thin">
        <color theme="0"/>
      </top>
      <bottom style="thin">
        <color theme="4"/>
      </bottom>
      <diagonal/>
    </border>
    <border>
      <left style="thin">
        <color theme="0"/>
      </left>
      <right style="thin">
        <color theme="0"/>
      </right>
      <top style="thin">
        <color theme="0"/>
      </top>
      <bottom style="thin">
        <color theme="4"/>
      </bottom>
      <diagonal/>
    </border>
    <border>
      <left style="thin">
        <color theme="0"/>
      </left>
      <right style="thin">
        <color theme="4"/>
      </right>
      <top style="thin">
        <color theme="0"/>
      </top>
      <bottom style="thin">
        <color theme="4"/>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style="thin">
        <color theme="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4"/>
      </right>
      <top style="thin">
        <color theme="0" tint="-0.14996795556505021"/>
      </top>
      <bottom style="thin">
        <color theme="0" tint="-0.14996795556505021"/>
      </bottom>
      <diagonal/>
    </border>
    <border>
      <left style="thin">
        <color theme="4"/>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4"/>
      </right>
      <top style="thin">
        <color theme="0" tint="-0.14996795556505021"/>
      </top>
      <bottom/>
      <diagonal/>
    </border>
    <border>
      <left style="thin">
        <color theme="4"/>
      </left>
      <right style="thin">
        <color theme="0" tint="-0.14996795556505021"/>
      </right>
      <top style="thin">
        <color theme="4"/>
      </top>
      <bottom style="thin">
        <color theme="0" tint="-0.14996795556505021"/>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theme="0" tint="-0.14996795556505021"/>
      </left>
      <right style="thin">
        <color theme="4"/>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right/>
      <top style="thin">
        <color theme="0" tint="-0.14996795556505021"/>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hair">
        <color theme="3" tint="0.39988402966399123"/>
      </left>
      <right style="hair">
        <color theme="3" tint="0.39988402966399123"/>
      </right>
      <top/>
      <bottom style="hair">
        <color theme="3" tint="0.3999145481734672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5351115451523"/>
      </right>
      <top/>
      <bottom style="thin">
        <color theme="3" tint="0.39994506668294322"/>
      </bottom>
      <diagonal/>
    </border>
    <border>
      <left style="hair">
        <color theme="3" tint="0.39985351115451523"/>
      </left>
      <right style="hair">
        <color theme="3" tint="0.39988402966399123"/>
      </right>
      <top/>
      <bottom style="thin">
        <color theme="3" tint="0.39994506668294322"/>
      </bottom>
      <diagonal/>
    </border>
    <border>
      <left/>
      <right style="thin">
        <color theme="3" tint="0.39991454817346722"/>
      </right>
      <top/>
      <bottom style="thin">
        <color theme="3" tint="0.39994506668294322"/>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s>
  <cellStyleXfs count="9">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5" fillId="0" borderId="0"/>
    <xf numFmtId="0" fontId="39" fillId="0" borderId="0"/>
    <xf numFmtId="0" fontId="39" fillId="0" borderId="0"/>
    <xf numFmtId="164" fontId="1" fillId="0" borderId="0" applyFont="0" applyFill="0" applyBorder="0" applyAlignment="0" applyProtection="0"/>
    <xf numFmtId="0" fontId="1" fillId="0" borderId="0"/>
  </cellStyleXfs>
  <cellXfs count="918">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0" fontId="13" fillId="2" borderId="0" xfId="0" applyFont="1" applyFill="1" applyAlignment="1">
      <alignment vertical="center" wrapText="1"/>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170" fontId="13" fillId="4" borderId="3" xfId="0" applyNumberFormat="1" applyFont="1" applyFill="1" applyBorder="1" applyAlignment="1">
      <alignment horizontal="left" vertical="center"/>
    </xf>
    <xf numFmtId="170" fontId="13" fillId="0" borderId="3" xfId="0" applyNumberFormat="1" applyFont="1" applyBorder="1" applyAlignment="1">
      <alignment horizontal="left" vertical="center"/>
    </xf>
    <xf numFmtId="170" fontId="13" fillId="4" borderId="41" xfId="0" applyNumberFormat="1" applyFont="1" applyFill="1" applyBorder="1" applyAlignment="1">
      <alignment horizontal="left" vertical="center"/>
    </xf>
    <xf numFmtId="170" fontId="21" fillId="0" borderId="55" xfId="0" applyNumberFormat="1" applyFont="1" applyBorder="1" applyAlignment="1">
      <alignment horizontal="left" vertical="center"/>
    </xf>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13" fillId="2" borderId="0" xfId="0" applyNumberFormat="1" applyFont="1" applyFill="1" applyAlignment="1">
      <alignment horizontal="center"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4" fontId="13" fillId="0" borderId="79" xfId="0" applyNumberFormat="1" applyFont="1" applyBorder="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quotePrefix="1" applyFont="1" applyFill="1" applyAlignment="1">
      <alignment horizontal="left"/>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0" fontId="13" fillId="2" borderId="0" xfId="0" quotePrefix="1" applyFont="1" applyFill="1" applyAlignment="1">
      <alignment horizontal="left" vertical="center"/>
    </xf>
    <xf numFmtId="0" fontId="21" fillId="2" borderId="0" xfId="0" quotePrefix="1" applyFont="1" applyFill="1" applyAlignment="1">
      <alignment horizontal="left" vertical="center"/>
    </xf>
    <xf numFmtId="170" fontId="13" fillId="2" borderId="0" xfId="0" applyNumberFormat="1" applyFont="1" applyFill="1"/>
    <xf numFmtId="0" fontId="13" fillId="2" borderId="0" xfId="2" applyNumberFormat="1" applyFont="1" applyFill="1" applyAlignment="1">
      <alignment horizontal="right"/>
    </xf>
    <xf numFmtId="0" fontId="13" fillId="2" borderId="0" xfId="0" quotePrefix="1" applyFont="1" applyFill="1" applyAlignment="1">
      <alignment horizontal="left" vertical="center" indent="3"/>
    </xf>
    <xf numFmtId="0" fontId="21" fillId="2" borderId="0" xfId="2" applyNumberFormat="1" applyFont="1" applyFill="1" applyAlignment="1">
      <alignment horizontal="right"/>
    </xf>
    <xf numFmtId="0" fontId="0" fillId="2" borderId="0" xfId="0" quotePrefix="1" applyFill="1" applyAlignment="1">
      <alignment horizontal="left" vertical="center" indent="3"/>
    </xf>
    <xf numFmtId="0" fontId="29" fillId="2" borderId="0" xfId="0" applyFont="1" applyFill="1" applyAlignment="1">
      <alignment horizontal="right"/>
    </xf>
    <xf numFmtId="0" fontId="21" fillId="2" borderId="0" xfId="0" quotePrefix="1" applyFont="1" applyFill="1" applyAlignment="1">
      <alignment horizontal="left"/>
    </xf>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2" fontId="13" fillId="0" borderId="30" xfId="0" applyNumberFormat="1" applyFont="1" applyBorder="1" applyAlignment="1">
      <alignment horizontal="right" vertical="center"/>
    </xf>
    <xf numFmtId="2" fontId="13" fillId="0" borderId="31" xfId="0" applyNumberFormat="1" applyFont="1" applyBorder="1" applyAlignment="1">
      <alignment horizontal="right" vertical="center"/>
    </xf>
    <xf numFmtId="49" fontId="13" fillId="0" borderId="0" xfId="0" applyNumberFormat="1" applyFont="1" applyAlignment="1">
      <alignment horizontal="left"/>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2" fontId="0" fillId="0" borderId="0" xfId="0" applyNumberFormat="1"/>
    <xf numFmtId="170" fontId="13" fillId="0" borderId="3" xfId="0" applyNumberFormat="1" applyFont="1" applyBorder="1" applyAlignment="1">
      <alignment horizontal="left"/>
    </xf>
    <xf numFmtId="166" fontId="13" fillId="4" borderId="24" xfId="0" applyNumberFormat="1" applyFont="1" applyFill="1" applyBorder="1" applyAlignment="1">
      <alignment horizontal="left" vertical="center"/>
    </xf>
    <xf numFmtId="2" fontId="13" fillId="4" borderId="27" xfId="0" applyNumberFormat="1" applyFont="1" applyFill="1" applyBorder="1" applyAlignment="1">
      <alignment horizontal="right" vertical="center"/>
    </xf>
    <xf numFmtId="2" fontId="13" fillId="4" borderId="28" xfId="0" applyNumberFormat="1" applyFont="1" applyFill="1" applyBorder="1" applyAlignment="1">
      <alignment horizontal="right" vertical="center"/>
    </xf>
    <xf numFmtId="2" fontId="13" fillId="4" borderId="29" xfId="0" applyNumberFormat="1" applyFont="1" applyFill="1" applyBorder="1" applyAlignment="1">
      <alignment horizontal="right" vertical="center"/>
    </xf>
    <xf numFmtId="166" fontId="13" fillId="0" borderId="25" xfId="0" applyNumberFormat="1" applyFont="1" applyBorder="1" applyAlignment="1">
      <alignment horizontal="left" vertical="center"/>
    </xf>
    <xf numFmtId="166" fontId="21" fillId="4" borderId="26" xfId="0" applyNumberFormat="1" applyFont="1" applyFill="1" applyBorder="1" applyAlignment="1">
      <alignment horizontal="left" vertical="center" wrapText="1"/>
    </xf>
    <xf numFmtId="2" fontId="21" fillId="4" borderId="32" xfId="0" applyNumberFormat="1" applyFont="1" applyFill="1" applyBorder="1" applyAlignment="1">
      <alignment horizontal="right" vertical="center"/>
    </xf>
    <xf numFmtId="2" fontId="21" fillId="4" borderId="33" xfId="0" applyNumberFormat="1" applyFont="1" applyFill="1" applyBorder="1" applyAlignment="1">
      <alignment horizontal="right" vertical="center"/>
    </xf>
    <xf numFmtId="2" fontId="21" fillId="4" borderId="34" xfId="0" applyNumberFormat="1" applyFont="1" applyFill="1" applyBorder="1" applyAlignment="1">
      <alignment horizontal="right" vertical="center"/>
    </xf>
    <xf numFmtId="0" fontId="21" fillId="4" borderId="54" xfId="0" quotePrefix="1" applyFont="1" applyFill="1" applyBorder="1" applyAlignment="1">
      <alignment horizontal="left" vertical="center" wrapText="1"/>
    </xf>
    <xf numFmtId="0" fontId="0" fillId="0" borderId="0" xfId="0" applyAlignment="1">
      <alignment horizontal="right"/>
    </xf>
    <xf numFmtId="2" fontId="0" fillId="0" borderId="0" xfId="0" applyNumberFormat="1" applyAlignment="1">
      <alignment horizontal="righ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3" xfId="0" applyNumberFormat="1" applyFont="1" applyFill="1" applyBorder="1" applyAlignment="1">
      <alignment horizontal="center" vertical="center" wrapText="1"/>
    </xf>
    <xf numFmtId="167" fontId="13" fillId="0" borderId="79" xfId="2" applyNumberFormat="1" applyFont="1" applyBorder="1" applyAlignment="1">
      <alignment horizontal="center" vertical="center"/>
    </xf>
    <xf numFmtId="0" fontId="37" fillId="2" borderId="0" xfId="0" applyFont="1" applyFill="1"/>
    <xf numFmtId="0" fontId="33" fillId="2" borderId="0" xfId="0" applyFont="1" applyFill="1"/>
    <xf numFmtId="0" fontId="21" fillId="2" borderId="0" xfId="0" quotePrefix="1" applyFont="1" applyFill="1" applyAlignment="1">
      <alignment vertical="center"/>
    </xf>
    <xf numFmtId="0" fontId="30" fillId="0" borderId="0" xfId="0" applyFont="1"/>
    <xf numFmtId="0" fontId="33" fillId="0" borderId="0" xfId="0" applyFont="1" applyAlignment="1">
      <alignment vertical="center"/>
    </xf>
    <xf numFmtId="0" fontId="33" fillId="0" borderId="0" xfId="0" applyFont="1" applyAlignment="1">
      <alignment vertical="center" wrapText="1"/>
    </xf>
    <xf numFmtId="0" fontId="33" fillId="0" borderId="0" xfId="0" applyFont="1" applyAlignment="1">
      <alignment horizontal="left" vertical="center" wrapText="1"/>
    </xf>
    <xf numFmtId="2" fontId="33" fillId="0" borderId="0" xfId="0" applyNumberFormat="1" applyFont="1" applyAlignment="1">
      <alignment vertical="center" wrapText="1"/>
    </xf>
    <xf numFmtId="4" fontId="27" fillId="0" borderId="126" xfId="0" applyNumberFormat="1" applyFont="1" applyBorder="1" applyAlignment="1">
      <alignment vertical="center"/>
    </xf>
    <xf numFmtId="4" fontId="27" fillId="0" borderId="126" xfId="0" applyNumberFormat="1" applyFont="1" applyBorder="1"/>
    <xf numFmtId="4" fontId="27" fillId="6" borderId="126" xfId="0" applyNumberFormat="1" applyFont="1" applyFill="1" applyBorder="1"/>
    <xf numFmtId="174" fontId="0" fillId="0" borderId="0" xfId="0" applyNumberFormat="1"/>
    <xf numFmtId="0" fontId="3" fillId="0" borderId="0" xfId="0" applyFont="1"/>
    <xf numFmtId="0" fontId="4" fillId="0" borderId="0" xfId="0" applyFont="1"/>
    <xf numFmtId="0" fontId="33" fillId="2" borderId="0" xfId="0" applyFont="1" applyFill="1" applyAlignment="1">
      <alignment horizontal="left" vertical="center"/>
    </xf>
    <xf numFmtId="0" fontId="33" fillId="2" borderId="0" xfId="0" applyFont="1" applyFill="1" applyAlignment="1">
      <alignment vertical="center"/>
    </xf>
    <xf numFmtId="0" fontId="30" fillId="0" borderId="0" xfId="0" applyFont="1" applyAlignment="1">
      <alignment vertical="center"/>
    </xf>
    <xf numFmtId="0" fontId="33" fillId="0" borderId="0" xfId="0" applyFont="1" applyAlignment="1">
      <alignment horizontal="center" vertical="center"/>
    </xf>
    <xf numFmtId="49" fontId="27" fillId="0" borderId="0" xfId="0" applyNumberFormat="1" applyFont="1" applyAlignment="1">
      <alignment horizontal="right" vertical="center"/>
    </xf>
    <xf numFmtId="1" fontId="27" fillId="0" borderId="0" xfId="0" applyNumberFormat="1" applyFont="1" applyAlignment="1">
      <alignment horizontal="right" vertical="center"/>
    </xf>
    <xf numFmtId="49" fontId="27" fillId="0" borderId="0" xfId="0" applyNumberFormat="1" applyFont="1" applyAlignment="1">
      <alignment horizontal="center" vertical="center"/>
    </xf>
    <xf numFmtId="1" fontId="27" fillId="0" borderId="0" xfId="0" applyNumberFormat="1" applyFont="1" applyAlignment="1">
      <alignment horizontal="center" vertical="center"/>
    </xf>
    <xf numFmtId="165" fontId="27" fillId="0" borderId="0" xfId="0" applyNumberFormat="1" applyFont="1" applyAlignment="1">
      <alignment horizontal="center" vertical="center"/>
    </xf>
    <xf numFmtId="0" fontId="30" fillId="0" borderId="0" xfId="0" applyFont="1" applyAlignment="1">
      <alignment horizontal="center" vertical="center"/>
    </xf>
    <xf numFmtId="0" fontId="31" fillId="0" borderId="73" xfId="0" applyFont="1" applyBorder="1" applyAlignment="1">
      <alignment vertical="center" wrapText="1"/>
    </xf>
    <xf numFmtId="22" fontId="31" fillId="0" borderId="73" xfId="0" applyNumberFormat="1" applyFont="1" applyBorder="1" applyAlignment="1">
      <alignment horizontal="center" vertical="center" wrapText="1"/>
    </xf>
    <xf numFmtId="0" fontId="31" fillId="0" borderId="73" xfId="0" applyFont="1" applyBorder="1" applyAlignment="1">
      <alignment horizontal="center" vertical="center" wrapText="1"/>
    </xf>
    <xf numFmtId="0" fontId="43" fillId="0" borderId="0" xfId="0" applyFont="1"/>
    <xf numFmtId="0" fontId="44" fillId="0" borderId="0" xfId="0" applyFont="1" applyAlignment="1">
      <alignment vertical="center"/>
    </xf>
    <xf numFmtId="0" fontId="45" fillId="0" borderId="0" xfId="0" applyFont="1" applyAlignment="1">
      <alignment vertical="center"/>
    </xf>
    <xf numFmtId="0" fontId="46" fillId="0" borderId="0" xfId="0" applyFont="1" applyAlignment="1">
      <alignment vertical="center"/>
    </xf>
    <xf numFmtId="0" fontId="44" fillId="0" borderId="0" xfId="0" applyFont="1" applyAlignment="1">
      <alignment horizontal="center" vertical="center"/>
    </xf>
    <xf numFmtId="0" fontId="46" fillId="0" borderId="0" xfId="0" applyFont="1" applyAlignment="1">
      <alignment horizontal="justify" vertical="center"/>
    </xf>
    <xf numFmtId="0" fontId="47" fillId="0" borderId="0" xfId="0" applyFont="1" applyAlignment="1">
      <alignment vertical="center"/>
    </xf>
    <xf numFmtId="0" fontId="45"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21" fillId="4" borderId="40" xfId="1" applyFont="1" applyFill="1" applyBorder="1" applyAlignment="1">
      <alignment horizontal="right" vertical="center"/>
    </xf>
    <xf numFmtId="43" fontId="13" fillId="0" borderId="3" xfId="1" applyFont="1" applyBorder="1" applyAlignment="1">
      <alignment horizontal="right"/>
    </xf>
    <xf numFmtId="43" fontId="13" fillId="0" borderId="0" xfId="1" applyFont="1" applyAlignment="1">
      <alignment horizontal="right"/>
    </xf>
    <xf numFmtId="43" fontId="13" fillId="0" borderId="4" xfId="1" applyFont="1" applyBorder="1" applyAlignment="1">
      <alignment horizontal="right"/>
    </xf>
    <xf numFmtId="43" fontId="13" fillId="4" borderId="3" xfId="1" applyFont="1" applyFill="1" applyBorder="1" applyAlignment="1">
      <alignment horizontal="right" vertical="center"/>
    </xf>
    <xf numFmtId="43" fontId="13" fillId="4" borderId="4" xfId="1" applyFont="1" applyFill="1" applyBorder="1" applyAlignment="1">
      <alignment horizontal="right" vertical="center"/>
    </xf>
    <xf numFmtId="43" fontId="13" fillId="0" borderId="3" xfId="1" applyFont="1" applyBorder="1" applyAlignment="1">
      <alignment horizontal="right" vertical="center"/>
    </xf>
    <xf numFmtId="43" fontId="13" fillId="0" borderId="4" xfId="1" applyFont="1" applyBorder="1" applyAlignment="1">
      <alignment horizontal="right" vertical="center"/>
    </xf>
    <xf numFmtId="43" fontId="13" fillId="4" borderId="41" xfId="1" applyFont="1" applyFill="1" applyBorder="1" applyAlignment="1">
      <alignment horizontal="right" vertical="center"/>
    </xf>
    <xf numFmtId="43" fontId="13" fillId="4" borderId="42" xfId="1" applyFont="1" applyFill="1" applyBorder="1" applyAlignment="1">
      <alignment horizontal="right" vertical="center"/>
    </xf>
    <xf numFmtId="43" fontId="13" fillId="4" borderId="43" xfId="1" applyFont="1" applyFill="1" applyBorder="1" applyAlignment="1">
      <alignment horizontal="right" vertical="center"/>
    </xf>
    <xf numFmtId="43" fontId="21" fillId="0" borderId="55" xfId="1" applyFont="1" applyBorder="1" applyAlignment="1">
      <alignment horizontal="right" vertical="center"/>
    </xf>
    <xf numFmtId="43" fontId="21" fillId="0" borderId="56" xfId="1" applyFont="1" applyBorder="1" applyAlignment="1">
      <alignment horizontal="right" vertical="center"/>
    </xf>
    <xf numFmtId="43" fontId="21" fillId="0" borderId="57" xfId="1" applyFont="1" applyBorder="1" applyAlignment="1">
      <alignment horizontal="right" vertical="center"/>
    </xf>
    <xf numFmtId="43" fontId="21" fillId="4" borderId="55" xfId="1" applyFont="1" applyFill="1" applyBorder="1" applyAlignment="1">
      <alignment horizontal="right" vertical="center"/>
    </xf>
    <xf numFmtId="43" fontId="21" fillId="4" borderId="56" xfId="1" applyFont="1" applyFill="1" applyBorder="1" applyAlignment="1">
      <alignment horizontal="right" vertical="center"/>
    </xf>
    <xf numFmtId="43" fontId="21" fillId="4" borderId="57" xfId="1" applyFont="1" applyFill="1" applyBorder="1" applyAlignment="1">
      <alignment horizontal="right" vertical="center"/>
    </xf>
    <xf numFmtId="0" fontId="4" fillId="2" borderId="0" xfId="0" quotePrefix="1" applyFont="1" applyFill="1" applyAlignment="1">
      <alignment horizontal="left" vertical="top"/>
    </xf>
    <xf numFmtId="0" fontId="48" fillId="0" borderId="0" xfId="0" applyFont="1"/>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50" fillId="0" borderId="0" xfId="0" applyFont="1" applyAlignment="1">
      <alignment vertical="center"/>
    </xf>
    <xf numFmtId="0" fontId="51" fillId="0" borderId="0" xfId="0" applyFont="1" applyAlignment="1">
      <alignment vertical="center"/>
    </xf>
    <xf numFmtId="0" fontId="52" fillId="0" borderId="0" xfId="0" applyFont="1" applyAlignment="1">
      <alignment vertical="center"/>
    </xf>
    <xf numFmtId="0" fontId="52" fillId="0" borderId="0" xfId="0" applyFont="1" applyAlignment="1">
      <alignment horizontal="right" vertical="center"/>
    </xf>
    <xf numFmtId="0" fontId="50" fillId="0" borderId="0" xfId="0" applyFont="1" applyAlignment="1">
      <alignment horizontal="center" vertical="center"/>
    </xf>
    <xf numFmtId="0" fontId="52" fillId="0" borderId="0" xfId="0" applyFont="1" applyAlignment="1">
      <alignment horizontal="justify" vertical="center"/>
    </xf>
    <xf numFmtId="17" fontId="53" fillId="0" borderId="0" xfId="0" applyNumberFormat="1" applyFont="1" applyAlignment="1">
      <alignment vertical="center"/>
    </xf>
    <xf numFmtId="2" fontId="53" fillId="0" borderId="0" xfId="0" applyNumberFormat="1" applyFont="1" applyAlignment="1">
      <alignment vertical="center"/>
    </xf>
    <xf numFmtId="0" fontId="53" fillId="0" borderId="0" xfId="0" quotePrefix="1" applyFont="1" applyAlignment="1">
      <alignment vertical="center" wrapText="1"/>
    </xf>
    <xf numFmtId="2" fontId="53" fillId="0" borderId="0" xfId="0" quotePrefix="1" applyNumberFormat="1" applyFont="1" applyAlignment="1">
      <alignment vertical="center" wrapText="1"/>
    </xf>
    <xf numFmtId="0" fontId="53" fillId="0" borderId="0" xfId="0" applyFont="1" applyAlignment="1">
      <alignment vertical="center"/>
    </xf>
    <xf numFmtId="14" fontId="50" fillId="0" borderId="0" xfId="0" applyNumberFormat="1" applyFont="1" applyAlignment="1">
      <alignment vertical="center"/>
    </xf>
    <xf numFmtId="0" fontId="49" fillId="0" borderId="0" xfId="0" applyFont="1" applyAlignment="1">
      <alignment vertical="center"/>
    </xf>
    <xf numFmtId="1" fontId="54" fillId="0" borderId="0" xfId="0" applyNumberFormat="1" applyFont="1" applyAlignment="1">
      <alignment horizontal="center" vertical="center"/>
    </xf>
    <xf numFmtId="171" fontId="55" fillId="7" borderId="0" xfId="3" applyFont="1" applyFill="1"/>
    <xf numFmtId="0" fontId="51" fillId="0" borderId="0" xfId="0" applyFont="1"/>
    <xf numFmtId="1" fontId="56" fillId="0" borderId="0" xfId="3" applyNumberFormat="1" applyFont="1" applyAlignment="1">
      <alignment horizontal="center"/>
    </xf>
    <xf numFmtId="172" fontId="56" fillId="0" borderId="0" xfId="3" applyNumberFormat="1" applyFont="1" applyAlignment="1">
      <alignment horizontal="center"/>
    </xf>
    <xf numFmtId="2" fontId="57" fillId="0" borderId="0" xfId="3" applyNumberFormat="1" applyFont="1"/>
    <xf numFmtId="165" fontId="54" fillId="0" borderId="0" xfId="0" applyNumberFormat="1" applyFont="1" applyAlignment="1">
      <alignment horizontal="right" vertical="center"/>
    </xf>
    <xf numFmtId="166" fontId="54" fillId="0" borderId="0" xfId="0" applyNumberFormat="1" applyFont="1" applyAlignment="1">
      <alignment horizontal="right" vertical="center"/>
    </xf>
    <xf numFmtId="167" fontId="54" fillId="0" borderId="0" xfId="2" applyNumberFormat="1" applyFont="1" applyAlignment="1">
      <alignment horizontal="right" vertical="center"/>
    </xf>
    <xf numFmtId="2" fontId="57" fillId="2" borderId="0" xfId="3" applyNumberFormat="1" applyFont="1" applyFill="1"/>
    <xf numFmtId="0" fontId="54" fillId="0" borderId="0" xfId="0" applyFont="1" applyAlignment="1">
      <alignment vertical="center"/>
    </xf>
    <xf numFmtId="2" fontId="58" fillId="0" borderId="0" xfId="0" applyNumberFormat="1" applyFont="1"/>
    <xf numFmtId="2" fontId="57" fillId="0" borderId="0" xfId="3" applyNumberFormat="1" applyFont="1" applyAlignment="1">
      <alignment horizontal="center"/>
    </xf>
    <xf numFmtId="0" fontId="59" fillId="0" borderId="0" xfId="0" applyFont="1" applyAlignment="1">
      <alignment vertical="center"/>
    </xf>
    <xf numFmtId="49" fontId="31" fillId="0" borderId="0" xfId="0" applyNumberFormat="1" applyFont="1" applyAlignment="1">
      <alignment horizontal="center"/>
    </xf>
    <xf numFmtId="0" fontId="31" fillId="0" borderId="0" xfId="0" applyFont="1"/>
    <xf numFmtId="1" fontId="0" fillId="0" borderId="0" xfId="0" applyNumberFormat="1"/>
    <xf numFmtId="1" fontId="31" fillId="0" borderId="0" xfId="0" applyNumberFormat="1" applyFont="1" applyAlignment="1">
      <alignment horizontal="right"/>
    </xf>
    <xf numFmtId="0" fontId="31" fillId="0" borderId="0" xfId="0" applyFont="1" applyAlignment="1">
      <alignment horizontal="right"/>
    </xf>
    <xf numFmtId="165" fontId="0" fillId="0" borderId="0" xfId="0" applyNumberFormat="1" applyAlignment="1">
      <alignment horizontal="right"/>
    </xf>
    <xf numFmtId="49" fontId="31" fillId="0" borderId="0" xfId="0" applyNumberFormat="1" applyFont="1" applyAlignment="1">
      <alignment horizontal="right"/>
    </xf>
    <xf numFmtId="165" fontId="31" fillId="0" borderId="0" xfId="0" applyNumberFormat="1" applyFont="1" applyAlignment="1">
      <alignment horizontal="right"/>
    </xf>
    <xf numFmtId="167" fontId="0" fillId="0" borderId="0" xfId="2" applyNumberFormat="1" applyFont="1" applyAlignment="1">
      <alignment horizontal="right"/>
    </xf>
    <xf numFmtId="166" fontId="0" fillId="0" borderId="0" xfId="0" applyNumberFormat="1" applyAlignment="1">
      <alignment horizontal="right"/>
    </xf>
    <xf numFmtId="14" fontId="27" fillId="0" borderId="126" xfId="0" applyNumberFormat="1" applyFont="1" applyBorder="1"/>
    <xf numFmtId="0" fontId="60" fillId="0" borderId="0" xfId="0" applyFont="1" applyAlignment="1">
      <alignment vertical="center"/>
    </xf>
    <xf numFmtId="0" fontId="60" fillId="0" borderId="0" xfId="0" quotePrefix="1" applyFont="1" applyAlignment="1">
      <alignment vertical="center" wrapText="1"/>
    </xf>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10" fontId="0" fillId="0" borderId="0" xfId="2" applyNumberFormat="1" applyFont="1"/>
    <xf numFmtId="43" fontId="0" fillId="0" borderId="0" xfId="0" applyNumberFormat="1"/>
    <xf numFmtId="2" fontId="51" fillId="0" borderId="0" xfId="0" applyNumberFormat="1" applyFont="1" applyAlignment="1">
      <alignment vertical="center"/>
    </xf>
    <xf numFmtId="2" fontId="52" fillId="0" borderId="0" xfId="0" applyNumberFormat="1" applyFont="1" applyAlignment="1">
      <alignment vertical="center"/>
    </xf>
    <xf numFmtId="0" fontId="61" fillId="0" borderId="73" xfId="0" applyFont="1" applyBorder="1" applyAlignment="1">
      <alignment vertical="center" wrapText="1"/>
    </xf>
    <xf numFmtId="22" fontId="61" fillId="0" borderId="73" xfId="0" applyNumberFormat="1" applyFont="1" applyBorder="1" applyAlignment="1">
      <alignment horizontal="center" vertical="center"/>
    </xf>
    <xf numFmtId="0" fontId="61" fillId="0" borderId="73" xfId="0" applyFont="1" applyBorder="1" applyAlignment="1">
      <alignment horizontal="justify" vertical="center"/>
    </xf>
    <xf numFmtId="0" fontId="61" fillId="0" borderId="73" xfId="0" applyFont="1" applyBorder="1" applyAlignment="1">
      <alignment horizontal="center" vertical="center"/>
    </xf>
    <xf numFmtId="22" fontId="61" fillId="0" borderId="73" xfId="0" applyNumberFormat="1" applyFont="1" applyBorder="1" applyAlignment="1">
      <alignment horizontal="center" vertical="center" wrapText="1"/>
    </xf>
    <xf numFmtId="0" fontId="61" fillId="0" borderId="73" xfId="0" applyFont="1" applyBorder="1" applyAlignment="1">
      <alignment horizontal="justify" vertical="center" wrapText="1"/>
    </xf>
    <xf numFmtId="0" fontId="61" fillId="0" borderId="73" xfId="0" applyFont="1" applyBorder="1" applyAlignment="1">
      <alignment horizontal="center" vertical="center" wrapText="1"/>
    </xf>
    <xf numFmtId="0" fontId="23" fillId="2" borderId="0" xfId="0" applyFont="1" applyFill="1" applyAlignment="1">
      <alignment horizontal="left" vertical="center" wrapText="1"/>
    </xf>
    <xf numFmtId="0" fontId="32" fillId="3" borderId="46" xfId="0" applyFont="1" applyFill="1" applyBorder="1" applyAlignment="1">
      <alignment vertical="center"/>
    </xf>
    <xf numFmtId="10" fontId="32" fillId="3" borderId="46" xfId="2" applyNumberFormat="1" applyFont="1" applyFill="1" applyBorder="1" applyAlignment="1">
      <alignment vertical="center"/>
    </xf>
    <xf numFmtId="0" fontId="27" fillId="0" borderId="63" xfId="0" applyFont="1" applyBorder="1" applyAlignment="1">
      <alignment vertical="center"/>
    </xf>
    <xf numFmtId="166" fontId="27" fillId="0" borderId="63" xfId="0" applyNumberFormat="1" applyFont="1" applyBorder="1" applyAlignment="1">
      <alignment vertical="center"/>
    </xf>
    <xf numFmtId="0" fontId="32" fillId="3" borderId="0" xfId="0" applyFont="1" applyFill="1" applyAlignment="1">
      <alignment vertical="center"/>
    </xf>
    <xf numFmtId="4" fontId="32" fillId="3" borderId="0" xfId="0" applyNumberFormat="1" applyFont="1" applyFill="1" applyAlignment="1">
      <alignment vertical="center"/>
    </xf>
    <xf numFmtId="10" fontId="32" fillId="3" borderId="0" xfId="2" applyNumberFormat="1" applyFont="1" applyFill="1" applyAlignment="1">
      <alignment vertical="center"/>
    </xf>
    <xf numFmtId="0" fontId="27" fillId="2" borderId="62" xfId="0" applyFont="1" applyFill="1" applyBorder="1" applyAlignment="1">
      <alignment vertical="center"/>
    </xf>
    <xf numFmtId="170" fontId="27" fillId="2" borderId="62" xfId="0" applyNumberFormat="1" applyFont="1" applyFill="1" applyBorder="1" applyAlignment="1">
      <alignment vertical="center"/>
    </xf>
    <xf numFmtId="167" fontId="33" fillId="2" borderId="62" xfId="2" applyNumberFormat="1" applyFont="1" applyFill="1" applyBorder="1" applyAlignment="1">
      <alignment vertical="center"/>
    </xf>
    <xf numFmtId="0" fontId="27" fillId="4" borderId="63" xfId="0" applyFont="1" applyFill="1" applyBorder="1" applyAlignment="1">
      <alignment vertical="center"/>
    </xf>
    <xf numFmtId="170" fontId="27" fillId="4" borderId="63" xfId="0" applyNumberFormat="1" applyFont="1" applyFill="1" applyBorder="1" applyAlignment="1">
      <alignment vertical="center"/>
    </xf>
    <xf numFmtId="167" fontId="33" fillId="4" borderId="63" xfId="2" applyNumberFormat="1" applyFont="1" applyFill="1" applyBorder="1" applyAlignment="1">
      <alignment vertical="center"/>
    </xf>
    <xf numFmtId="0" fontId="27" fillId="2" borderId="63" xfId="0" applyFont="1" applyFill="1" applyBorder="1" applyAlignment="1">
      <alignment vertical="center"/>
    </xf>
    <xf numFmtId="170" fontId="27" fillId="2" borderId="63" xfId="0" applyNumberFormat="1" applyFont="1" applyFill="1" applyBorder="1" applyAlignment="1">
      <alignment vertical="center"/>
    </xf>
    <xf numFmtId="167" fontId="33" fillId="2" borderId="63" xfId="2" applyNumberFormat="1" applyFont="1" applyFill="1" applyBorder="1" applyAlignment="1">
      <alignment vertical="center"/>
    </xf>
    <xf numFmtId="0" fontId="27" fillId="2" borderId="64" xfId="0" applyFont="1" applyFill="1" applyBorder="1" applyAlignment="1">
      <alignment vertical="center"/>
    </xf>
    <xf numFmtId="170" fontId="27" fillId="2" borderId="64" xfId="0" applyNumberFormat="1" applyFont="1" applyFill="1" applyBorder="1" applyAlignment="1">
      <alignment vertical="center"/>
    </xf>
    <xf numFmtId="167" fontId="33" fillId="2" borderId="64" xfId="2" applyNumberFormat="1" applyFont="1" applyFill="1" applyBorder="1" applyAlignment="1">
      <alignment vertical="center"/>
    </xf>
    <xf numFmtId="0" fontId="27" fillId="4" borderId="65" xfId="0" applyFont="1" applyFill="1" applyBorder="1" applyAlignment="1">
      <alignment vertical="center"/>
    </xf>
    <xf numFmtId="170" fontId="27" fillId="4" borderId="65" xfId="0" applyNumberFormat="1" applyFont="1" applyFill="1" applyBorder="1" applyAlignment="1">
      <alignment vertical="center"/>
    </xf>
    <xf numFmtId="167" fontId="33" fillId="4" borderId="65" xfId="2" applyNumberFormat="1" applyFont="1" applyFill="1" applyBorder="1" applyAlignment="1">
      <alignment vertical="center"/>
    </xf>
    <xf numFmtId="0" fontId="27" fillId="2" borderId="65" xfId="0" applyFont="1" applyFill="1" applyBorder="1" applyAlignment="1">
      <alignment vertical="center"/>
    </xf>
    <xf numFmtId="170" fontId="27" fillId="2" borderId="65" xfId="0" applyNumberFormat="1" applyFont="1" applyFill="1" applyBorder="1" applyAlignment="1">
      <alignment vertical="center"/>
    </xf>
    <xf numFmtId="167" fontId="33" fillId="2" borderId="65" xfId="2" applyNumberFormat="1" applyFont="1" applyFill="1" applyBorder="1" applyAlignment="1">
      <alignment vertical="center"/>
    </xf>
    <xf numFmtId="0" fontId="27" fillId="4" borderId="131" xfId="0" applyFont="1" applyFill="1" applyBorder="1" applyAlignment="1">
      <alignment vertical="center"/>
    </xf>
    <xf numFmtId="170" fontId="27" fillId="4" borderId="131" xfId="0" applyNumberFormat="1" applyFont="1" applyFill="1" applyBorder="1" applyAlignment="1">
      <alignment vertical="center"/>
    </xf>
    <xf numFmtId="167" fontId="33" fillId="4" borderId="131" xfId="2" applyNumberFormat="1" applyFont="1" applyFill="1" applyBorder="1" applyAlignment="1">
      <alignment vertical="center"/>
    </xf>
    <xf numFmtId="0" fontId="27" fillId="2" borderId="0" xfId="0" applyFont="1" applyFill="1" applyAlignment="1">
      <alignment vertical="center"/>
    </xf>
    <xf numFmtId="167" fontId="33" fillId="2" borderId="48" xfId="2" applyNumberFormat="1" applyFont="1" applyFill="1" applyBorder="1" applyAlignment="1">
      <alignment vertical="center"/>
    </xf>
    <xf numFmtId="0" fontId="27" fillId="4" borderId="0" xfId="0" applyFont="1" applyFill="1" applyAlignment="1">
      <alignment vertical="center"/>
    </xf>
    <xf numFmtId="167" fontId="33" fillId="4" borderId="48" xfId="2" applyNumberFormat="1" applyFont="1" applyFill="1" applyBorder="1" applyAlignment="1">
      <alignment vertical="center"/>
    </xf>
    <xf numFmtId="167" fontId="40" fillId="4" borderId="48" xfId="2" applyNumberFormat="1" applyFont="1" applyFill="1" applyBorder="1" applyAlignment="1">
      <alignment vertical="center"/>
    </xf>
    <xf numFmtId="0" fontId="27" fillId="2" borderId="49" xfId="0" applyFont="1" applyFill="1" applyBorder="1" applyAlignment="1">
      <alignment vertical="center"/>
    </xf>
    <xf numFmtId="0" fontId="27" fillId="4" borderId="50" xfId="0" applyFont="1" applyFill="1" applyBorder="1" applyAlignment="1">
      <alignment vertical="center"/>
    </xf>
    <xf numFmtId="0" fontId="27" fillId="2" borderId="50" xfId="0" applyFont="1" applyFill="1" applyBorder="1" applyAlignment="1">
      <alignment vertical="center"/>
    </xf>
    <xf numFmtId="167" fontId="33" fillId="2" borderId="52" xfId="2" applyNumberFormat="1" applyFont="1" applyFill="1" applyBorder="1" applyAlignment="1">
      <alignment vertical="center"/>
    </xf>
    <xf numFmtId="0" fontId="27" fillId="4" borderId="53" xfId="0" applyFont="1" applyFill="1" applyBorder="1" applyAlignment="1">
      <alignment vertical="center"/>
    </xf>
    <xf numFmtId="0" fontId="63" fillId="2" borderId="83" xfId="0" applyFont="1" applyFill="1" applyBorder="1" applyAlignment="1">
      <alignment horizontal="center" vertical="center" wrapText="1"/>
    </xf>
    <xf numFmtId="0" fontId="63" fillId="2" borderId="83" xfId="0" applyFont="1" applyFill="1" applyBorder="1" applyAlignment="1">
      <alignment horizontal="center" vertical="center"/>
    </xf>
    <xf numFmtId="0" fontId="63" fillId="2" borderId="83" xfId="2" applyNumberFormat="1" applyFont="1" applyFill="1" applyBorder="1" applyAlignment="1">
      <alignment horizontal="center" vertical="center"/>
    </xf>
    <xf numFmtId="0" fontId="62" fillId="0" borderId="83" xfId="0" applyFont="1" applyBorder="1" applyAlignment="1">
      <alignment horizontal="center" vertical="center"/>
    </xf>
    <xf numFmtId="4" fontId="63" fillId="0" borderId="83" xfId="0" applyNumberFormat="1" applyFont="1" applyBorder="1" applyAlignment="1">
      <alignment horizontal="center" vertical="center"/>
    </xf>
    <xf numFmtId="0" fontId="62" fillId="4" borderId="83" xfId="0" applyFont="1" applyFill="1" applyBorder="1" applyAlignment="1">
      <alignment vertical="center"/>
    </xf>
    <xf numFmtId="0" fontId="63" fillId="4" borderId="83" xfId="0" applyFont="1" applyFill="1" applyBorder="1" applyAlignment="1">
      <alignment horizontal="center" vertical="center"/>
    </xf>
    <xf numFmtId="0" fontId="63" fillId="4" borderId="83" xfId="2" applyNumberFormat="1" applyFont="1" applyFill="1" applyBorder="1" applyAlignment="1">
      <alignment horizontal="center" vertical="center"/>
    </xf>
    <xf numFmtId="0" fontId="62" fillId="4" borderId="83" xfId="0" applyFont="1" applyFill="1" applyBorder="1" applyAlignment="1">
      <alignment horizontal="center" vertical="center"/>
    </xf>
    <xf numFmtId="4" fontId="63" fillId="4" borderId="83" xfId="0" applyNumberFormat="1" applyFont="1" applyFill="1" applyBorder="1" applyAlignment="1">
      <alignment horizontal="center" vertical="center"/>
    </xf>
    <xf numFmtId="0" fontId="31" fillId="0" borderId="0" xfId="0" applyFont="1" applyAlignment="1">
      <alignment vertical="center" wrapText="1"/>
    </xf>
    <xf numFmtId="22" fontId="31" fillId="0" borderId="0" xfId="0" applyNumberFormat="1" applyFont="1" applyAlignment="1">
      <alignment horizontal="center" vertical="center" wrapText="1"/>
    </xf>
    <xf numFmtId="0" fontId="61" fillId="0" borderId="0" xfId="0" applyFont="1" applyAlignment="1">
      <alignment horizontal="justify" vertical="center" wrapText="1"/>
    </xf>
    <xf numFmtId="0" fontId="31" fillId="0" borderId="0" xfId="0" applyFont="1" applyAlignment="1">
      <alignment horizontal="center" vertical="center" wrapText="1"/>
    </xf>
    <xf numFmtId="0" fontId="37" fillId="2" borderId="0" xfId="0" applyFont="1" applyFill="1" applyAlignment="1">
      <alignment horizontal="left" vertical="center"/>
    </xf>
    <xf numFmtId="170" fontId="0" fillId="0" borderId="0" xfId="0" applyNumberFormat="1" applyAlignment="1">
      <alignment horizontal="center" vertical="center"/>
    </xf>
    <xf numFmtId="10" fontId="21" fillId="4" borderId="57" xfId="2" applyNumberFormat="1" applyFont="1" applyFill="1" applyBorder="1" applyAlignment="1">
      <alignment horizontal="right" vertical="center"/>
    </xf>
    <xf numFmtId="0" fontId="63" fillId="2" borderId="0" xfId="0" quotePrefix="1" applyFont="1" applyFill="1" applyAlignment="1">
      <alignment horizontal="left" vertical="center"/>
    </xf>
    <xf numFmtId="0" fontId="62" fillId="2" borderId="83" xfId="0" applyFont="1" applyFill="1" applyBorder="1" applyAlignment="1">
      <alignment vertical="center" wrapText="1"/>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49" fontId="64" fillId="0" borderId="0" xfId="0" applyNumberFormat="1" applyFont="1" applyAlignment="1">
      <alignment horizontal="center"/>
    </xf>
    <xf numFmtId="0" fontId="64" fillId="0" borderId="0" xfId="0" applyFont="1"/>
    <xf numFmtId="2" fontId="21" fillId="4" borderId="16" xfId="0" applyNumberFormat="1" applyFont="1" applyFill="1" applyBorder="1" applyAlignment="1">
      <alignment horizontal="right" vertical="center"/>
    </xf>
    <xf numFmtId="0" fontId="63" fillId="0" borderId="79" xfId="0" applyFont="1" applyBorder="1" applyAlignment="1">
      <alignment vertical="center" wrapText="1"/>
    </xf>
    <xf numFmtId="4" fontId="32" fillId="3" borderId="46" xfId="0" applyNumberFormat="1" applyFont="1" applyFill="1" applyBorder="1" applyAlignment="1">
      <alignment vertical="center"/>
    </xf>
    <xf numFmtId="43" fontId="27" fillId="2" borderId="47" xfId="1" applyFont="1" applyFill="1" applyBorder="1" applyAlignment="1">
      <alignment vertical="center"/>
    </xf>
    <xf numFmtId="43" fontId="27" fillId="2" borderId="47" xfId="0" applyNumberFormat="1" applyFont="1" applyFill="1" applyBorder="1" applyAlignment="1">
      <alignment vertical="center"/>
    </xf>
    <xf numFmtId="43" fontId="27" fillId="4" borderId="47" xfId="0" applyNumberFormat="1" applyFont="1" applyFill="1" applyBorder="1" applyAlignment="1">
      <alignment vertical="center"/>
    </xf>
    <xf numFmtId="43" fontId="27" fillId="2" borderId="51" xfId="0" applyNumberFormat="1" applyFont="1" applyFill="1" applyBorder="1" applyAlignment="1">
      <alignment vertical="center"/>
    </xf>
    <xf numFmtId="0" fontId="30" fillId="8" borderId="0" xfId="0" applyFont="1" applyFill="1"/>
    <xf numFmtId="0" fontId="0" fillId="8" borderId="0" xfId="0" applyFill="1"/>
    <xf numFmtId="0" fontId="65" fillId="0" borderId="0" xfId="0" applyFont="1"/>
    <xf numFmtId="0" fontId="66" fillId="0" borderId="0" xfId="0" applyFont="1"/>
    <xf numFmtId="0" fontId="66" fillId="0" borderId="0" xfId="0" applyFont="1" applyAlignment="1">
      <alignment horizontal="center" vertical="center"/>
    </xf>
    <xf numFmtId="0" fontId="67" fillId="2" borderId="0" xfId="0" applyFont="1" applyFill="1" applyAlignment="1">
      <alignment horizontal="left" vertical="center" wrapText="1"/>
    </xf>
    <xf numFmtId="0" fontId="65" fillId="0" borderId="0" xfId="0" applyFont="1" applyAlignment="1">
      <alignment vertical="center"/>
    </xf>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68" fillId="0" borderId="0" xfId="0" applyFont="1"/>
    <xf numFmtId="2" fontId="68" fillId="0" borderId="0" xfId="0" applyNumberFormat="1" applyFont="1" applyAlignment="1">
      <alignment horizontal="center" vertical="center" wrapText="1"/>
    </xf>
    <xf numFmtId="2" fontId="68" fillId="0" borderId="0" xfId="0" quotePrefix="1" applyNumberFormat="1" applyFont="1" applyAlignment="1">
      <alignment horizontal="center" vertical="center" wrapText="1"/>
    </xf>
    <xf numFmtId="17" fontId="68" fillId="0" borderId="0" xfId="0" quotePrefix="1" applyNumberFormat="1" applyFont="1" applyAlignment="1">
      <alignment horizontal="center" vertical="center" wrapText="1"/>
    </xf>
    <xf numFmtId="0" fontId="68" fillId="0" borderId="0" xfId="0" quotePrefix="1" applyFont="1" applyAlignment="1">
      <alignment horizontal="center" vertical="center" wrapText="1"/>
    </xf>
    <xf numFmtId="2" fontId="68" fillId="0" borderId="0" xfId="0" applyNumberFormat="1" applyFont="1" applyAlignment="1">
      <alignment horizontal="left"/>
    </xf>
    <xf numFmtId="2" fontId="68" fillId="0" borderId="0" xfId="0" applyNumberFormat="1" applyFont="1" applyAlignment="1">
      <alignment horizontal="center"/>
    </xf>
    <xf numFmtId="2" fontId="69" fillId="0" borderId="0" xfId="0" applyNumberFormat="1" applyFont="1" applyAlignment="1">
      <alignment horizontal="center"/>
    </xf>
    <xf numFmtId="175" fontId="68" fillId="0" borderId="0" xfId="0" applyNumberFormat="1" applyFont="1"/>
    <xf numFmtId="0" fontId="68" fillId="0" borderId="0" xfId="0" applyFont="1" applyAlignment="1">
      <alignment vertical="top" wrapText="1"/>
    </xf>
    <xf numFmtId="0" fontId="70" fillId="0" borderId="0" xfId="0" applyFont="1"/>
    <xf numFmtId="0" fontId="70" fillId="0" borderId="0" xfId="0" applyFont="1" applyAlignment="1">
      <alignment horizontal="center"/>
    </xf>
    <xf numFmtId="166" fontId="70" fillId="0" borderId="0" xfId="0" applyNumberFormat="1" applyFont="1"/>
    <xf numFmtId="171" fontId="71" fillId="7" borderId="0" xfId="3" applyFont="1" applyFill="1"/>
    <xf numFmtId="172" fontId="71" fillId="7" borderId="0" xfId="3" applyNumberFormat="1" applyFont="1" applyFill="1"/>
    <xf numFmtId="1" fontId="72" fillId="0" borderId="0" xfId="3" applyNumberFormat="1" applyFont="1" applyAlignment="1">
      <alignment horizontal="center"/>
    </xf>
    <xf numFmtId="172" fontId="72" fillId="0" borderId="0" xfId="3" applyNumberFormat="1" applyFont="1" applyAlignment="1">
      <alignment horizontal="center"/>
    </xf>
    <xf numFmtId="2" fontId="73" fillId="0" borderId="0" xfId="3" applyNumberFormat="1" applyFont="1"/>
    <xf numFmtId="2" fontId="73" fillId="0" borderId="0" xfId="3" applyNumberFormat="1" applyFont="1" applyAlignment="1">
      <alignment horizontal="center"/>
    </xf>
    <xf numFmtId="0" fontId="70" fillId="0" borderId="0" xfId="0" applyFont="1" applyAlignment="1">
      <alignment vertical="center"/>
    </xf>
    <xf numFmtId="2" fontId="73" fillId="2" borderId="0" xfId="3" applyNumberFormat="1" applyFont="1" applyFill="1"/>
    <xf numFmtId="2" fontId="74" fillId="0" borderId="0" xfId="0" applyNumberFormat="1" applyFont="1"/>
    <xf numFmtId="2" fontId="75" fillId="0" borderId="0" xfId="4" applyNumberFormat="1" applyFont="1"/>
    <xf numFmtId="43" fontId="63" fillId="0" borderId="79" xfId="1" applyFont="1" applyBorder="1" applyAlignment="1">
      <alignment vertical="center" wrapText="1"/>
    </xf>
    <xf numFmtId="0" fontId="76" fillId="0" borderId="101" xfId="0" applyFont="1" applyBorder="1"/>
    <xf numFmtId="0" fontId="31" fillId="0" borderId="97" xfId="0" applyFont="1" applyBorder="1"/>
    <xf numFmtId="43" fontId="31" fillId="0" borderId="97" xfId="1" applyFont="1" applyBorder="1"/>
    <xf numFmtId="43" fontId="31" fillId="0" borderId="0" xfId="1" applyFont="1"/>
    <xf numFmtId="43" fontId="31" fillId="0" borderId="99" xfId="1" applyFont="1" applyBorder="1"/>
    <xf numFmtId="0" fontId="76" fillId="0" borderId="100" xfId="0" applyFont="1" applyBorder="1"/>
    <xf numFmtId="43" fontId="31" fillId="0" borderId="0" xfId="0" applyNumberFormat="1" applyFont="1"/>
    <xf numFmtId="0" fontId="62" fillId="0" borderId="0" xfId="0" applyFont="1" applyAlignment="1">
      <alignment vertical="center"/>
    </xf>
    <xf numFmtId="0" fontId="62" fillId="0" borderId="0" xfId="0" applyFont="1" applyAlignment="1">
      <alignment horizontal="center"/>
    </xf>
    <xf numFmtId="0" fontId="62" fillId="0" borderId="0" xfId="0" applyFont="1" applyAlignment="1">
      <alignment vertical="center" wrapText="1"/>
    </xf>
    <xf numFmtId="0" fontId="62" fillId="0" borderId="0" xfId="0" applyFont="1" applyAlignment="1">
      <alignment horizontal="left" vertical="center" wrapText="1"/>
    </xf>
    <xf numFmtId="49" fontId="63" fillId="0" borderId="0" xfId="0" applyNumberFormat="1" applyFont="1" applyAlignment="1">
      <alignment horizontal="right"/>
    </xf>
    <xf numFmtId="43" fontId="31" fillId="0" borderId="97" xfId="0" applyNumberFormat="1" applyFont="1" applyBorder="1"/>
    <xf numFmtId="9" fontId="31" fillId="0" borderId="98" xfId="2" applyFont="1" applyBorder="1"/>
    <xf numFmtId="1" fontId="63" fillId="0" borderId="0" xfId="0" applyNumberFormat="1" applyFont="1" applyAlignment="1">
      <alignment horizontal="right"/>
    </xf>
    <xf numFmtId="49" fontId="63" fillId="0" borderId="0" xfId="0" applyNumberFormat="1" applyFont="1" applyAlignment="1">
      <alignment horizontal="center"/>
    </xf>
    <xf numFmtId="10" fontId="31" fillId="0" borderId="99" xfId="2" applyNumberFormat="1" applyFont="1" applyBorder="1"/>
    <xf numFmtId="1" fontId="63" fillId="0" borderId="0" xfId="0" applyNumberFormat="1" applyFont="1" applyAlignment="1">
      <alignment horizontal="center"/>
    </xf>
    <xf numFmtId="165" fontId="63" fillId="0" borderId="0" xfId="0" applyNumberFormat="1" applyFont="1" applyAlignment="1">
      <alignment horizontal="center"/>
    </xf>
    <xf numFmtId="0" fontId="31" fillId="0" borderId="0" xfId="0" applyFont="1" applyAlignment="1">
      <alignment horizontal="center"/>
    </xf>
    <xf numFmtId="0" fontId="63" fillId="0" borderId="0" xfId="0" applyFont="1" applyAlignment="1">
      <alignment vertical="center"/>
    </xf>
    <xf numFmtId="0" fontId="63" fillId="0" borderId="0" xfId="0" quotePrefix="1" applyFont="1" applyAlignment="1">
      <alignment horizontal="left" vertical="top"/>
    </xf>
    <xf numFmtId="10" fontId="31" fillId="0" borderId="98" xfId="2" applyNumberFormat="1" applyFont="1" applyBorder="1"/>
    <xf numFmtId="43" fontId="31" fillId="0" borderId="0" xfId="0" applyNumberFormat="1" applyFont="1" applyAlignment="1">
      <alignment vertical="center"/>
    </xf>
    <xf numFmtId="166" fontId="70" fillId="0" borderId="0" xfId="0" applyNumberFormat="1" applyFont="1" applyAlignment="1">
      <alignment horizontal="right"/>
    </xf>
    <xf numFmtId="0" fontId="78" fillId="0" borderId="0" xfId="0" applyFont="1" applyAlignment="1">
      <alignment horizontal="right"/>
    </xf>
    <xf numFmtId="0" fontId="66" fillId="0" borderId="0" xfId="0" applyFont="1" applyAlignment="1">
      <alignment horizontal="right"/>
    </xf>
    <xf numFmtId="0" fontId="63" fillId="4" borderId="86" xfId="0" quotePrefix="1" applyFont="1" applyFill="1" applyBorder="1" applyAlignment="1">
      <alignment vertical="center" wrapText="1"/>
    </xf>
    <xf numFmtId="168" fontId="63" fillId="4" borderId="86" xfId="0" applyNumberFormat="1" applyFont="1" applyFill="1" applyBorder="1" applyAlignment="1">
      <alignment horizontal="center" vertical="center" wrapText="1"/>
    </xf>
    <xf numFmtId="0" fontId="63" fillId="4" borderId="86" xfId="2" applyNumberFormat="1" applyFont="1" applyFill="1" applyBorder="1" applyAlignment="1">
      <alignment horizontal="center" vertical="center" wrapText="1"/>
    </xf>
    <xf numFmtId="2" fontId="63" fillId="4" borderId="86" xfId="2" applyNumberFormat="1" applyFont="1" applyFill="1" applyBorder="1" applyAlignment="1">
      <alignment horizontal="center" vertical="center" wrapText="1"/>
    </xf>
    <xf numFmtId="4" fontId="63" fillId="4" borderId="86" xfId="0" applyNumberFormat="1" applyFont="1" applyFill="1" applyBorder="1" applyAlignment="1">
      <alignment horizontal="center" vertical="center" wrapText="1"/>
    </xf>
    <xf numFmtId="174" fontId="63" fillId="4" borderId="86" xfId="0" applyNumberFormat="1" applyFont="1" applyFill="1" applyBorder="1" applyAlignment="1">
      <alignment horizontal="center" vertical="center" wrapText="1"/>
    </xf>
    <xf numFmtId="0" fontId="63" fillId="4" borderId="86" xfId="0" applyFont="1" applyFill="1" applyBorder="1" applyAlignment="1">
      <alignment horizontal="center" vertical="center" wrapText="1"/>
    </xf>
    <xf numFmtId="0" fontId="31" fillId="2" borderId="86" xfId="0" quotePrefix="1" applyFont="1" applyFill="1" applyBorder="1" applyAlignment="1">
      <alignment vertical="center" wrapText="1"/>
    </xf>
    <xf numFmtId="168" fontId="31" fillId="2" borderId="86" xfId="0" applyNumberFormat="1" applyFont="1" applyFill="1" applyBorder="1" applyAlignment="1">
      <alignment horizontal="center" vertical="center" wrapText="1"/>
    </xf>
    <xf numFmtId="0" fontId="31" fillId="2" borderId="86" xfId="2" applyNumberFormat="1" applyFont="1" applyFill="1" applyBorder="1" applyAlignment="1">
      <alignment horizontal="center" vertical="center" wrapText="1"/>
    </xf>
    <xf numFmtId="2" fontId="31" fillId="2" borderId="86" xfId="2" applyNumberFormat="1" applyFont="1" applyFill="1" applyBorder="1" applyAlignment="1">
      <alignment horizontal="center" vertical="center" wrapText="1"/>
    </xf>
    <xf numFmtId="4" fontId="31" fillId="2" borderId="86" xfId="0" applyNumberFormat="1" applyFont="1" applyFill="1" applyBorder="1" applyAlignment="1">
      <alignment horizontal="center" vertical="center" wrapText="1"/>
    </xf>
    <xf numFmtId="0" fontId="31" fillId="2" borderId="86" xfId="0" applyFont="1" applyFill="1" applyBorder="1" applyAlignment="1">
      <alignment horizontal="center" vertical="center" wrapText="1"/>
    </xf>
    <xf numFmtId="170" fontId="31" fillId="5" borderId="24" xfId="0" applyNumberFormat="1" applyFont="1" applyFill="1" applyBorder="1" applyAlignment="1">
      <alignment horizontal="center" vertical="center"/>
    </xf>
    <xf numFmtId="170" fontId="63" fillId="5" borderId="29" xfId="0" applyNumberFormat="1" applyFont="1" applyFill="1" applyBorder="1" applyAlignment="1">
      <alignment horizontal="center" vertical="center"/>
    </xf>
    <xf numFmtId="167" fontId="63" fillId="5" borderId="24" xfId="2" applyNumberFormat="1" applyFont="1" applyFill="1" applyBorder="1" applyAlignment="1">
      <alignment horizontal="center" vertical="center"/>
    </xf>
    <xf numFmtId="170" fontId="31" fillId="2" borderId="25" xfId="0" applyNumberFormat="1" applyFont="1" applyFill="1" applyBorder="1" applyAlignment="1">
      <alignment horizontal="center" vertical="center"/>
    </xf>
    <xf numFmtId="170" fontId="63" fillId="2" borderId="31" xfId="0" applyNumberFormat="1" applyFont="1" applyFill="1" applyBorder="1" applyAlignment="1">
      <alignment horizontal="center" vertical="center"/>
    </xf>
    <xf numFmtId="167" fontId="63" fillId="2" borderId="25" xfId="2" applyNumberFormat="1" applyFont="1" applyFill="1" applyBorder="1" applyAlignment="1">
      <alignment horizontal="center" vertical="center"/>
    </xf>
    <xf numFmtId="170" fontId="31" fillId="5" borderId="25" xfId="0" applyNumberFormat="1" applyFont="1" applyFill="1" applyBorder="1" applyAlignment="1">
      <alignment horizontal="center" vertical="center"/>
    </xf>
    <xf numFmtId="170" fontId="63" fillId="5" borderId="31" xfId="0" applyNumberFormat="1" applyFont="1" applyFill="1" applyBorder="1" applyAlignment="1">
      <alignment horizontal="center" vertical="center"/>
    </xf>
    <xf numFmtId="167" fontId="63" fillId="5" borderId="25" xfId="2" applyNumberFormat="1" applyFont="1" applyFill="1" applyBorder="1" applyAlignment="1">
      <alignment horizontal="center" vertical="center"/>
    </xf>
    <xf numFmtId="170" fontId="31" fillId="2" borderId="26" xfId="0" applyNumberFormat="1" applyFont="1" applyFill="1" applyBorder="1" applyAlignment="1">
      <alignment horizontal="center" vertical="center"/>
    </xf>
    <xf numFmtId="170" fontId="63" fillId="2" borderId="34" xfId="0" applyNumberFormat="1" applyFont="1" applyFill="1" applyBorder="1" applyAlignment="1">
      <alignment horizontal="center" vertical="center"/>
    </xf>
    <xf numFmtId="167" fontId="63" fillId="2" borderId="26" xfId="2" applyNumberFormat="1" applyFont="1" applyFill="1" applyBorder="1" applyAlignment="1">
      <alignment horizontal="center" vertical="center"/>
    </xf>
    <xf numFmtId="170" fontId="76" fillId="5" borderId="23" xfId="0" applyNumberFormat="1" applyFont="1" applyFill="1" applyBorder="1" applyAlignment="1">
      <alignment horizontal="center" vertical="center"/>
    </xf>
    <xf numFmtId="170" fontId="76" fillId="5" borderId="40" xfId="0" applyNumberFormat="1" applyFont="1" applyFill="1" applyBorder="1" applyAlignment="1">
      <alignment horizontal="center" vertical="center"/>
    </xf>
    <xf numFmtId="167" fontId="62" fillId="5" borderId="23" xfId="2" applyNumberFormat="1" applyFont="1" applyFill="1" applyBorder="1" applyAlignment="1">
      <alignment horizontal="center" vertical="center"/>
    </xf>
    <xf numFmtId="0" fontId="79" fillId="0" borderId="0" xfId="0" applyFont="1" applyAlignment="1">
      <alignment horizontal="right" vertical="center"/>
    </xf>
    <xf numFmtId="0" fontId="36" fillId="9" borderId="0" xfId="0" quotePrefix="1" applyFont="1" applyFill="1" applyAlignment="1">
      <alignment horizontal="center" vertical="center" wrapText="1"/>
    </xf>
    <xf numFmtId="17" fontId="36" fillId="9" borderId="84" xfId="0" applyNumberFormat="1" applyFont="1" applyFill="1" applyBorder="1" applyAlignment="1">
      <alignment horizontal="center" vertical="center" wrapText="1"/>
    </xf>
    <xf numFmtId="169" fontId="36" fillId="9" borderId="84" xfId="0" applyNumberFormat="1" applyFont="1" applyFill="1" applyBorder="1" applyAlignment="1">
      <alignment horizontal="center" vertical="center" wrapText="1"/>
    </xf>
    <xf numFmtId="0" fontId="36" fillId="9" borderId="84" xfId="0" applyFont="1" applyFill="1" applyBorder="1" applyAlignment="1">
      <alignment horizontal="center" vertical="center" wrapText="1"/>
    </xf>
    <xf numFmtId="0" fontId="36" fillId="9" borderId="85" xfId="0" applyFont="1" applyFill="1" applyBorder="1" applyAlignment="1">
      <alignment horizontal="center" vertical="center" wrapText="1"/>
    </xf>
    <xf numFmtId="0" fontId="36" fillId="9" borderId="128" xfId="0" quotePrefix="1" applyFont="1" applyFill="1" applyBorder="1" applyAlignment="1">
      <alignment horizontal="left" vertical="center"/>
    </xf>
    <xf numFmtId="168" fontId="36" fillId="9" borderId="129" xfId="0" applyNumberFormat="1" applyFont="1" applyFill="1" applyBorder="1" applyAlignment="1">
      <alignment horizontal="right" vertical="center"/>
    </xf>
    <xf numFmtId="168" fontId="36" fillId="9" borderId="129" xfId="0" applyNumberFormat="1" applyFont="1" applyFill="1" applyBorder="1" applyAlignment="1">
      <alignment horizontal="left" vertical="center"/>
    </xf>
    <xf numFmtId="0" fontId="36" fillId="9" borderId="129" xfId="2" applyNumberFormat="1" applyFont="1" applyFill="1" applyBorder="1" applyAlignment="1">
      <alignment horizontal="left" vertical="center"/>
    </xf>
    <xf numFmtId="0" fontId="36" fillId="9" borderId="130" xfId="2" applyNumberFormat="1" applyFont="1" applyFill="1" applyBorder="1" applyAlignment="1">
      <alignment horizontal="center" vertical="center"/>
    </xf>
    <xf numFmtId="4" fontId="36" fillId="9" borderId="86" xfId="0" applyNumberFormat="1" applyFont="1" applyFill="1" applyBorder="1" applyAlignment="1">
      <alignment horizontal="center" vertical="center"/>
    </xf>
    <xf numFmtId="0" fontId="36" fillId="9" borderId="86" xfId="0" applyFont="1" applyFill="1" applyBorder="1" applyAlignment="1">
      <alignment horizontal="center" vertical="center"/>
    </xf>
    <xf numFmtId="17" fontId="36" fillId="9" borderId="26" xfId="0" quotePrefix="1" applyNumberFormat="1" applyFont="1" applyFill="1" applyBorder="1" applyAlignment="1">
      <alignment horizontal="center" vertical="center" wrapText="1"/>
    </xf>
    <xf numFmtId="17" fontId="36" fillId="9" borderId="32" xfId="0" quotePrefix="1" applyNumberFormat="1" applyFont="1" applyFill="1" applyBorder="1" applyAlignment="1">
      <alignment horizontal="center" vertical="center" wrapText="1"/>
    </xf>
    <xf numFmtId="17" fontId="2" fillId="9" borderId="21" xfId="0" applyNumberFormat="1" applyFont="1" applyFill="1" applyBorder="1" applyAlignment="1">
      <alignment horizontal="center" vertical="center"/>
    </xf>
    <xf numFmtId="17" fontId="2" fillId="9" borderId="21" xfId="0" applyNumberFormat="1" applyFont="1" applyFill="1" applyBorder="1" applyAlignment="1">
      <alignment horizontal="center" vertical="center" wrapText="1"/>
    </xf>
    <xf numFmtId="0" fontId="2" fillId="9" borderId="21" xfId="0" applyFont="1" applyFill="1" applyBorder="1" applyAlignment="1">
      <alignment horizontal="center" vertical="center" wrapText="1"/>
    </xf>
    <xf numFmtId="17" fontId="2" fillId="9" borderId="22" xfId="0" applyNumberFormat="1" applyFont="1" applyFill="1" applyBorder="1" applyAlignment="1">
      <alignment horizontal="center" vertical="center" wrapText="1"/>
    </xf>
    <xf numFmtId="17" fontId="2" fillId="9" borderId="23" xfId="0" applyNumberFormat="1" applyFont="1" applyFill="1" applyBorder="1" applyAlignment="1">
      <alignment horizontal="center" vertical="center"/>
    </xf>
    <xf numFmtId="17" fontId="2" fillId="9" borderId="23" xfId="0" applyNumberFormat="1" applyFont="1" applyFill="1" applyBorder="1" applyAlignment="1">
      <alignment horizontal="center" vertical="center" wrapText="1"/>
    </xf>
    <xf numFmtId="0" fontId="2" fillId="9" borderId="23" xfId="0" applyFont="1" applyFill="1" applyBorder="1" applyAlignment="1">
      <alignment horizontal="center" vertical="center" wrapText="1"/>
    </xf>
    <xf numFmtId="0" fontId="2" fillId="9" borderId="46" xfId="1" applyNumberFormat="1" applyFont="1" applyFill="1" applyBorder="1" applyAlignment="1">
      <alignment horizontal="center" vertical="center"/>
    </xf>
    <xf numFmtId="0" fontId="2" fillId="9" borderId="46" xfId="0" applyFont="1" applyFill="1" applyBorder="1" applyAlignment="1">
      <alignment horizontal="center" vertical="center"/>
    </xf>
    <xf numFmtId="17" fontId="2" fillId="9" borderId="23" xfId="0" applyNumberFormat="1" applyFont="1" applyFill="1" applyBorder="1" applyAlignment="1">
      <alignment horizontal="center"/>
    </xf>
    <xf numFmtId="0" fontId="2" fillId="9" borderId="23" xfId="0" applyFont="1" applyFill="1" applyBorder="1" applyAlignment="1">
      <alignment horizontal="center" wrapText="1"/>
    </xf>
    <xf numFmtId="16" fontId="2" fillId="9" borderId="24" xfId="0" applyNumberFormat="1" applyFont="1" applyFill="1" applyBorder="1" applyAlignment="1">
      <alignment horizontal="center" vertical="center"/>
    </xf>
    <xf numFmtId="16" fontId="2" fillId="9" borderId="24" xfId="0" applyNumberFormat="1" applyFont="1" applyFill="1" applyBorder="1" applyAlignment="1">
      <alignment horizontal="center" wrapText="1"/>
    </xf>
    <xf numFmtId="20" fontId="2" fillId="9" borderId="26" xfId="0" quotePrefix="1" applyNumberFormat="1" applyFont="1" applyFill="1" applyBorder="1" applyAlignment="1">
      <alignment horizontal="center" vertical="center"/>
    </xf>
    <xf numFmtId="20" fontId="2" fillId="9" borderId="26" xfId="0" applyNumberFormat="1" applyFont="1" applyFill="1" applyBorder="1" applyAlignment="1">
      <alignment horizontal="center"/>
    </xf>
    <xf numFmtId="0" fontId="2" fillId="9" borderId="58" xfId="1" applyNumberFormat="1" applyFont="1" applyFill="1" applyBorder="1" applyAlignment="1">
      <alignment horizontal="center" vertical="center"/>
    </xf>
    <xf numFmtId="0" fontId="2" fillId="9" borderId="58" xfId="0" applyFont="1" applyFill="1" applyBorder="1" applyAlignment="1">
      <alignment horizontal="center" vertical="center"/>
    </xf>
    <xf numFmtId="14" fontId="2" fillId="9" borderId="58" xfId="0" applyNumberFormat="1" applyFont="1" applyFill="1" applyBorder="1" applyAlignment="1">
      <alignment horizontal="center" vertical="center" wrapText="1"/>
    </xf>
    <xf numFmtId="20" fontId="2" fillId="9" borderId="58" xfId="0" applyNumberFormat="1" applyFont="1" applyFill="1" applyBorder="1" applyAlignment="1">
      <alignment horizontal="center" vertical="center" wrapText="1"/>
    </xf>
    <xf numFmtId="0" fontId="2" fillId="9" borderId="66" xfId="0" applyFont="1" applyFill="1" applyBorder="1" applyAlignment="1">
      <alignment horizontal="center" vertical="center" wrapText="1"/>
    </xf>
    <xf numFmtId="0" fontId="2" fillId="9" borderId="67" xfId="0" applyFont="1" applyFill="1" applyBorder="1" applyAlignment="1">
      <alignment horizontal="center" vertical="center" wrapText="1"/>
    </xf>
    <xf numFmtId="0" fontId="2" fillId="9" borderId="68" xfId="0" applyFont="1" applyFill="1" applyBorder="1" applyAlignment="1">
      <alignment horizontal="center" vertical="center" wrapText="1"/>
    </xf>
    <xf numFmtId="17" fontId="2" fillId="9" borderId="67" xfId="0" quotePrefix="1" applyNumberFormat="1" applyFont="1" applyFill="1" applyBorder="1" applyAlignment="1">
      <alignment horizontal="center" vertical="center" wrapText="1"/>
    </xf>
    <xf numFmtId="17" fontId="2" fillId="9" borderId="68" xfId="0" quotePrefix="1" applyNumberFormat="1" applyFont="1" applyFill="1" applyBorder="1" applyAlignment="1">
      <alignment horizontal="center" vertical="center" wrapText="1"/>
    </xf>
    <xf numFmtId="0" fontId="2" fillId="9" borderId="69" xfId="0" applyFont="1" applyFill="1" applyBorder="1" applyAlignment="1">
      <alignment horizontal="center" vertical="center" wrapText="1"/>
    </xf>
    <xf numFmtId="43" fontId="36" fillId="9" borderId="70" xfId="1" applyFont="1" applyFill="1" applyBorder="1" applyAlignment="1">
      <alignment horizontal="center" vertical="center" wrapText="1"/>
    </xf>
    <xf numFmtId="0" fontId="36" fillId="9" borderId="71" xfId="0" applyFont="1" applyFill="1" applyBorder="1" applyAlignment="1">
      <alignment horizontal="center" vertical="center" wrapText="1"/>
    </xf>
    <xf numFmtId="0" fontId="36" fillId="9" borderId="72" xfId="0" applyFont="1" applyFill="1" applyBorder="1" applyAlignment="1">
      <alignment horizontal="center" vertical="center" wrapText="1"/>
    </xf>
    <xf numFmtId="0" fontId="36" fillId="9" borderId="73" xfId="0" applyFont="1" applyFill="1" applyBorder="1" applyAlignment="1">
      <alignment vertical="center" wrapText="1"/>
    </xf>
    <xf numFmtId="0" fontId="36" fillId="9" borderId="74" xfId="0" applyFont="1" applyFill="1" applyBorder="1" applyAlignment="1">
      <alignment horizontal="center" vertical="center" wrapText="1"/>
    </xf>
    <xf numFmtId="0" fontId="36" fillId="9" borderId="75" xfId="0" applyFont="1" applyFill="1" applyBorder="1" applyAlignment="1">
      <alignment vertical="center" wrapText="1"/>
    </xf>
    <xf numFmtId="17" fontId="36" fillId="9" borderId="107" xfId="0" applyNumberFormat="1" applyFont="1" applyFill="1" applyBorder="1" applyAlignment="1">
      <alignment horizontal="center" vertical="center"/>
    </xf>
    <xf numFmtId="0" fontId="36" fillId="9" borderId="109" xfId="5" applyFont="1" applyFill="1" applyBorder="1" applyAlignment="1">
      <alignment horizontal="center" vertical="center"/>
    </xf>
    <xf numFmtId="0" fontId="36" fillId="9" borderId="94" xfId="5" applyFont="1" applyFill="1" applyBorder="1" applyAlignment="1">
      <alignment horizontal="center" vertical="center"/>
    </xf>
    <xf numFmtId="0" fontId="36" fillId="9" borderId="111" xfId="5" applyFont="1" applyFill="1" applyBorder="1" applyAlignment="1">
      <alignment horizontal="center" vertical="center"/>
    </xf>
    <xf numFmtId="0" fontId="36" fillId="9" borderId="112" xfId="5" applyFont="1" applyFill="1" applyBorder="1" applyAlignment="1">
      <alignment horizontal="center" vertical="center"/>
    </xf>
    <xf numFmtId="0" fontId="36" fillId="9" borderId="113" xfId="0" applyFont="1" applyFill="1" applyBorder="1" applyAlignment="1">
      <alignment vertical="center"/>
    </xf>
    <xf numFmtId="4" fontId="36" fillId="9" borderId="58" xfId="0" applyNumberFormat="1" applyFont="1" applyFill="1" applyBorder="1" applyAlignment="1">
      <alignment vertical="center"/>
    </xf>
    <xf numFmtId="0" fontId="77" fillId="9" borderId="113" xfId="0" applyFont="1" applyFill="1" applyBorder="1" applyAlignment="1">
      <alignment vertical="center"/>
    </xf>
    <xf numFmtId="0" fontId="36" fillId="9" borderId="115" xfId="0" applyFont="1" applyFill="1" applyBorder="1" applyAlignment="1">
      <alignment vertical="center"/>
    </xf>
    <xf numFmtId="4" fontId="36" fillId="9" borderId="115" xfId="0" applyNumberFormat="1" applyFont="1" applyFill="1" applyBorder="1" applyAlignment="1">
      <alignment vertical="center"/>
    </xf>
    <xf numFmtId="4" fontId="77" fillId="9" borderId="58" xfId="0" applyNumberFormat="1" applyFont="1" applyFill="1" applyBorder="1" applyAlignment="1">
      <alignment vertical="center"/>
    </xf>
    <xf numFmtId="0" fontId="77" fillId="9" borderId="116" xfId="0" applyFont="1" applyFill="1" applyBorder="1" applyAlignment="1">
      <alignment vertical="center"/>
    </xf>
    <xf numFmtId="0" fontId="77" fillId="9" borderId="117" xfId="0" applyFont="1" applyFill="1" applyBorder="1" applyAlignment="1">
      <alignment vertical="center"/>
    </xf>
    <xf numFmtId="17" fontId="36" fillId="11" borderId="46" xfId="6" quotePrefix="1" applyNumberFormat="1" applyFont="1" applyFill="1" applyBorder="1" applyAlignment="1">
      <alignment horizontal="center" vertical="center" wrapText="1"/>
    </xf>
    <xf numFmtId="0" fontId="36" fillId="11" borderId="46" xfId="6" quotePrefix="1" applyFont="1" applyFill="1" applyBorder="1" applyAlignment="1">
      <alignment horizontal="center" vertical="center" wrapText="1"/>
    </xf>
    <xf numFmtId="0" fontId="36" fillId="11" borderId="46" xfId="6" applyFont="1" applyFill="1" applyBorder="1" applyAlignment="1">
      <alignment horizontal="center" vertical="center" wrapText="1"/>
    </xf>
    <xf numFmtId="0" fontId="36" fillId="11" borderId="119" xfId="6" applyFont="1" applyFill="1" applyBorder="1" applyAlignment="1">
      <alignment horizontal="center" vertical="center" wrapText="1"/>
    </xf>
    <xf numFmtId="14" fontId="36" fillId="11" borderId="46" xfId="6" applyNumberFormat="1" applyFont="1" applyFill="1" applyBorder="1" applyAlignment="1">
      <alignment horizontal="center" vertical="center"/>
    </xf>
    <xf numFmtId="0" fontId="36" fillId="11" borderId="119" xfId="6" applyFont="1" applyFill="1" applyBorder="1" applyAlignment="1">
      <alignment horizontal="center" vertical="center"/>
    </xf>
    <xf numFmtId="20" fontId="36" fillId="11" borderId="121" xfId="6" applyNumberFormat="1" applyFont="1" applyFill="1" applyBorder="1" applyAlignment="1">
      <alignment horizontal="center" vertical="center"/>
    </xf>
    <xf numFmtId="0" fontId="36" fillId="11" borderId="122" xfId="6" applyFont="1" applyFill="1" applyBorder="1" applyAlignment="1">
      <alignment horizontal="center" vertical="center"/>
    </xf>
    <xf numFmtId="174" fontId="42" fillId="9" borderId="126" xfId="0" applyNumberFormat="1" applyFont="1" applyFill="1" applyBorder="1" applyAlignment="1">
      <alignment horizontal="center" vertical="center"/>
    </xf>
    <xf numFmtId="174" fontId="42" fillId="9" borderId="126" xfId="0" applyNumberFormat="1" applyFont="1" applyFill="1" applyBorder="1" applyAlignment="1">
      <alignment horizontal="center" vertical="center" wrapText="1"/>
    </xf>
    <xf numFmtId="0" fontId="36" fillId="9" borderId="73" xfId="0" applyFont="1" applyFill="1" applyBorder="1" applyAlignment="1">
      <alignment horizontal="center" vertical="center"/>
    </xf>
    <xf numFmtId="43" fontId="36" fillId="9" borderId="73" xfId="1" applyFont="1" applyFill="1" applyBorder="1" applyAlignment="1">
      <alignment horizontal="center" vertical="center"/>
    </xf>
    <xf numFmtId="4" fontId="36" fillId="9" borderId="73" xfId="0" applyNumberFormat="1" applyFont="1" applyFill="1" applyBorder="1" applyAlignment="1">
      <alignment horizontal="center" vertical="center"/>
    </xf>
    <xf numFmtId="0" fontId="36" fillId="9" borderId="73" xfId="0" applyFont="1" applyFill="1" applyBorder="1" applyAlignment="1">
      <alignment horizontal="center" vertical="center" wrapText="1"/>
    </xf>
    <xf numFmtId="0" fontId="77" fillId="9" borderId="115" xfId="0" applyFont="1" applyFill="1" applyBorder="1" applyAlignment="1">
      <alignment vertical="center"/>
    </xf>
    <xf numFmtId="10" fontId="36" fillId="9" borderId="58" xfId="2" applyNumberFormat="1" applyFont="1" applyFill="1" applyBorder="1" applyAlignment="1">
      <alignment vertical="center"/>
    </xf>
    <xf numFmtId="10" fontId="77" fillId="9" borderId="58" xfId="2" applyNumberFormat="1"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0" fontId="21" fillId="4" borderId="82" xfId="0" applyFont="1" applyFill="1" applyBorder="1" applyAlignment="1">
      <alignment vertical="center"/>
    </xf>
    <xf numFmtId="4" fontId="21" fillId="4" borderId="79" xfId="0" applyNumberFormat="1" applyFont="1" applyFill="1" applyBorder="1" applyAlignment="1">
      <alignment horizontal="center" vertical="center"/>
    </xf>
    <xf numFmtId="167" fontId="21" fillId="4" borderId="79" xfId="2" applyNumberFormat="1" applyFont="1" applyFill="1" applyBorder="1" applyAlignment="1">
      <alignment horizontal="center" vertical="center"/>
    </xf>
    <xf numFmtId="0" fontId="76" fillId="4" borderId="102" xfId="0" applyFont="1" applyFill="1" applyBorder="1"/>
    <xf numFmtId="0" fontId="76" fillId="4" borderId="103" xfId="0" applyFont="1" applyFill="1" applyBorder="1"/>
    <xf numFmtId="43" fontId="76" fillId="4" borderId="103" xfId="1" applyFont="1" applyFill="1" applyBorder="1"/>
    <xf numFmtId="43" fontId="76" fillId="4" borderId="104" xfId="1" applyFont="1" applyFill="1" applyBorder="1"/>
    <xf numFmtId="43" fontId="76" fillId="4" borderId="103" xfId="0" applyNumberFormat="1" applyFont="1" applyFill="1" applyBorder="1"/>
    <xf numFmtId="10" fontId="76" fillId="4" borderId="104" xfId="2" applyNumberFormat="1" applyFont="1" applyFill="1" applyBorder="1"/>
    <xf numFmtId="43" fontId="68" fillId="0" borderId="0" xfId="1" applyFont="1" applyAlignment="1">
      <alignment horizontal="left"/>
    </xf>
    <xf numFmtId="0" fontId="68" fillId="0" borderId="0" xfId="0" applyFont="1" applyAlignment="1">
      <alignment horizontal="left" vertical="top" wrapText="1"/>
    </xf>
    <xf numFmtId="0" fontId="68" fillId="0" borderId="0" xfId="0" applyFont="1" applyAlignment="1">
      <alignment horizontal="left"/>
    </xf>
    <xf numFmtId="0" fontId="32" fillId="9" borderId="77" xfId="0" quotePrefix="1" applyFont="1" applyFill="1" applyBorder="1" applyAlignment="1">
      <alignment horizontal="center" vertical="center" wrapText="1"/>
    </xf>
    <xf numFmtId="0" fontId="32" fillId="9" borderId="77" xfId="0" applyFont="1" applyFill="1" applyBorder="1" applyAlignment="1">
      <alignment horizontal="center" vertical="center" wrapText="1"/>
    </xf>
    <xf numFmtId="0" fontId="32" fillId="9" borderId="78" xfId="0" applyFont="1" applyFill="1" applyBorder="1" applyAlignment="1">
      <alignment horizontal="center" vertical="center" wrapText="1"/>
    </xf>
    <xf numFmtId="0" fontId="32" fillId="9" borderId="76" xfId="0" applyFont="1" applyFill="1" applyBorder="1" applyAlignment="1">
      <alignment horizontal="center" vertical="center" wrapText="1"/>
    </xf>
    <xf numFmtId="0" fontId="62" fillId="4" borderId="83" xfId="2" applyNumberFormat="1" applyFont="1" applyFill="1" applyBorder="1" applyAlignment="1">
      <alignment horizontal="center" vertical="center"/>
    </xf>
    <xf numFmtId="4" fontId="62" fillId="4" borderId="83" xfId="0" applyNumberFormat="1" applyFont="1" applyFill="1" applyBorder="1" applyAlignment="1">
      <alignment horizontal="center" vertical="center"/>
    </xf>
    <xf numFmtId="166" fontId="70" fillId="0" borderId="0" xfId="7" applyNumberFormat="1" applyFont="1"/>
    <xf numFmtId="0" fontId="63" fillId="0" borderId="0" xfId="0" applyFont="1" applyAlignment="1">
      <alignment vertical="center" wrapText="1"/>
    </xf>
    <xf numFmtId="0" fontId="80" fillId="0" borderId="0" xfId="0" applyFont="1"/>
    <xf numFmtId="0" fontId="81" fillId="0" borderId="0" xfId="0" applyFont="1" applyAlignment="1">
      <alignment vertical="center"/>
    </xf>
    <xf numFmtId="0" fontId="81" fillId="0" borderId="0" xfId="0" applyFont="1" applyAlignment="1">
      <alignment horizontal="center"/>
    </xf>
    <xf numFmtId="0" fontId="81" fillId="0" borderId="0" xfId="0" applyFont="1" applyAlignment="1">
      <alignment horizontal="left" vertical="center" wrapText="1"/>
    </xf>
    <xf numFmtId="0" fontId="81" fillId="0" borderId="0" xfId="0" applyFont="1" applyAlignment="1">
      <alignment vertical="center" wrapText="1"/>
    </xf>
    <xf numFmtId="49" fontId="82" fillId="0" borderId="0" xfId="0" applyNumberFormat="1" applyFont="1" applyAlignment="1">
      <alignment horizontal="right"/>
    </xf>
    <xf numFmtId="1" fontId="82" fillId="0" borderId="0" xfId="0" applyNumberFormat="1" applyFont="1" applyAlignment="1">
      <alignment horizontal="right"/>
    </xf>
    <xf numFmtId="0" fontId="83" fillId="0" borderId="0" xfId="0" applyFont="1" applyAlignment="1">
      <alignment vertical="center"/>
    </xf>
    <xf numFmtId="0" fontId="83" fillId="0" borderId="0" xfId="0" applyFont="1" applyAlignment="1">
      <alignment vertical="center" wrapText="1"/>
    </xf>
    <xf numFmtId="0" fontId="36" fillId="9" borderId="133" xfId="0" applyFont="1" applyFill="1" applyBorder="1" applyAlignment="1">
      <alignment horizontal="center" vertical="center" wrapText="1"/>
    </xf>
    <xf numFmtId="0" fontId="36" fillId="9" borderId="134" xfId="0" applyFont="1" applyFill="1" applyBorder="1" applyAlignment="1">
      <alignment horizontal="center" vertical="center" wrapText="1"/>
    </xf>
    <xf numFmtId="0" fontId="36" fillId="9" borderId="135" xfId="0" applyFont="1" applyFill="1" applyBorder="1" applyAlignment="1">
      <alignment horizontal="center" vertical="center" wrapText="1"/>
    </xf>
    <xf numFmtId="0" fontId="36" fillId="9" borderId="136" xfId="0" applyFont="1" applyFill="1" applyBorder="1" applyAlignment="1">
      <alignment horizontal="center" vertical="center" wrapText="1"/>
    </xf>
    <xf numFmtId="0" fontId="36" fillId="9" borderId="137" xfId="0" applyFont="1" applyFill="1" applyBorder="1" applyAlignment="1">
      <alignment horizontal="center" vertical="center" wrapText="1"/>
    </xf>
    <xf numFmtId="0" fontId="17" fillId="2" borderId="0" xfId="0" applyFont="1" applyFill="1" applyAlignment="1">
      <alignment vertical="center" wrapText="1"/>
    </xf>
    <xf numFmtId="49" fontId="0" fillId="0" borderId="0" xfId="0" applyNumberFormat="1" applyAlignment="1">
      <alignment horizontal="right" vertical="center"/>
    </xf>
    <xf numFmtId="1" fontId="0" fillId="0" borderId="0" xfId="0" applyNumberFormat="1" applyAlignment="1">
      <alignment horizontal="right" vertical="center" wrapText="1"/>
    </xf>
    <xf numFmtId="4" fontId="0" fillId="0" borderId="0" xfId="0" applyNumberFormat="1" applyAlignment="1">
      <alignment vertical="center" wrapText="1"/>
    </xf>
    <xf numFmtId="49" fontId="0" fillId="0" borderId="0" xfId="0" applyNumberFormat="1" applyAlignment="1">
      <alignment horizontal="center" vertical="center"/>
    </xf>
    <xf numFmtId="4" fontId="0" fillId="0" borderId="0" xfId="0" applyNumberFormat="1" applyAlignment="1">
      <alignment vertical="center"/>
    </xf>
    <xf numFmtId="0" fontId="0" fillId="2" borderId="0" xfId="0" applyFill="1" applyAlignment="1">
      <alignment horizontal="right"/>
    </xf>
    <xf numFmtId="0" fontId="0" fillId="2" borderId="0" xfId="0" applyFill="1"/>
    <xf numFmtId="0" fontId="76" fillId="0" borderId="0" xfId="0" applyFont="1"/>
    <xf numFmtId="22" fontId="30" fillId="0" borderId="0" xfId="0" applyNumberFormat="1" applyFont="1" applyAlignment="1">
      <alignment vertical="center"/>
    </xf>
    <xf numFmtId="0" fontId="31" fillId="0" borderId="138" xfId="0" applyFont="1" applyBorder="1" applyAlignment="1">
      <alignment vertical="center" wrapText="1"/>
    </xf>
    <xf numFmtId="22" fontId="31" fillId="0" borderId="138" xfId="0" applyNumberFormat="1" applyFont="1" applyBorder="1" applyAlignment="1">
      <alignment horizontal="center" vertical="center" wrapText="1"/>
    </xf>
    <xf numFmtId="0" fontId="61" fillId="0" borderId="138" xfId="0" applyFont="1" applyBorder="1" applyAlignment="1">
      <alignment horizontal="justify" vertical="center" wrapText="1"/>
    </xf>
    <xf numFmtId="0" fontId="31" fillId="0" borderId="138" xfId="0" applyFont="1" applyBorder="1" applyAlignment="1">
      <alignment horizontal="center" vertical="center" wrapText="1"/>
    </xf>
    <xf numFmtId="0" fontId="31" fillId="0" borderId="139" xfId="0" applyFont="1" applyBorder="1" applyAlignment="1">
      <alignment vertical="center" wrapText="1"/>
    </xf>
    <xf numFmtId="22" fontId="31" fillId="0" borderId="139" xfId="0" applyNumberFormat="1" applyFont="1" applyBorder="1" applyAlignment="1">
      <alignment horizontal="center" vertical="center" wrapText="1"/>
    </xf>
    <xf numFmtId="0" fontId="61" fillId="0" borderId="139" xfId="0" applyFont="1" applyBorder="1" applyAlignment="1">
      <alignment horizontal="justify" vertical="center" wrapText="1"/>
    </xf>
    <xf numFmtId="0" fontId="31" fillId="0" borderId="139" xfId="0" applyFont="1" applyBorder="1" applyAlignment="1">
      <alignment horizontal="center" vertical="center" wrapText="1"/>
    </xf>
    <xf numFmtId="0" fontId="31" fillId="0" borderId="140" xfId="0" applyFont="1" applyBorder="1" applyAlignment="1">
      <alignment vertical="center" wrapText="1"/>
    </xf>
    <xf numFmtId="22" fontId="31" fillId="0" borderId="140" xfId="0" applyNumberFormat="1" applyFont="1" applyBorder="1" applyAlignment="1">
      <alignment horizontal="center" vertical="center" wrapText="1"/>
    </xf>
    <xf numFmtId="0" fontId="61" fillId="0" borderId="140" xfId="0" applyFont="1" applyBorder="1" applyAlignment="1">
      <alignment horizontal="justify" vertical="center" wrapText="1"/>
    </xf>
    <xf numFmtId="0" fontId="31" fillId="0" borderId="140" xfId="0" applyFont="1" applyBorder="1" applyAlignment="1">
      <alignment horizontal="center" vertical="center" wrapText="1"/>
    </xf>
    <xf numFmtId="43" fontId="0" fillId="0" borderId="0" xfId="1" applyFont="1" applyAlignment="1">
      <alignment horizontal="center"/>
    </xf>
    <xf numFmtId="14" fontId="0" fillId="0" borderId="0" xfId="0" applyNumberFormat="1" applyAlignment="1">
      <alignment horizontal="center"/>
    </xf>
    <xf numFmtId="20" fontId="0" fillId="0" borderId="0" xfId="0" applyNumberFormat="1" applyAlignment="1">
      <alignment horizontal="center"/>
    </xf>
    <xf numFmtId="0" fontId="27" fillId="2" borderId="50" xfId="0" applyFont="1" applyFill="1" applyBorder="1" applyAlignment="1">
      <alignment vertical="center" wrapText="1"/>
    </xf>
    <xf numFmtId="0" fontId="27" fillId="2" borderId="65" xfId="0" applyFont="1" applyFill="1" applyBorder="1" applyAlignment="1">
      <alignment vertical="center" wrapText="1"/>
    </xf>
    <xf numFmtId="43" fontId="76" fillId="0" borderId="0" xfId="1" applyFont="1"/>
    <xf numFmtId="0" fontId="76" fillId="0" borderId="100" xfId="0" applyFont="1" applyBorder="1" applyAlignment="1">
      <alignment wrapText="1"/>
    </xf>
    <xf numFmtId="0" fontId="36" fillId="9" borderId="116" xfId="0" applyFont="1" applyFill="1" applyBorder="1" applyAlignment="1">
      <alignment vertical="center"/>
    </xf>
    <xf numFmtId="4" fontId="36" fillId="9" borderId="114" xfId="0" applyNumberFormat="1" applyFont="1" applyFill="1" applyBorder="1" applyAlignment="1">
      <alignment vertical="center"/>
    </xf>
    <xf numFmtId="0" fontId="31" fillId="0" borderId="0" xfId="0" applyFont="1" applyAlignment="1">
      <alignment vertical="center"/>
    </xf>
    <xf numFmtId="0" fontId="76" fillId="0" borderId="0" xfId="0" applyFont="1" applyAlignment="1">
      <alignment vertical="center"/>
    </xf>
    <xf numFmtId="43" fontId="76" fillId="0" borderId="0" xfId="0" applyNumberFormat="1" applyFont="1" applyAlignment="1">
      <alignment vertical="center"/>
    </xf>
    <xf numFmtId="10" fontId="76" fillId="0" borderId="0" xfId="2" applyNumberFormat="1" applyFont="1" applyAlignment="1">
      <alignment vertical="center"/>
    </xf>
    <xf numFmtId="10" fontId="31" fillId="0" borderId="0" xfId="2" applyNumberFormat="1" applyFont="1" applyAlignment="1">
      <alignment vertical="center"/>
    </xf>
    <xf numFmtId="20" fontId="33" fillId="0" borderId="126" xfId="0" applyNumberFormat="1" applyFont="1" applyBorder="1" applyAlignment="1">
      <alignment horizontal="center" vertical="center"/>
    </xf>
    <xf numFmtId="20" fontId="33" fillId="0" borderId="126" xfId="0" applyNumberFormat="1" applyFont="1" applyBorder="1" applyAlignment="1">
      <alignment horizontal="center"/>
    </xf>
    <xf numFmtId="4" fontId="33" fillId="6" borderId="126" xfId="0" applyNumberFormat="1" applyFont="1" applyFill="1" applyBorder="1" applyAlignment="1">
      <alignment horizontal="center"/>
    </xf>
    <xf numFmtId="4" fontId="0" fillId="0" borderId="141" xfId="0" applyNumberFormat="1" applyBorder="1" applyAlignment="1">
      <alignment vertical="center"/>
    </xf>
    <xf numFmtId="4" fontId="0" fillId="0" borderId="142" xfId="0" applyNumberFormat="1" applyBorder="1" applyAlignment="1">
      <alignment vertical="center"/>
    </xf>
    <xf numFmtId="4" fontId="0" fillId="0" borderId="143" xfId="0" applyNumberFormat="1" applyBorder="1" applyAlignment="1">
      <alignment vertical="center"/>
    </xf>
    <xf numFmtId="167" fontId="0" fillId="0" borderId="144" xfId="2" applyNumberFormat="1" applyFont="1" applyBorder="1" applyAlignment="1">
      <alignment vertical="center"/>
    </xf>
    <xf numFmtId="4" fontId="0" fillId="4" borderId="3" xfId="0" applyNumberFormat="1" applyFill="1" applyBorder="1" applyAlignment="1">
      <alignment vertical="center"/>
    </xf>
    <xf numFmtId="4" fontId="0" fillId="4" borderId="145" xfId="0" applyNumberFormat="1" applyFill="1" applyBorder="1" applyAlignment="1">
      <alignment vertical="center"/>
    </xf>
    <xf numFmtId="4" fontId="0" fillId="4" borderId="146" xfId="0" applyNumberFormat="1" applyFill="1" applyBorder="1" applyAlignment="1">
      <alignment vertical="center"/>
    </xf>
    <xf numFmtId="167" fontId="0" fillId="4" borderId="147" xfId="2" applyNumberFormat="1" applyFont="1" applyFill="1" applyBorder="1" applyAlignment="1">
      <alignment vertical="center"/>
    </xf>
    <xf numFmtId="4" fontId="0" fillId="0" borderId="3" xfId="0" applyNumberFormat="1" applyBorder="1" applyAlignment="1">
      <alignment vertical="center"/>
    </xf>
    <xf numFmtId="4" fontId="0" fillId="0" borderId="145" xfId="0" applyNumberFormat="1" applyBorder="1" applyAlignment="1">
      <alignment vertical="center"/>
    </xf>
    <xf numFmtId="4" fontId="0" fillId="0" borderId="146" xfId="0" applyNumberFormat="1" applyBorder="1" applyAlignment="1">
      <alignment vertical="center"/>
    </xf>
    <xf numFmtId="167" fontId="0" fillId="0" borderId="147" xfId="2" applyNumberFormat="1" applyFont="1" applyBorder="1" applyAlignment="1">
      <alignment vertical="center"/>
    </xf>
    <xf numFmtId="4" fontId="0" fillId="4" borderId="41" xfId="0" applyNumberFormat="1" applyFill="1" applyBorder="1" applyAlignment="1">
      <alignment vertical="center"/>
    </xf>
    <xf numFmtId="4" fontId="0" fillId="4" borderId="148" xfId="0" applyNumberFormat="1" applyFill="1" applyBorder="1" applyAlignment="1">
      <alignment vertical="center"/>
    </xf>
    <xf numFmtId="4" fontId="0" fillId="4" borderId="149" xfId="0" applyNumberFormat="1" applyFill="1" applyBorder="1" applyAlignment="1">
      <alignment vertical="center"/>
    </xf>
    <xf numFmtId="167" fontId="0" fillId="4" borderId="150" xfId="2" applyNumberFormat="1" applyFont="1" applyFill="1" applyBorder="1" applyAlignment="1">
      <alignment vertical="center"/>
    </xf>
    <xf numFmtId="4" fontId="0" fillId="0" borderId="141" xfId="0" applyNumberFormat="1" applyBorder="1"/>
    <xf numFmtId="4" fontId="0" fillId="0" borderId="151" xfId="0" applyNumberFormat="1" applyBorder="1" applyAlignment="1">
      <alignment horizontal="right"/>
    </xf>
    <xf numFmtId="167" fontId="0" fillId="0" borderId="144" xfId="2" applyNumberFormat="1" applyFont="1" applyBorder="1"/>
    <xf numFmtId="4" fontId="0" fillId="4" borderId="3" xfId="0" applyNumberFormat="1" applyFill="1" applyBorder="1"/>
    <xf numFmtId="4" fontId="0" fillId="4" borderId="152" xfId="0" applyNumberFormat="1" applyFill="1" applyBorder="1" applyAlignment="1">
      <alignment horizontal="right"/>
    </xf>
    <xf numFmtId="167" fontId="0" fillId="4" borderId="147" xfId="2" applyNumberFormat="1" applyFont="1" applyFill="1" applyBorder="1"/>
    <xf numFmtId="4" fontId="0" fillId="0" borderId="3" xfId="0" applyNumberFormat="1" applyBorder="1"/>
    <xf numFmtId="4" fontId="0" fillId="0" borderId="152" xfId="0" applyNumberFormat="1" applyBorder="1" applyAlignment="1">
      <alignment horizontal="right"/>
    </xf>
    <xf numFmtId="167" fontId="0" fillId="0" borderId="147" xfId="2" applyNumberFormat="1" applyFont="1" applyBorder="1"/>
    <xf numFmtId="4" fontId="0" fillId="4" borderId="153" xfId="0" applyNumberFormat="1" applyFill="1" applyBorder="1"/>
    <xf numFmtId="4" fontId="0" fillId="4" borderId="154" xfId="0" applyNumberFormat="1" applyFill="1" applyBorder="1" applyAlignment="1">
      <alignment horizontal="right"/>
    </xf>
    <xf numFmtId="167" fontId="0" fillId="4" borderId="155" xfId="2" applyNumberFormat="1" applyFont="1" applyFill="1" applyBorder="1"/>
    <xf numFmtId="10" fontId="21" fillId="0" borderId="4" xfId="2" applyNumberFormat="1" applyFont="1" applyBorder="1" applyAlignment="1">
      <alignment horizontal="right"/>
    </xf>
    <xf numFmtId="10" fontId="21" fillId="4" borderId="4" xfId="2" applyNumberFormat="1" applyFont="1" applyFill="1" applyBorder="1" applyAlignment="1">
      <alignment horizontal="right" vertical="center"/>
    </xf>
    <xf numFmtId="10" fontId="21" fillId="0" borderId="4" xfId="2" applyNumberFormat="1" applyFont="1" applyBorder="1" applyAlignment="1">
      <alignment horizontal="right" vertical="center"/>
    </xf>
    <xf numFmtId="10" fontId="21" fillId="4" borderId="43" xfId="2" applyNumberFormat="1" applyFont="1" applyFill="1" applyBorder="1" applyAlignment="1">
      <alignment horizontal="right" vertical="center"/>
    </xf>
    <xf numFmtId="10" fontId="13" fillId="0" borderId="0" xfId="0" applyNumberFormat="1" applyFont="1" applyAlignment="1">
      <alignment horizontal="left"/>
    </xf>
    <xf numFmtId="10" fontId="21" fillId="4" borderId="29" xfId="2" applyNumberFormat="1" applyFont="1" applyFill="1" applyBorder="1" applyAlignment="1">
      <alignment horizontal="right" vertical="center"/>
    </xf>
    <xf numFmtId="10" fontId="21" fillId="4" borderId="34" xfId="2" applyNumberFormat="1" applyFont="1" applyFill="1" applyBorder="1" applyAlignment="1">
      <alignment horizontal="right" vertical="center"/>
    </xf>
    <xf numFmtId="10" fontId="13" fillId="0" borderId="0" xfId="0" applyNumberFormat="1" applyFont="1" applyAlignment="1">
      <alignment horizontal="center"/>
    </xf>
    <xf numFmtId="0" fontId="68" fillId="0" borderId="0" xfId="0" applyFont="1" applyAlignment="1">
      <alignment horizontal="right"/>
    </xf>
    <xf numFmtId="0" fontId="82" fillId="0" borderId="0" xfId="0" applyFont="1" applyAlignment="1">
      <alignment horizontal="right"/>
    </xf>
    <xf numFmtId="0" fontId="63" fillId="0" borderId="91" xfId="0" applyFont="1" applyBorder="1" applyAlignment="1">
      <alignment horizontal="center" vertical="center"/>
    </xf>
    <xf numFmtId="2" fontId="51" fillId="0" borderId="0" xfId="0" applyNumberFormat="1" applyFont="1"/>
    <xf numFmtId="174" fontId="32" fillId="3" borderId="46" xfId="0" applyNumberFormat="1" applyFont="1" applyFill="1" applyBorder="1" applyAlignment="1">
      <alignment vertical="center"/>
    </xf>
    <xf numFmtId="176" fontId="21" fillId="0" borderId="40" xfId="2" applyNumberFormat="1" applyFont="1" applyBorder="1" applyAlignment="1">
      <alignment horizontal="right" vertical="center"/>
    </xf>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62" fillId="5" borderId="38" xfId="0" applyFont="1" applyFill="1" applyBorder="1" applyAlignment="1">
      <alignment horizontal="left" vertical="center"/>
    </xf>
    <xf numFmtId="0" fontId="62" fillId="5" borderId="40" xfId="0" applyFont="1" applyFill="1" applyBorder="1" applyAlignment="1">
      <alignment horizontal="left" vertical="center"/>
    </xf>
    <xf numFmtId="0" fontId="36" fillId="9" borderId="34" xfId="0" applyFont="1" applyFill="1" applyBorder="1" applyAlignment="1">
      <alignment horizontal="center" vertical="center" wrapText="1"/>
    </xf>
    <xf numFmtId="0" fontId="36" fillId="9" borderId="26" xfId="0" applyFont="1" applyFill="1" applyBorder="1" applyAlignment="1">
      <alignment horizontal="center" vertical="center" wrapText="1"/>
    </xf>
    <xf numFmtId="0" fontId="37" fillId="0" borderId="0" xfId="0" applyFont="1" applyAlignment="1">
      <alignment horizontal="left" wrapText="1"/>
    </xf>
    <xf numFmtId="0" fontId="12" fillId="2" borderId="0" xfId="0" applyFont="1" applyFill="1" applyAlignment="1">
      <alignment horizontal="center" vertical="center" wrapText="1"/>
    </xf>
    <xf numFmtId="0" fontId="62" fillId="5" borderId="27" xfId="0" applyFont="1" applyFill="1" applyBorder="1" applyAlignment="1">
      <alignment horizontal="left" vertical="center"/>
    </xf>
    <xf numFmtId="0" fontId="62" fillId="5" borderId="29" xfId="0" applyFont="1" applyFill="1" applyBorder="1" applyAlignment="1">
      <alignment horizontal="left" vertical="center"/>
    </xf>
    <xf numFmtId="0" fontId="62" fillId="2" borderId="30" xfId="0" applyFont="1" applyFill="1" applyBorder="1" applyAlignment="1">
      <alignment horizontal="left" vertical="center"/>
    </xf>
    <xf numFmtId="0" fontId="62" fillId="2" borderId="31" xfId="0" applyFont="1" applyFill="1" applyBorder="1" applyAlignment="1">
      <alignment horizontal="left" vertical="center"/>
    </xf>
    <xf numFmtId="0" fontId="62" fillId="5" borderId="30" xfId="0" applyFont="1" applyFill="1" applyBorder="1" applyAlignment="1">
      <alignment horizontal="left" vertical="center"/>
    </xf>
    <xf numFmtId="0" fontId="62" fillId="5" borderId="31" xfId="0" applyFont="1" applyFill="1" applyBorder="1" applyAlignment="1">
      <alignment horizontal="left" vertical="center"/>
    </xf>
    <xf numFmtId="0" fontId="62" fillId="2" borderId="32" xfId="0" applyFont="1" applyFill="1" applyBorder="1" applyAlignment="1">
      <alignment horizontal="left" vertical="center"/>
    </xf>
    <xf numFmtId="0" fontId="62" fillId="2" borderId="34" xfId="0" applyFont="1" applyFill="1" applyBorder="1" applyAlignment="1">
      <alignment horizontal="left" vertical="center"/>
    </xf>
    <xf numFmtId="0" fontId="63" fillId="2" borderId="0" xfId="0" quotePrefix="1" applyFont="1" applyFill="1" applyAlignment="1">
      <alignment horizontal="left" vertical="center"/>
    </xf>
    <xf numFmtId="0" fontId="63" fillId="2" borderId="0" xfId="0" quotePrefix="1" applyFont="1" applyFill="1" applyAlignment="1">
      <alignment horizontal="left" vertical="center" wrapText="1"/>
    </xf>
    <xf numFmtId="0" fontId="31" fillId="0" borderId="0" xfId="0" applyFont="1" applyAlignment="1">
      <alignment horizontal="justify" vertical="center" wrapText="1"/>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9" borderId="17" xfId="0" quotePrefix="1" applyFont="1" applyFill="1" applyBorder="1" applyAlignment="1">
      <alignment horizontal="left" vertical="center" wrapText="1"/>
    </xf>
    <xf numFmtId="0" fontId="2" fillId="9"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9" borderId="18" xfId="1" applyFont="1" applyFill="1" applyBorder="1" applyAlignment="1">
      <alignment horizontal="center" vertical="center"/>
    </xf>
    <xf numFmtId="17" fontId="2" fillId="9" borderId="18" xfId="0" applyNumberFormat="1" applyFont="1" applyFill="1" applyBorder="1" applyAlignment="1">
      <alignment horizontal="center" vertical="center"/>
    </xf>
    <xf numFmtId="0" fontId="2" fillId="9" borderId="18" xfId="0" applyFont="1" applyFill="1" applyBorder="1" applyAlignment="1">
      <alignment horizontal="center" vertical="center"/>
    </xf>
    <xf numFmtId="0" fontId="2" fillId="9"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9" borderId="23" xfId="1" applyFont="1" applyFill="1" applyBorder="1" applyAlignment="1">
      <alignment horizontal="center" vertical="center"/>
    </xf>
    <xf numFmtId="17" fontId="2" fillId="9" borderId="23" xfId="0" applyNumberFormat="1" applyFont="1" applyFill="1" applyBorder="1" applyAlignment="1">
      <alignment horizontal="center" vertical="center"/>
    </xf>
    <xf numFmtId="0" fontId="2" fillId="9" borderId="23" xfId="0" applyFont="1" applyFill="1" applyBorder="1" applyAlignment="1">
      <alignment horizontal="center" vertical="center"/>
    </xf>
    <xf numFmtId="0" fontId="2" fillId="9"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10" borderId="46" xfId="0" applyFont="1" applyFill="1" applyBorder="1" applyAlignment="1">
      <alignment horizontal="left" vertical="center"/>
    </xf>
    <xf numFmtId="43" fontId="2" fillId="9" borderId="46" xfId="1" applyFont="1" applyFill="1" applyBorder="1" applyAlignment="1">
      <alignment horizontal="center" vertical="center"/>
    </xf>
    <xf numFmtId="0" fontId="2" fillId="9" borderId="46"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127" xfId="0" applyFont="1" applyFill="1" applyBorder="1" applyAlignment="1">
      <alignment horizontal="left" vertical="center" wrapText="1"/>
    </xf>
    <xf numFmtId="0" fontId="13" fillId="2" borderId="0" xfId="0" applyFont="1" applyFill="1" applyAlignment="1">
      <alignment horizontal="left" vertical="center"/>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167" fontId="2" fillId="9" borderId="23" xfId="2" applyNumberFormat="1" applyFont="1" applyFill="1" applyBorder="1" applyAlignment="1">
      <alignment horizontal="center" vertical="center" wrapText="1"/>
    </xf>
    <xf numFmtId="167" fontId="2" fillId="9" borderId="23" xfId="2" applyNumberFormat="1" applyFont="1" applyFill="1" applyBorder="1" applyAlignment="1">
      <alignment horizontal="center" vertical="center"/>
    </xf>
    <xf numFmtId="0" fontId="4" fillId="0" borderId="0" xfId="0" applyFont="1" applyAlignment="1">
      <alignment horizontal="left" vertical="center" wrapText="1"/>
    </xf>
    <xf numFmtId="0" fontId="2" fillId="10" borderId="58" xfId="0" applyFont="1" applyFill="1" applyBorder="1" applyAlignment="1">
      <alignment horizontal="center" vertical="center" wrapText="1"/>
    </xf>
    <xf numFmtId="0" fontId="2" fillId="10" borderId="60" xfId="0" applyFont="1" applyFill="1" applyBorder="1" applyAlignment="1">
      <alignment horizontal="center" vertical="center" wrapText="1"/>
    </xf>
    <xf numFmtId="43" fontId="2" fillId="9" borderId="58" xfId="1" applyFont="1" applyFill="1" applyBorder="1" applyAlignment="1">
      <alignment horizontal="center" vertical="center" wrapText="1"/>
    </xf>
    <xf numFmtId="0" fontId="2" fillId="9" borderId="58" xfId="0" applyFont="1" applyFill="1" applyBorder="1" applyAlignment="1">
      <alignment horizontal="center" vertical="center"/>
    </xf>
    <xf numFmtId="0" fontId="2" fillId="9" borderId="59" xfId="0" applyFont="1" applyFill="1" applyBorder="1" applyAlignment="1">
      <alignment horizontal="center" vertical="center"/>
    </xf>
    <xf numFmtId="0" fontId="21" fillId="2" borderId="0" xfId="0" applyFont="1" applyFill="1" applyAlignment="1">
      <alignment horizontal="center" vertical="top"/>
    </xf>
    <xf numFmtId="0" fontId="2" fillId="9" borderId="61" xfId="0" applyFont="1" applyFill="1" applyBorder="1" applyAlignment="1">
      <alignment horizontal="center" vertical="center"/>
    </xf>
    <xf numFmtId="0" fontId="0" fillId="2" borderId="0" xfId="0" quotePrefix="1" applyFill="1" applyAlignment="1">
      <alignment horizontal="left" vertical="center" wrapText="1"/>
    </xf>
    <xf numFmtId="0" fontId="13" fillId="2" borderId="0" xfId="0" quotePrefix="1" applyFont="1" applyFill="1" applyAlignment="1">
      <alignment horizontal="left" vertical="center" wrapText="1"/>
    </xf>
    <xf numFmtId="0" fontId="4" fillId="2" borderId="0" xfId="0" applyFont="1" applyFill="1" applyAlignment="1">
      <alignment horizontal="left" vertical="center"/>
    </xf>
    <xf numFmtId="0" fontId="34"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7" fillId="2" borderId="0" xfId="0" applyNumberFormat="1" applyFont="1" applyFill="1" applyAlignment="1">
      <alignment horizontal="left" vertical="center" wrapText="1"/>
    </xf>
    <xf numFmtId="2" fontId="37" fillId="2" borderId="0" xfId="0" applyNumberFormat="1" applyFont="1" applyFill="1" applyAlignment="1">
      <alignment horizontal="left" vertical="center"/>
    </xf>
    <xf numFmtId="2" fontId="37" fillId="2" borderId="132" xfId="0" applyNumberFormat="1" applyFont="1" applyFill="1" applyBorder="1" applyAlignment="1">
      <alignment horizontal="left" vertical="center" wrapText="1"/>
    </xf>
    <xf numFmtId="0" fontId="84" fillId="2" borderId="0" xfId="0" applyFont="1" applyFill="1" applyAlignment="1">
      <alignment horizontal="left" vertical="center"/>
    </xf>
    <xf numFmtId="43" fontId="63" fillId="0" borderId="91" xfId="1" applyFont="1" applyBorder="1" applyAlignment="1">
      <alignment horizontal="center" vertical="center" wrapText="1"/>
    </xf>
    <xf numFmtId="43" fontId="63" fillId="0" borderId="92" xfId="1" applyFont="1" applyBorder="1" applyAlignment="1">
      <alignment horizontal="center" vertical="center" wrapText="1"/>
    </xf>
    <xf numFmtId="43" fontId="63" fillId="0" borderId="93" xfId="1" applyFont="1" applyBorder="1" applyAlignment="1">
      <alignment horizontal="center" vertical="center" wrapText="1"/>
    </xf>
    <xf numFmtId="43" fontId="36" fillId="9" borderId="87" xfId="1" applyFont="1" applyFill="1" applyBorder="1" applyAlignment="1">
      <alignment horizontal="center" vertical="center" wrapText="1"/>
    </xf>
    <xf numFmtId="43" fontId="36" fillId="9" borderId="88"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9" xfId="0" applyFont="1" applyFill="1" applyBorder="1" applyAlignment="1">
      <alignment horizontal="left" vertical="center"/>
    </xf>
    <xf numFmtId="0" fontId="41" fillId="2" borderId="0" xfId="0" quotePrefix="1" applyFont="1" applyFill="1" applyAlignment="1">
      <alignment horizontal="left" vertical="center" wrapText="1"/>
    </xf>
    <xf numFmtId="0" fontId="37" fillId="2" borderId="90" xfId="0" quotePrefix="1" applyFont="1" applyFill="1" applyBorder="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7" fillId="2" borderId="0" xfId="0" applyFont="1" applyFill="1" applyAlignment="1">
      <alignment wrapText="1"/>
    </xf>
    <xf numFmtId="0" fontId="38" fillId="2" borderId="0" xfId="0" quotePrefix="1" applyFont="1" applyFill="1" applyAlignment="1">
      <alignment horizontal="center" vertical="center" wrapText="1"/>
    </xf>
    <xf numFmtId="0" fontId="38" fillId="2" borderId="0" xfId="0" applyFont="1" applyFill="1" applyAlignment="1">
      <alignment horizontal="center"/>
    </xf>
    <xf numFmtId="0" fontId="37" fillId="2" borderId="0" xfId="0" applyFont="1" applyFill="1" applyAlignment="1">
      <alignment vertical="center" wrapText="1"/>
    </xf>
    <xf numFmtId="0" fontId="36" fillId="9" borderId="105" xfId="5" applyFont="1" applyFill="1" applyBorder="1" applyAlignment="1">
      <alignment horizontal="center" vertical="center"/>
    </xf>
    <xf numFmtId="0" fontId="36" fillId="9" borderId="108" xfId="5" applyFont="1" applyFill="1" applyBorder="1" applyAlignment="1">
      <alignment horizontal="center" vertical="center"/>
    </xf>
    <xf numFmtId="0" fontId="36" fillId="9" borderId="110" xfId="5" applyFont="1" applyFill="1" applyBorder="1" applyAlignment="1">
      <alignment horizontal="center" vertical="center"/>
    </xf>
    <xf numFmtId="0" fontId="36" fillId="9" borderId="106" xfId="5" applyFont="1" applyFill="1" applyBorder="1" applyAlignment="1">
      <alignment horizontal="center" vertical="center"/>
    </xf>
    <xf numFmtId="0" fontId="36" fillId="9" borderId="94" xfId="5" applyFont="1" applyFill="1" applyBorder="1" applyAlignment="1">
      <alignment horizontal="center" vertical="center"/>
    </xf>
    <xf numFmtId="0" fontId="36" fillId="9" borderId="111" xfId="5" applyFont="1" applyFill="1" applyBorder="1" applyAlignment="1">
      <alignment horizontal="center" vertical="center"/>
    </xf>
    <xf numFmtId="17" fontId="36" fillId="9" borderId="106" xfId="0" applyNumberFormat="1" applyFont="1" applyFill="1" applyBorder="1" applyAlignment="1">
      <alignment horizontal="center" vertical="center"/>
    </xf>
    <xf numFmtId="0" fontId="36" fillId="9" borderId="94" xfId="0" applyFont="1" applyFill="1" applyBorder="1" applyAlignment="1">
      <alignment horizontal="center" vertical="center"/>
    </xf>
    <xf numFmtId="0" fontId="36" fillId="9" borderId="44" xfId="5" applyFont="1" applyFill="1" applyBorder="1" applyAlignment="1">
      <alignment horizontal="center" vertical="center" wrapText="1"/>
    </xf>
    <xf numFmtId="0" fontId="36" fillId="9" borderId="95" xfId="5" applyFont="1" applyFill="1" applyBorder="1" applyAlignment="1">
      <alignment horizontal="center" vertical="center" wrapText="1"/>
    </xf>
    <xf numFmtId="0" fontId="36" fillId="9" borderId="45" xfId="5" applyFont="1" applyFill="1" applyBorder="1" applyAlignment="1">
      <alignment horizontal="center" vertical="center"/>
    </xf>
    <xf numFmtId="0" fontId="36" fillId="9" borderId="96" xfId="5" applyFont="1" applyFill="1" applyBorder="1" applyAlignment="1">
      <alignment horizontal="center" vertical="center"/>
    </xf>
    <xf numFmtId="0" fontId="36" fillId="9" borderId="44" xfId="5" applyFont="1" applyFill="1" applyBorder="1" applyAlignment="1">
      <alignment horizontal="center" vertical="center"/>
    </xf>
    <xf numFmtId="0" fontId="31" fillId="0" borderId="0" xfId="0" applyFont="1" applyAlignment="1">
      <alignment horizontal="left" vertical="center" wrapText="1"/>
    </xf>
    <xf numFmtId="0" fontId="36" fillId="11" borderId="123" xfId="6" applyFont="1" applyFill="1" applyBorder="1" applyAlignment="1">
      <alignment horizontal="center" vertical="center"/>
    </xf>
    <xf numFmtId="0" fontId="36" fillId="11" borderId="118" xfId="6" applyFont="1" applyFill="1" applyBorder="1" applyAlignment="1">
      <alignment horizontal="center" vertical="center"/>
    </xf>
    <xf numFmtId="0" fontId="36" fillId="11" borderId="120" xfId="6" applyFont="1" applyFill="1" applyBorder="1" applyAlignment="1">
      <alignment horizontal="center" vertical="center"/>
    </xf>
    <xf numFmtId="0" fontId="36" fillId="11" borderId="124" xfId="6" applyFont="1" applyFill="1" applyBorder="1" applyAlignment="1">
      <alignment horizontal="center" vertical="center"/>
    </xf>
    <xf numFmtId="0" fontId="36" fillId="11" borderId="46" xfId="6" applyFont="1" applyFill="1" applyBorder="1" applyAlignment="1">
      <alignment horizontal="center" vertical="center"/>
    </xf>
    <xf numFmtId="0" fontId="36" fillId="11" borderId="121" xfId="6" applyFont="1" applyFill="1" applyBorder="1" applyAlignment="1">
      <alignment horizontal="center" vertical="center"/>
    </xf>
    <xf numFmtId="0" fontId="36" fillId="11" borderId="125" xfId="6" applyFont="1" applyFill="1" applyBorder="1" applyAlignment="1">
      <alignment horizontal="center" vertical="center"/>
    </xf>
    <xf numFmtId="0" fontId="42" fillId="9" borderId="126" xfId="0" applyFont="1" applyFill="1" applyBorder="1" applyAlignment="1">
      <alignment horizontal="center" vertical="center"/>
    </xf>
    <xf numFmtId="174" fontId="42" fillId="9" borderId="126" xfId="0" applyNumberFormat="1" applyFont="1" applyFill="1" applyBorder="1" applyAlignment="1">
      <alignment horizontal="center"/>
    </xf>
  </cellXfs>
  <cellStyles count="9">
    <cellStyle name="Comma" xfId="1" builtinId="3"/>
    <cellStyle name="Currency" xfId="7" builtinId="4"/>
    <cellStyle name="Normal" xfId="0" builtinId="0"/>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ercent" xfId="2" builtinId="5"/>
  </cellStyles>
  <dxfs count="7">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0077A5"/>
      <color rgb="FFA7D7FF"/>
      <color rgb="FFC0E2FF"/>
      <color rgb="FF008FC8"/>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2.0713177626832825E-2"/>
                  <c:y val="2.036297878562269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9.2099269344217832E-2"/>
                  <c:y val="1.76410482336811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2780.5065075125008</c:v>
                </c:pt>
                <c:pt idx="1">
                  <c:v>1526.0166186499998</c:v>
                </c:pt>
                <c:pt idx="2">
                  <c:v>4.0722708399999998</c:v>
                </c:pt>
                <c:pt idx="3">
                  <c:v>7.1798674174999997</c:v>
                </c:pt>
                <c:pt idx="4">
                  <c:v>12.904259422500001</c:v>
                </c:pt>
                <c:pt idx="5">
                  <c:v>110.11578868249998</c:v>
                </c:pt>
                <c:pt idx="6">
                  <c:v>56.281983437499996</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1526.0166186499998</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4.0722708399999998</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7.1798674174999997</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12.904259422500001</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110.11578868249998</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56.281983437499996</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4485728891744E-3"/>
          <c:y val="0.82411660871049308"/>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RER'!$L$31:$L$35</c:f>
              <c:strCache>
                <c:ptCount val="5"/>
                <c:pt idx="0">
                  <c:v>CENTRAL EOLICA WAYRA I</c:v>
                </c:pt>
                <c:pt idx="1">
                  <c:v>C.E. TRES HERMANAS</c:v>
                </c:pt>
                <c:pt idx="2">
                  <c:v>C.E. CUPISNIQUE</c:v>
                </c:pt>
                <c:pt idx="3">
                  <c:v>C.E. MARCONA</c:v>
                </c:pt>
                <c:pt idx="4">
                  <c:v>C.E. TALARA</c:v>
                </c:pt>
              </c:strCache>
            </c:strRef>
          </c:cat>
          <c:val>
            <c:numRef>
              <c:f>'6. FP RER'!$O$31:$O$35</c:f>
              <c:numCache>
                <c:formatCode>0.00</c:formatCode>
                <c:ptCount val="5"/>
                <c:pt idx="0">
                  <c:v>39.2697201075</c:v>
                </c:pt>
                <c:pt idx="1">
                  <c:v>29.883272102499998</c:v>
                </c:pt>
                <c:pt idx="2">
                  <c:v>24.544796729999998</c:v>
                </c:pt>
                <c:pt idx="3">
                  <c:v>9.4312920825000006</c:v>
                </c:pt>
                <c:pt idx="4">
                  <c:v>6.9867076600000004</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RER'!$L$30:$L$34</c:f>
              <c:strCache>
                <c:ptCount val="5"/>
                <c:pt idx="0">
                  <c:v>C.H. HER 1</c:v>
                </c:pt>
                <c:pt idx="1">
                  <c:v>CENTRAL EOLICA WAYRA I</c:v>
                </c:pt>
                <c:pt idx="2">
                  <c:v>C.E. TRES HERMANAS</c:v>
                </c:pt>
                <c:pt idx="3">
                  <c:v>C.E. CUPISNIQUE</c:v>
                </c:pt>
                <c:pt idx="4">
                  <c:v>C.E. MARCONA</c:v>
                </c:pt>
              </c:strCache>
            </c:strRef>
          </c:cat>
          <c:val>
            <c:numRef>
              <c:f>'6. FP RER'!$P$30:$P$34</c:f>
              <c:numCache>
                <c:formatCode>0.00</c:formatCode>
                <c:ptCount val="5"/>
                <c:pt idx="0">
                  <c:v>0.13490155049923194</c:v>
                </c:pt>
                <c:pt idx="1">
                  <c:v>0.39895602316643497</c:v>
                </c:pt>
                <c:pt idx="2">
                  <c:v>0.41343992084211861</c:v>
                </c:pt>
                <c:pt idx="3">
                  <c:v>0.39675668292824851</c:v>
                </c:pt>
                <c:pt idx="4">
                  <c:v>0.39613962040070566</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3019344804E-2"/>
          <c:y val="0.14375424768335157"/>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RER'!$L$35:$L$42</c:f>
              <c:strCache>
                <c:ptCount val="8"/>
                <c:pt idx="0">
                  <c:v>C.E. TALARA</c:v>
                </c:pt>
                <c:pt idx="1">
                  <c:v>CENTRAL SOLAR RUBI</c:v>
                </c:pt>
                <c:pt idx="2">
                  <c:v>CENTRAL SOLAR INTIPAMPA</c:v>
                </c:pt>
                <c:pt idx="3">
                  <c:v>CS TACNA SOLAR</c:v>
                </c:pt>
                <c:pt idx="4">
                  <c:v>CS-MAJES SOLAR 20T</c:v>
                </c:pt>
                <c:pt idx="5">
                  <c:v>CS PANAMERICANA SOLAR</c:v>
                </c:pt>
                <c:pt idx="6">
                  <c:v>CS-REPARTICION</c:v>
                </c:pt>
                <c:pt idx="7">
                  <c:v>CS MOQUEGUA FV</c:v>
                </c:pt>
              </c:strCache>
            </c:strRef>
          </c:cat>
          <c:val>
            <c:numRef>
              <c:f>'6. FP RER'!$O$35:$O$42</c:f>
              <c:numCache>
                <c:formatCode>0.00</c:formatCode>
                <c:ptCount val="8"/>
                <c:pt idx="0">
                  <c:v>6.9867076600000004</c:v>
                </c:pt>
                <c:pt idx="1">
                  <c:v>30.815854310000002</c:v>
                </c:pt>
                <c:pt idx="2">
                  <c:v>7.2850010625000001</c:v>
                </c:pt>
                <c:pt idx="3">
                  <c:v>4.15737194</c:v>
                </c:pt>
                <c:pt idx="4">
                  <c:v>3.6655805725000001</c:v>
                </c:pt>
                <c:pt idx="5">
                  <c:v>3.6369701074999998</c:v>
                </c:pt>
                <c:pt idx="6">
                  <c:v>3.3811016899999999</c:v>
                </c:pt>
                <c:pt idx="7">
                  <c:v>3.3401037549999999</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RER'!$L$35:$L$41</c:f>
              <c:strCache>
                <c:ptCount val="7"/>
                <c:pt idx="0">
                  <c:v>C.E. TALARA</c:v>
                </c:pt>
                <c:pt idx="1">
                  <c:v>CENTRAL SOLAR RUBI</c:v>
                </c:pt>
                <c:pt idx="2">
                  <c:v>CENTRAL SOLAR INTIPAMPA</c:v>
                </c:pt>
                <c:pt idx="3">
                  <c:v>CS TACNA SOLAR</c:v>
                </c:pt>
                <c:pt idx="4">
                  <c:v>CS-MAJES SOLAR 20T</c:v>
                </c:pt>
                <c:pt idx="5">
                  <c:v>CS PANAMERICANA SOLAR</c:v>
                </c:pt>
                <c:pt idx="6">
                  <c:v>CS-REPARTICION</c:v>
                </c:pt>
              </c:strCache>
            </c:strRef>
          </c:cat>
          <c:val>
            <c:numRef>
              <c:f>'6. FP RER'!$P$35:$P$42</c:f>
              <c:numCache>
                <c:formatCode>0.00</c:formatCode>
                <c:ptCount val="8"/>
                <c:pt idx="0">
                  <c:v>0.30430123467759357</c:v>
                </c:pt>
                <c:pt idx="1">
                  <c:v>0.28667745721772708</c:v>
                </c:pt>
                <c:pt idx="2">
                  <c:v>0.21983987639780117</c:v>
                </c:pt>
                <c:pt idx="3">
                  <c:v>0.27939327553763443</c:v>
                </c:pt>
                <c:pt idx="4">
                  <c:v>0.24634278040994623</c:v>
                </c:pt>
                <c:pt idx="5">
                  <c:v>0.24442003410618279</c:v>
                </c:pt>
                <c:pt idx="6">
                  <c:v>0.22722457594086021</c:v>
                </c:pt>
                <c:pt idx="7">
                  <c:v>0.28058667296706991</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RER'!$L$43:$L$46</c:f>
              <c:strCache>
                <c:ptCount val="4"/>
                <c:pt idx="0">
                  <c:v>CT PARAMONGA</c:v>
                </c:pt>
                <c:pt idx="1">
                  <c:v>C.T. HUAYCOLORO</c:v>
                </c:pt>
                <c:pt idx="2">
                  <c:v>C.T. LA GRINGA</c:v>
                </c:pt>
                <c:pt idx="3">
                  <c:v>C.T.B DOÑA CATALINA</c:v>
                </c:pt>
              </c:strCache>
            </c:strRef>
          </c:cat>
          <c:val>
            <c:numRef>
              <c:f>'6. FP RER'!$O$43:$O$46</c:f>
              <c:numCache>
                <c:formatCode>0.00</c:formatCode>
                <c:ptCount val="4"/>
                <c:pt idx="0">
                  <c:v>7.0158673500000006</c:v>
                </c:pt>
                <c:pt idx="1">
                  <c:v>3.0920114650000001</c:v>
                </c:pt>
                <c:pt idx="2" formatCode="General">
                  <c:v>1.9705591599999999</c:v>
                </c:pt>
                <c:pt idx="3" formatCode="General">
                  <c:v>0.68664175000000005</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RER'!$L$42:$L$45</c:f>
              <c:strCache>
                <c:ptCount val="4"/>
                <c:pt idx="0">
                  <c:v>CS MOQUEGUA FV</c:v>
                </c:pt>
                <c:pt idx="1">
                  <c:v>CT PARAMONGA</c:v>
                </c:pt>
                <c:pt idx="2">
                  <c:v>C.T. HUAYCOLORO</c:v>
                </c:pt>
                <c:pt idx="3">
                  <c:v>C.T. LA GRINGA</c:v>
                </c:pt>
              </c:strCache>
            </c:strRef>
          </c:cat>
          <c:val>
            <c:numRef>
              <c:f>'6. FP RER'!$P$42:$P$45</c:f>
              <c:numCache>
                <c:formatCode>0.00</c:formatCode>
                <c:ptCount val="4"/>
                <c:pt idx="0">
                  <c:v>0.28058667296706991</c:v>
                </c:pt>
                <c:pt idx="1">
                  <c:v>0.74012182935244497</c:v>
                </c:pt>
                <c:pt idx="2">
                  <c:v>0.97499809699492312</c:v>
                </c:pt>
                <c:pt idx="3" formatCode="General">
                  <c:v>0.89670617242962258</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5027906117051852"/>
          <c:h val="0.35757584321786989"/>
        </c:manualLayout>
      </c:layout>
      <c:barChart>
        <c:barDir val="col"/>
        <c:grouping val="clustered"/>
        <c:varyColors val="0"/>
        <c:ser>
          <c:idx val="1"/>
          <c:order val="0"/>
          <c:tx>
            <c:strRef>
              <c:f>'6. FP RER'!$U$5</c:f>
              <c:strCache>
                <c:ptCount val="1"/>
                <c:pt idx="0">
                  <c:v>2019</c:v>
                </c:pt>
              </c:strCache>
            </c:strRef>
          </c:tx>
          <c:spPr>
            <a:solidFill>
              <a:srgbClr val="0077A5"/>
            </a:solidFill>
          </c:spPr>
          <c:invertIfNegative val="0"/>
          <c:cat>
            <c:multiLvlStrRef>
              <c:f>'6. FP RER'!$S$6:$T$46</c:f>
              <c:multiLvlStrCache>
                <c:ptCount val="41"/>
                <c:lvl>
                  <c:pt idx="0">
                    <c:v>C.H. YARUCAYA</c:v>
                  </c:pt>
                  <c:pt idx="1">
                    <c:v>C.H. RUNATULLO III</c:v>
                  </c:pt>
                  <c:pt idx="2">
                    <c:v>C.H. RUNATULLO II</c:v>
                  </c:pt>
                  <c:pt idx="3">
                    <c:v>C.H. CARHUAQUERO IV</c:v>
                  </c:pt>
                  <c:pt idx="4">
                    <c:v>C.H. HUASAHUASI II</c:v>
                  </c:pt>
                  <c:pt idx="5">
                    <c:v>C.H. POTRERO</c:v>
                  </c:pt>
                  <c:pt idx="6">
                    <c:v>C.H. HUASAHUASI I</c:v>
                  </c:pt>
                  <c:pt idx="7">
                    <c:v>C.H. SANTA CRUZ II</c:v>
                  </c:pt>
                  <c:pt idx="8">
                    <c:v>C.H. IMPERIAL</c:v>
                  </c:pt>
                  <c:pt idx="9">
                    <c:v>C.H. SANTA CRUZ I</c:v>
                  </c:pt>
                  <c:pt idx="10">
                    <c:v>C.H. YANAPAMPA</c:v>
                  </c:pt>
                  <c:pt idx="11">
                    <c:v>C.H. RENOVANDES H1</c:v>
                  </c:pt>
                  <c:pt idx="12">
                    <c:v>C.H. CAÑA BRAVA</c:v>
                  </c:pt>
                  <c:pt idx="13">
                    <c:v>C.H. LA JOYA</c:v>
                  </c:pt>
                  <c:pt idx="14">
                    <c:v>C.H. RONCADOR</c:v>
                  </c:pt>
                  <c:pt idx="15">
                    <c:v>C.H. CANCHAYLLO</c:v>
                  </c:pt>
                  <c:pt idx="16">
                    <c:v>C.H. LAS PIZARRAS</c:v>
                  </c:pt>
                  <c:pt idx="17">
                    <c:v>C.H. CARHUAC</c:v>
                  </c:pt>
                  <c:pt idx="18">
                    <c:v>C.H. ÁNGEL I</c:v>
                  </c:pt>
                  <c:pt idx="19">
                    <c:v>C.H. ÁNGEL II</c:v>
                  </c:pt>
                  <c:pt idx="20">
                    <c:v>C.H. ÁNGEL III</c:v>
                  </c:pt>
                  <c:pt idx="21">
                    <c:v>C.H. POECHOS II</c:v>
                  </c:pt>
                  <c:pt idx="22">
                    <c:v>C.H. PURMACANA</c:v>
                  </c:pt>
                  <c:pt idx="23">
                    <c:v>C.H. HER 1</c:v>
                  </c:pt>
                  <c:pt idx="24">
                    <c:v>C.H. ZAÑA</c:v>
                  </c:pt>
                  <c:pt idx="25">
                    <c:v>C.E. TRES HERMANAS</c:v>
                  </c:pt>
                  <c:pt idx="26">
                    <c:v>CENTRAL EOLICA WAYRA I</c:v>
                  </c:pt>
                  <c:pt idx="27">
                    <c:v>C.E. CUPISNIQUE</c:v>
                  </c:pt>
                  <c:pt idx="28">
                    <c:v>C.E. MARCONA</c:v>
                  </c:pt>
                  <c:pt idx="29">
                    <c:v>C.E. TALARA</c:v>
                  </c:pt>
                  <c:pt idx="30">
                    <c:v>CENTRAL SOLAR RUBI</c:v>
                  </c:pt>
                  <c:pt idx="31">
                    <c:v>CS MOQUEGUA FV</c:v>
                  </c:pt>
                  <c:pt idx="32">
                    <c:v>CS TACNA SOLAR</c:v>
                  </c:pt>
                  <c:pt idx="33">
                    <c:v>CS-MAJES SOLAR 20T</c:v>
                  </c:pt>
                  <c:pt idx="34">
                    <c:v>CS PANAMERICANA SOLAR</c:v>
                  </c:pt>
                  <c:pt idx="35">
                    <c:v>CS-REPARTICION</c:v>
                  </c:pt>
                  <c:pt idx="36">
                    <c:v>CENTRAL SOLAR INTIPAMPA</c:v>
                  </c:pt>
                  <c:pt idx="37">
                    <c:v>C.T. HUAYCOLORO</c:v>
                  </c:pt>
                  <c:pt idx="38">
                    <c:v>C.T. LA GRINGA</c:v>
                  </c:pt>
                  <c:pt idx="39">
                    <c:v>CT PARAMONGA</c:v>
                  </c:pt>
                  <c:pt idx="40">
                    <c:v>C.T.B DOÑA CATALINA</c:v>
                  </c:pt>
                </c:lvl>
                <c:lvl>
                  <c:pt idx="0">
                    <c:v>AGUA</c:v>
                  </c:pt>
                  <c:pt idx="25">
                    <c:v>EOLICA</c:v>
                  </c:pt>
                  <c:pt idx="30">
                    <c:v>SOLAR</c:v>
                  </c:pt>
                  <c:pt idx="37">
                    <c:v>BIOMASA</c:v>
                  </c:pt>
                </c:lvl>
              </c:multiLvlStrCache>
            </c:multiLvlStrRef>
          </c:cat>
          <c:val>
            <c:numRef>
              <c:f>'6. FP RER'!$U$6:$U$46</c:f>
              <c:numCache>
                <c:formatCode>0.000</c:formatCode>
                <c:ptCount val="41"/>
                <c:pt idx="0">
                  <c:v>1</c:v>
                </c:pt>
                <c:pt idx="1">
                  <c:v>0.97803187360717514</c:v>
                </c:pt>
                <c:pt idx="2">
                  <c:v>0.86553190082183995</c:v>
                </c:pt>
                <c:pt idx="3">
                  <c:v>0.8420079090771514</c:v>
                </c:pt>
                <c:pt idx="4">
                  <c:v>0.84162179323323294</c:v>
                </c:pt>
                <c:pt idx="5">
                  <c:v>0.84135334265413098</c:v>
                </c:pt>
                <c:pt idx="6">
                  <c:v>0.82893383310135915</c:v>
                </c:pt>
                <c:pt idx="7">
                  <c:v>0.82867517773292665</c:v>
                </c:pt>
                <c:pt idx="8">
                  <c:v>0.82693163199982644</c:v>
                </c:pt>
                <c:pt idx="9">
                  <c:v>0.819160836756329</c:v>
                </c:pt>
                <c:pt idx="10">
                  <c:v>0.79966531461471979</c:v>
                </c:pt>
                <c:pt idx="11">
                  <c:v>0.79890069455645163</c:v>
                </c:pt>
                <c:pt idx="12">
                  <c:v>0.7686757872503841</c:v>
                </c:pt>
                <c:pt idx="13">
                  <c:v>0.76246089785640403</c:v>
                </c:pt>
                <c:pt idx="14">
                  <c:v>0.71884288870349777</c:v>
                </c:pt>
                <c:pt idx="15">
                  <c:v>0.67926484529929931</c:v>
                </c:pt>
                <c:pt idx="16">
                  <c:v>0.59543432155631304</c:v>
                </c:pt>
                <c:pt idx="17">
                  <c:v>0.57268022059811829</c:v>
                </c:pt>
                <c:pt idx="18">
                  <c:v>0.43331037686411933</c:v>
                </c:pt>
                <c:pt idx="19">
                  <c:v>0.4268538671474974</c:v>
                </c:pt>
                <c:pt idx="20">
                  <c:v>0.41125917975417092</c:v>
                </c:pt>
                <c:pt idx="21">
                  <c:v>0.35797232835153175</c:v>
                </c:pt>
                <c:pt idx="22">
                  <c:v>0.21215425661221318</c:v>
                </c:pt>
                <c:pt idx="23">
                  <c:v>0.13490155049923194</c:v>
                </c:pt>
                <c:pt idx="24">
                  <c:v>7.5240412695503425E-2</c:v>
                </c:pt>
                <c:pt idx="25">
                  <c:v>0.41343992084211861</c:v>
                </c:pt>
                <c:pt idx="26">
                  <c:v>0.39895602316643497</c:v>
                </c:pt>
                <c:pt idx="27">
                  <c:v>0.39675668292824851</c:v>
                </c:pt>
                <c:pt idx="28">
                  <c:v>0.39613962040070566</c:v>
                </c:pt>
                <c:pt idx="29">
                  <c:v>0.30430123467759357</c:v>
                </c:pt>
                <c:pt idx="30">
                  <c:v>0.28667745721772708</c:v>
                </c:pt>
                <c:pt idx="31">
                  <c:v>0.28058667296706991</c:v>
                </c:pt>
                <c:pt idx="32">
                  <c:v>0.27939327553763443</c:v>
                </c:pt>
                <c:pt idx="33">
                  <c:v>0.24634278040994623</c:v>
                </c:pt>
                <c:pt idx="34">
                  <c:v>0.24442003410618279</c:v>
                </c:pt>
                <c:pt idx="35">
                  <c:v>0.22722457594086021</c:v>
                </c:pt>
                <c:pt idx="36">
                  <c:v>0.21983987639780117</c:v>
                </c:pt>
                <c:pt idx="37">
                  <c:v>0.97499809699492312</c:v>
                </c:pt>
                <c:pt idx="38">
                  <c:v>0.89670617242962258</c:v>
                </c:pt>
                <c:pt idx="39">
                  <c:v>0.74012182935244497</c:v>
                </c:pt>
                <c:pt idx="40" formatCode="General">
                  <c:v>0.38454399081541218</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2018</c:v>
                </c:pt>
              </c:strCache>
            </c:strRef>
          </c:tx>
          <c:spPr>
            <a:solidFill>
              <a:schemeClr val="accent2"/>
            </a:solidFill>
          </c:spPr>
          <c:invertIfNegative val="0"/>
          <c:cat>
            <c:multiLvlStrRef>
              <c:f>'6. FP RER'!$S$6:$T$46</c:f>
              <c:multiLvlStrCache>
                <c:ptCount val="41"/>
                <c:lvl>
                  <c:pt idx="0">
                    <c:v>C.H. YARUCAYA</c:v>
                  </c:pt>
                  <c:pt idx="1">
                    <c:v>C.H. RUNATULLO III</c:v>
                  </c:pt>
                  <c:pt idx="2">
                    <c:v>C.H. RUNATULLO II</c:v>
                  </c:pt>
                  <c:pt idx="3">
                    <c:v>C.H. CARHUAQUERO IV</c:v>
                  </c:pt>
                  <c:pt idx="4">
                    <c:v>C.H. HUASAHUASI II</c:v>
                  </c:pt>
                  <c:pt idx="5">
                    <c:v>C.H. POTRERO</c:v>
                  </c:pt>
                  <c:pt idx="6">
                    <c:v>C.H. HUASAHUASI I</c:v>
                  </c:pt>
                  <c:pt idx="7">
                    <c:v>C.H. SANTA CRUZ II</c:v>
                  </c:pt>
                  <c:pt idx="8">
                    <c:v>C.H. IMPERIAL</c:v>
                  </c:pt>
                  <c:pt idx="9">
                    <c:v>C.H. SANTA CRUZ I</c:v>
                  </c:pt>
                  <c:pt idx="10">
                    <c:v>C.H. YANAPAMPA</c:v>
                  </c:pt>
                  <c:pt idx="11">
                    <c:v>C.H. RENOVANDES H1</c:v>
                  </c:pt>
                  <c:pt idx="12">
                    <c:v>C.H. CAÑA BRAVA</c:v>
                  </c:pt>
                  <c:pt idx="13">
                    <c:v>C.H. LA JOYA</c:v>
                  </c:pt>
                  <c:pt idx="14">
                    <c:v>C.H. RONCADOR</c:v>
                  </c:pt>
                  <c:pt idx="15">
                    <c:v>C.H. CANCHAYLLO</c:v>
                  </c:pt>
                  <c:pt idx="16">
                    <c:v>C.H. LAS PIZARRAS</c:v>
                  </c:pt>
                  <c:pt idx="17">
                    <c:v>C.H. CARHUAC</c:v>
                  </c:pt>
                  <c:pt idx="18">
                    <c:v>C.H. ÁNGEL I</c:v>
                  </c:pt>
                  <c:pt idx="19">
                    <c:v>C.H. ÁNGEL II</c:v>
                  </c:pt>
                  <c:pt idx="20">
                    <c:v>C.H. ÁNGEL III</c:v>
                  </c:pt>
                  <c:pt idx="21">
                    <c:v>C.H. POECHOS II</c:v>
                  </c:pt>
                  <c:pt idx="22">
                    <c:v>C.H. PURMACANA</c:v>
                  </c:pt>
                  <c:pt idx="23">
                    <c:v>C.H. HER 1</c:v>
                  </c:pt>
                  <c:pt idx="24">
                    <c:v>C.H. ZAÑA</c:v>
                  </c:pt>
                  <c:pt idx="25">
                    <c:v>C.E. TRES HERMANAS</c:v>
                  </c:pt>
                  <c:pt idx="26">
                    <c:v>CENTRAL EOLICA WAYRA I</c:v>
                  </c:pt>
                  <c:pt idx="27">
                    <c:v>C.E. CUPISNIQUE</c:v>
                  </c:pt>
                  <c:pt idx="28">
                    <c:v>C.E. MARCONA</c:v>
                  </c:pt>
                  <c:pt idx="29">
                    <c:v>C.E. TALARA</c:v>
                  </c:pt>
                  <c:pt idx="30">
                    <c:v>CENTRAL SOLAR RUBI</c:v>
                  </c:pt>
                  <c:pt idx="31">
                    <c:v>CS MOQUEGUA FV</c:v>
                  </c:pt>
                  <c:pt idx="32">
                    <c:v>CS TACNA SOLAR</c:v>
                  </c:pt>
                  <c:pt idx="33">
                    <c:v>CS-MAJES SOLAR 20T</c:v>
                  </c:pt>
                  <c:pt idx="34">
                    <c:v>CS PANAMERICANA SOLAR</c:v>
                  </c:pt>
                  <c:pt idx="35">
                    <c:v>CS-REPARTICION</c:v>
                  </c:pt>
                  <c:pt idx="36">
                    <c:v>CENTRAL SOLAR INTIPAMPA</c:v>
                  </c:pt>
                  <c:pt idx="37">
                    <c:v>C.T. HUAYCOLORO</c:v>
                  </c:pt>
                  <c:pt idx="38">
                    <c:v>C.T. LA GRINGA</c:v>
                  </c:pt>
                  <c:pt idx="39">
                    <c:v>CT PARAMONGA</c:v>
                  </c:pt>
                  <c:pt idx="40">
                    <c:v>C.T.B DOÑA CATALINA</c:v>
                  </c:pt>
                </c:lvl>
                <c:lvl>
                  <c:pt idx="0">
                    <c:v>AGUA</c:v>
                  </c:pt>
                  <c:pt idx="25">
                    <c:v>EOLICA</c:v>
                  </c:pt>
                  <c:pt idx="30">
                    <c:v>SOLAR</c:v>
                  </c:pt>
                  <c:pt idx="37">
                    <c:v>BIOMASA</c:v>
                  </c:pt>
                </c:lvl>
              </c:multiLvlStrCache>
            </c:multiLvlStrRef>
          </c:cat>
          <c:val>
            <c:numRef>
              <c:f>'6. FP RER'!$V$6:$V$46</c:f>
              <c:numCache>
                <c:formatCode>0.000</c:formatCode>
                <c:ptCount val="41"/>
                <c:pt idx="0">
                  <c:v>1</c:v>
                </c:pt>
                <c:pt idx="1">
                  <c:v>0.98981343520657294</c:v>
                </c:pt>
                <c:pt idx="2">
                  <c:v>0.84619365338330088</c:v>
                </c:pt>
                <c:pt idx="3">
                  <c:v>0.98919954829012868</c:v>
                </c:pt>
                <c:pt idx="4">
                  <c:v>0.87449363531868773</c:v>
                </c:pt>
                <c:pt idx="5">
                  <c:v>0.47114445345004591</c:v>
                </c:pt>
                <c:pt idx="6">
                  <c:v>0.88438723015937992</c:v>
                </c:pt>
                <c:pt idx="7">
                  <c:v>0.79473984870880798</c:v>
                </c:pt>
                <c:pt idx="8">
                  <c:v>0.41320462691430437</c:v>
                </c:pt>
                <c:pt idx="9">
                  <c:v>0.76255711593128173</c:v>
                </c:pt>
                <c:pt idx="10">
                  <c:v>0.80176324884792627</c:v>
                </c:pt>
                <c:pt idx="12">
                  <c:v>0.70594234297661729</c:v>
                </c:pt>
                <c:pt idx="13">
                  <c:v>0.79977283428720103</c:v>
                </c:pt>
                <c:pt idx="14">
                  <c:v>0.97516020887405752</c:v>
                </c:pt>
                <c:pt idx="15">
                  <c:v>0.79723141587419977</c:v>
                </c:pt>
                <c:pt idx="16">
                  <c:v>0.7653847605496753</c:v>
                </c:pt>
                <c:pt idx="21">
                  <c:v>0.50772054667925082</c:v>
                </c:pt>
                <c:pt idx="22">
                  <c:v>0.2982518265303058</c:v>
                </c:pt>
                <c:pt idx="25">
                  <c:v>0.53754382339235141</c:v>
                </c:pt>
                <c:pt idx="27">
                  <c:v>0.43750069433674521</c:v>
                </c:pt>
                <c:pt idx="28">
                  <c:v>0.46171691322244618</c:v>
                </c:pt>
                <c:pt idx="29">
                  <c:v>0.45348152914796258</c:v>
                </c:pt>
                <c:pt idx="30">
                  <c:v>0.35774847729789594</c:v>
                </c:pt>
                <c:pt idx="31">
                  <c:v>0.34779832745295697</c:v>
                </c:pt>
                <c:pt idx="32">
                  <c:v>0.32647578965053764</c:v>
                </c:pt>
                <c:pt idx="33">
                  <c:v>0.25962512852822583</c:v>
                </c:pt>
                <c:pt idx="34">
                  <c:v>0.30916024865591402</c:v>
                </c:pt>
                <c:pt idx="35">
                  <c:v>0.23000678763440863</c:v>
                </c:pt>
                <c:pt idx="37">
                  <c:v>0.9419528528699076</c:v>
                </c:pt>
                <c:pt idx="38">
                  <c:v>0.42419216609127197</c:v>
                </c:pt>
                <c:pt idx="39">
                  <c:v>0.7270287391284036</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2019</c:v>
                </c:pt>
              </c:strCache>
            </c:strRef>
          </c:tx>
          <c:spPr>
            <a:solidFill>
              <a:srgbClr val="0077A5"/>
            </a:solidFill>
          </c:spPr>
          <c:invertIfNegative val="0"/>
          <c:cat>
            <c:strRef>
              <c:f>'7. Generacion empresa'!$L$5:$L$59</c:f>
              <c:strCache>
                <c:ptCount val="55"/>
                <c:pt idx="0">
                  <c:v>CERRO VERDE</c:v>
                </c:pt>
                <c:pt idx="1">
                  <c:v>SAMAY I</c:v>
                </c:pt>
                <c:pt idx="2">
                  <c:v>PLANTA  ETEN</c:v>
                </c:pt>
                <c:pt idx="3">
                  <c:v>AGROAURORA</c:v>
                </c:pt>
                <c:pt idx="4">
                  <c:v>IYEPSA</c:v>
                </c:pt>
                <c:pt idx="5">
                  <c:v>ELECTRICA SANTA ROSA</c:v>
                </c:pt>
                <c:pt idx="6">
                  <c:v>ELECTRO ZAÑA</c:v>
                </c:pt>
                <c:pt idx="7">
                  <c:v>HYDRO PATAPO</c:v>
                </c:pt>
                <c:pt idx="8">
                  <c:v>MAJA ENERGIA</c:v>
                </c:pt>
                <c:pt idx="9">
                  <c:v>ELECTRICA YANAPAMPA</c:v>
                </c:pt>
                <c:pt idx="10">
                  <c:v>HIDROCAÑETE</c:v>
                </c:pt>
                <c:pt idx="11">
                  <c:v>SINERSA</c:v>
                </c:pt>
                <c:pt idx="12">
                  <c:v>EGECSAC</c:v>
                </c:pt>
                <c:pt idx="13">
                  <c:v>MOQUEGUA FV</c:v>
                </c:pt>
                <c:pt idx="14">
                  <c:v>GTS REPARTICION</c:v>
                </c:pt>
                <c:pt idx="15">
                  <c:v>PANAMERICANA SOLAR</c:v>
                </c:pt>
                <c:pt idx="16">
                  <c:v>GTS MAJES</c:v>
                </c:pt>
                <c:pt idx="17">
                  <c:v>TACNA SOLAR</c:v>
                </c:pt>
                <c:pt idx="18">
                  <c:v>PETRAMAS</c:v>
                </c:pt>
                <c:pt idx="19">
                  <c:v>SHOUGESA</c:v>
                </c:pt>
                <c:pt idx="20">
                  <c:v>AIPSA</c:v>
                </c:pt>
                <c:pt idx="21">
                  <c:v>RIO DOBLE</c:v>
                </c:pt>
                <c:pt idx="22">
                  <c:v>ANDEAN POWER</c:v>
                </c:pt>
                <c:pt idx="23">
                  <c:v>P.E. MARCONA</c:v>
                </c:pt>
                <c:pt idx="24">
                  <c:v>SANTA ANA</c:v>
                </c:pt>
                <c:pt idx="25">
                  <c:v>AGUA AZUL</c:v>
                </c:pt>
                <c:pt idx="26">
                  <c:v>HUAURA POWER</c:v>
                </c:pt>
                <c:pt idx="27">
                  <c:v>HIDROMARAÑON/ CELEPSA RENOVABLES</c:v>
                </c:pt>
                <c:pt idx="28">
                  <c:v>HIDROELECTRICA HUANCHOR</c:v>
                </c:pt>
                <c:pt idx="29">
                  <c:v>SDF ENERGIA</c:v>
                </c:pt>
                <c:pt idx="30">
                  <c:v>SANTA CRUZ</c:v>
                </c:pt>
                <c:pt idx="31">
                  <c:v>TERMOSELVA</c:v>
                </c:pt>
                <c:pt idx="32">
                  <c:v>EGESUR</c:v>
                </c:pt>
                <c:pt idx="33">
                  <c:v>GEPSA</c:v>
                </c:pt>
                <c:pt idx="34">
                  <c:v>EMGE JUNÍN</c:v>
                </c:pt>
                <c:pt idx="35">
                  <c:v>EMGE HUANZA</c:v>
                </c:pt>
                <c:pt idx="36">
                  <c:v>P.E. TRES HERMANAS</c:v>
                </c:pt>
                <c:pt idx="37">
                  <c:v>ENERGÍA EÓLICA</c:v>
                </c:pt>
                <c:pt idx="38">
                  <c:v>ENEL GENERACION PIURA</c:v>
                </c:pt>
                <c:pt idx="39">
                  <c:v>INLAND </c:v>
                </c:pt>
                <c:pt idx="40">
                  <c:v>ENEL GREEN POWER PERU</c:v>
                </c:pt>
                <c:pt idx="41">
                  <c:v>SAN GABAN</c:v>
                </c:pt>
                <c:pt idx="42">
                  <c:v>EGASA</c:v>
                </c:pt>
                <c:pt idx="43">
                  <c:v>CELEPSA</c:v>
                </c:pt>
                <c:pt idx="44">
                  <c:v>CHINANGO</c:v>
                </c:pt>
                <c:pt idx="45">
                  <c:v>EGEMSA</c:v>
                </c:pt>
                <c:pt idx="46">
                  <c:v>TERMOCHILCA</c:v>
                </c:pt>
                <c:pt idx="47">
                  <c:v>ORAZUL ENERGY PERÚ</c:v>
                </c:pt>
                <c:pt idx="48">
                  <c:v>STATKRAFT</c:v>
                </c:pt>
                <c:pt idx="49">
                  <c:v>EMGE HUALLAGA</c:v>
                </c:pt>
                <c:pt idx="50">
                  <c:v>FENIX POWER</c:v>
                </c:pt>
                <c:pt idx="51">
                  <c:v>ENEL GENERACION PERU</c:v>
                </c:pt>
                <c:pt idx="52">
                  <c:v>KALLPA</c:v>
                </c:pt>
                <c:pt idx="53">
                  <c:v>ELECTROPERU</c:v>
                </c:pt>
                <c:pt idx="54">
                  <c:v>ENGIE</c:v>
                </c:pt>
              </c:strCache>
            </c:strRef>
          </c:cat>
          <c:val>
            <c:numRef>
              <c:f>'7. Generacion empresa'!$M$5:$M$59</c:f>
              <c:numCache>
                <c:formatCode>General</c:formatCode>
                <c:ptCount val="55"/>
                <c:pt idx="0">
                  <c:v>0</c:v>
                </c:pt>
                <c:pt idx="1">
                  <c:v>0</c:v>
                </c:pt>
                <c:pt idx="2">
                  <c:v>1.68776975E-2</c:v>
                </c:pt>
                <c:pt idx="3">
                  <c:v>0.1391796975</c:v>
                </c:pt>
                <c:pt idx="4">
                  <c:v>0.252235345</c:v>
                </c:pt>
                <c:pt idx="5">
                  <c:v>0.2705425025</c:v>
                </c:pt>
                <c:pt idx="6">
                  <c:v>0.3694605225</c:v>
                </c:pt>
                <c:pt idx="7">
                  <c:v>0.69537625000000003</c:v>
                </c:pt>
                <c:pt idx="8">
                  <c:v>1.8611705000000001</c:v>
                </c:pt>
                <c:pt idx="9">
                  <c:v>2.3299530325000002</c:v>
                </c:pt>
                <c:pt idx="10">
                  <c:v>2.4388000000000001</c:v>
                </c:pt>
                <c:pt idx="11">
                  <c:v>2.5477262899999999</c:v>
                </c:pt>
                <c:pt idx="12">
                  <c:v>2.6223807299999997</c:v>
                </c:pt>
                <c:pt idx="13">
                  <c:v>3.3401037549999999</c:v>
                </c:pt>
                <c:pt idx="14">
                  <c:v>3.3811016899999999</c:v>
                </c:pt>
                <c:pt idx="15">
                  <c:v>3.6369701074999998</c:v>
                </c:pt>
                <c:pt idx="16">
                  <c:v>3.6655805725000001</c:v>
                </c:pt>
                <c:pt idx="17">
                  <c:v>4.15737194</c:v>
                </c:pt>
                <c:pt idx="18">
                  <c:v>5.7492123749999999</c:v>
                </c:pt>
                <c:pt idx="19">
                  <c:v>5.8344011274999996</c:v>
                </c:pt>
                <c:pt idx="20">
                  <c:v>7.0158673500000006</c:v>
                </c:pt>
                <c:pt idx="21">
                  <c:v>8.5054386950000005</c:v>
                </c:pt>
                <c:pt idx="22">
                  <c:v>8.5214816824999993</c:v>
                </c:pt>
                <c:pt idx="23">
                  <c:v>9.4312920825000006</c:v>
                </c:pt>
                <c:pt idx="24">
                  <c:v>11.887642335000001</c:v>
                </c:pt>
                <c:pt idx="25">
                  <c:v>12.456741050000002</c:v>
                </c:pt>
                <c:pt idx="26">
                  <c:v>12.71119562</c:v>
                </c:pt>
                <c:pt idx="27">
                  <c:v>13.7768208225</c:v>
                </c:pt>
                <c:pt idx="28">
                  <c:v>13.781912999999999</c:v>
                </c:pt>
                <c:pt idx="29">
                  <c:v>20.175364079999998</c:v>
                </c:pt>
                <c:pt idx="30">
                  <c:v>21.293177215</c:v>
                </c:pt>
                <c:pt idx="31">
                  <c:v>21.820522857500002</c:v>
                </c:pt>
                <c:pt idx="32">
                  <c:v>22.224515292499998</c:v>
                </c:pt>
                <c:pt idx="33">
                  <c:v>23.463643972499998</c:v>
                </c:pt>
                <c:pt idx="34">
                  <c:v>27.386238129999999</c:v>
                </c:pt>
                <c:pt idx="35">
                  <c:v>28.551412292499997</c:v>
                </c:pt>
                <c:pt idx="36">
                  <c:v>29.883272102499998</c:v>
                </c:pt>
                <c:pt idx="37">
                  <c:v>31.531504389999998</c:v>
                </c:pt>
                <c:pt idx="38">
                  <c:v>55.561611379999995</c:v>
                </c:pt>
                <c:pt idx="39">
                  <c:v>66.598914512499988</c:v>
                </c:pt>
                <c:pt idx="40">
                  <c:v>70.085574417499998</c:v>
                </c:pt>
                <c:pt idx="41">
                  <c:v>81.888166395000013</c:v>
                </c:pt>
                <c:pt idx="42">
                  <c:v>84.554597614999977</c:v>
                </c:pt>
                <c:pt idx="43">
                  <c:v>104.6003016775</c:v>
                </c:pt>
                <c:pt idx="44">
                  <c:v>110.51030453749999</c:v>
                </c:pt>
                <c:pt idx="45">
                  <c:v>123.21893545750001</c:v>
                </c:pt>
                <c:pt idx="46">
                  <c:v>143.7736293225</c:v>
                </c:pt>
                <c:pt idx="47">
                  <c:v>235.39860886999998</c:v>
                </c:pt>
                <c:pt idx="48">
                  <c:v>236.50086725749998</c:v>
                </c:pt>
                <c:pt idx="49">
                  <c:v>305.90335036750002</c:v>
                </c:pt>
                <c:pt idx="50">
                  <c:v>374.35760818749998</c:v>
                </c:pt>
                <c:pt idx="51">
                  <c:v>478.62440351499998</c:v>
                </c:pt>
                <c:pt idx="52">
                  <c:v>484.898259865</c:v>
                </c:pt>
                <c:pt idx="53">
                  <c:v>567.71311607999996</c:v>
                </c:pt>
                <c:pt idx="54">
                  <c:v>605.16255939999996</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2018</c:v>
                </c:pt>
              </c:strCache>
            </c:strRef>
          </c:tx>
          <c:spPr>
            <a:solidFill>
              <a:schemeClr val="accent2"/>
            </a:solidFill>
          </c:spPr>
          <c:invertIfNegative val="0"/>
          <c:cat>
            <c:strRef>
              <c:f>'7. Generacion empresa'!$L$5:$L$59</c:f>
              <c:strCache>
                <c:ptCount val="55"/>
                <c:pt idx="0">
                  <c:v>CERRO VERDE</c:v>
                </c:pt>
                <c:pt idx="1">
                  <c:v>SAMAY I</c:v>
                </c:pt>
                <c:pt idx="2">
                  <c:v>PLANTA  ETEN</c:v>
                </c:pt>
                <c:pt idx="3">
                  <c:v>AGROAURORA</c:v>
                </c:pt>
                <c:pt idx="4">
                  <c:v>IYEPSA</c:v>
                </c:pt>
                <c:pt idx="5">
                  <c:v>ELECTRICA SANTA ROSA</c:v>
                </c:pt>
                <c:pt idx="6">
                  <c:v>ELECTRO ZAÑA</c:v>
                </c:pt>
                <c:pt idx="7">
                  <c:v>HYDRO PATAPO</c:v>
                </c:pt>
                <c:pt idx="8">
                  <c:v>MAJA ENERGIA</c:v>
                </c:pt>
                <c:pt idx="9">
                  <c:v>ELECTRICA YANAPAMPA</c:v>
                </c:pt>
                <c:pt idx="10">
                  <c:v>HIDROCAÑETE</c:v>
                </c:pt>
                <c:pt idx="11">
                  <c:v>SINERSA</c:v>
                </c:pt>
                <c:pt idx="12">
                  <c:v>EGECSAC</c:v>
                </c:pt>
                <c:pt idx="13">
                  <c:v>MOQUEGUA FV</c:v>
                </c:pt>
                <c:pt idx="14">
                  <c:v>GTS REPARTICION</c:v>
                </c:pt>
                <c:pt idx="15">
                  <c:v>PANAMERICANA SOLAR</c:v>
                </c:pt>
                <c:pt idx="16">
                  <c:v>GTS MAJES</c:v>
                </c:pt>
                <c:pt idx="17">
                  <c:v>TACNA SOLAR</c:v>
                </c:pt>
                <c:pt idx="18">
                  <c:v>PETRAMAS</c:v>
                </c:pt>
                <c:pt idx="19">
                  <c:v>SHOUGESA</c:v>
                </c:pt>
                <c:pt idx="20">
                  <c:v>AIPSA</c:v>
                </c:pt>
                <c:pt idx="21">
                  <c:v>RIO DOBLE</c:v>
                </c:pt>
                <c:pt idx="22">
                  <c:v>ANDEAN POWER</c:v>
                </c:pt>
                <c:pt idx="23">
                  <c:v>P.E. MARCONA</c:v>
                </c:pt>
                <c:pt idx="24">
                  <c:v>SANTA ANA</c:v>
                </c:pt>
                <c:pt idx="25">
                  <c:v>AGUA AZUL</c:v>
                </c:pt>
                <c:pt idx="26">
                  <c:v>HUAURA POWER</c:v>
                </c:pt>
                <c:pt idx="27">
                  <c:v>HIDROMARAÑON/ CELEPSA RENOVABLES</c:v>
                </c:pt>
                <c:pt idx="28">
                  <c:v>HIDROELECTRICA HUANCHOR</c:v>
                </c:pt>
                <c:pt idx="29">
                  <c:v>SDF ENERGIA</c:v>
                </c:pt>
                <c:pt idx="30">
                  <c:v>SANTA CRUZ</c:v>
                </c:pt>
                <c:pt idx="31">
                  <c:v>TERMOSELVA</c:v>
                </c:pt>
                <c:pt idx="32">
                  <c:v>EGESUR</c:v>
                </c:pt>
                <c:pt idx="33">
                  <c:v>GEPSA</c:v>
                </c:pt>
                <c:pt idx="34">
                  <c:v>EMGE JUNÍN</c:v>
                </c:pt>
                <c:pt idx="35">
                  <c:v>EMGE HUANZA</c:v>
                </c:pt>
                <c:pt idx="36">
                  <c:v>P.E. TRES HERMANAS</c:v>
                </c:pt>
                <c:pt idx="37">
                  <c:v>ENERGÍA EÓLICA</c:v>
                </c:pt>
                <c:pt idx="38">
                  <c:v>ENEL GENERACION PIURA</c:v>
                </c:pt>
                <c:pt idx="39">
                  <c:v>INLAND </c:v>
                </c:pt>
                <c:pt idx="40">
                  <c:v>ENEL GREEN POWER PERU</c:v>
                </c:pt>
                <c:pt idx="41">
                  <c:v>SAN GABAN</c:v>
                </c:pt>
                <c:pt idx="42">
                  <c:v>EGASA</c:v>
                </c:pt>
                <c:pt idx="43">
                  <c:v>CELEPSA</c:v>
                </c:pt>
                <c:pt idx="44">
                  <c:v>CHINANGO</c:v>
                </c:pt>
                <c:pt idx="45">
                  <c:v>EGEMSA</c:v>
                </c:pt>
                <c:pt idx="46">
                  <c:v>TERMOCHILCA</c:v>
                </c:pt>
                <c:pt idx="47">
                  <c:v>ORAZUL ENERGY PERÚ</c:v>
                </c:pt>
                <c:pt idx="48">
                  <c:v>STATKRAFT</c:v>
                </c:pt>
                <c:pt idx="49">
                  <c:v>EMGE HUALLAGA</c:v>
                </c:pt>
                <c:pt idx="50">
                  <c:v>FENIX POWER</c:v>
                </c:pt>
                <c:pt idx="51">
                  <c:v>ENEL GENERACION PERU</c:v>
                </c:pt>
                <c:pt idx="52">
                  <c:v>KALLPA</c:v>
                </c:pt>
                <c:pt idx="53">
                  <c:v>ELECTROPERU</c:v>
                </c:pt>
                <c:pt idx="54">
                  <c:v>ENGIE</c:v>
                </c:pt>
              </c:strCache>
            </c:strRef>
          </c:cat>
          <c:val>
            <c:numRef>
              <c:f>'7. Generacion empresa'!$N$5:$N$59</c:f>
              <c:numCache>
                <c:formatCode>General</c:formatCode>
                <c:ptCount val="55"/>
                <c:pt idx="0">
                  <c:v>0</c:v>
                </c:pt>
                <c:pt idx="1">
                  <c:v>0.19523792000000001</c:v>
                </c:pt>
                <c:pt idx="2">
                  <c:v>0</c:v>
                </c:pt>
                <c:pt idx="3">
                  <c:v>0</c:v>
                </c:pt>
                <c:pt idx="4">
                  <c:v>0.37441814499999998</c:v>
                </c:pt>
                <c:pt idx="5">
                  <c:v>0.39719985250000001</c:v>
                </c:pt>
                <c:pt idx="8">
                  <c:v>2.5248067999999999</c:v>
                </c:pt>
                <c:pt idx="9">
                  <c:v>2.3383264800000001</c:v>
                </c:pt>
                <c:pt idx="10">
                  <c:v>1.2174</c:v>
                </c:pt>
                <c:pt idx="11">
                  <c:v>3.6150109100000001</c:v>
                </c:pt>
                <c:pt idx="12">
                  <c:v>3.0783974999999999</c:v>
                </c:pt>
                <c:pt idx="13">
                  <c:v>4.1401912899999997</c:v>
                </c:pt>
                <c:pt idx="14">
                  <c:v>3.422501</c:v>
                </c:pt>
                <c:pt idx="15">
                  <c:v>4.6003045</c:v>
                </c:pt>
                <c:pt idx="16">
                  <c:v>3.8632219125000002</c:v>
                </c:pt>
                <c:pt idx="17">
                  <c:v>4.85795975</c:v>
                </c:pt>
                <c:pt idx="18">
                  <c:v>3.9291039749999999</c:v>
                </c:pt>
                <c:pt idx="19">
                  <c:v>7.7565499999999996E-2</c:v>
                </c:pt>
                <c:pt idx="20">
                  <c:v>6.8479127750000002</c:v>
                </c:pt>
                <c:pt idx="21">
                  <c:v>10.933368227500001</c:v>
                </c:pt>
                <c:pt idx="23">
                  <c:v>10.99255627</c:v>
                </c:pt>
                <c:pt idx="25">
                  <c:v>6.9755763199999992</c:v>
                </c:pt>
                <c:pt idx="26">
                  <c:v>13.44009082</c:v>
                </c:pt>
                <c:pt idx="28">
                  <c:v>13.997768000000001</c:v>
                </c:pt>
                <c:pt idx="29">
                  <c:v>20.3106219925</c:v>
                </c:pt>
                <c:pt idx="30">
                  <c:v>21.466562342500001</c:v>
                </c:pt>
                <c:pt idx="31">
                  <c:v>9.3588819924999989</c:v>
                </c:pt>
                <c:pt idx="32">
                  <c:v>21.308025810000004</c:v>
                </c:pt>
                <c:pt idx="33">
                  <c:v>4.6114901625000009</c:v>
                </c:pt>
                <c:pt idx="34">
                  <c:v>27.278805800000001</c:v>
                </c:pt>
                <c:pt idx="35">
                  <c:v>19.410717460000001</c:v>
                </c:pt>
                <c:pt idx="36">
                  <c:v>38.873449167500006</c:v>
                </c:pt>
                <c:pt idx="37">
                  <c:v>37.507001942500004</c:v>
                </c:pt>
                <c:pt idx="38">
                  <c:v>44.653600332499998</c:v>
                </c:pt>
                <c:pt idx="40">
                  <c:v>38.774700397499998</c:v>
                </c:pt>
                <c:pt idx="41">
                  <c:v>81.534289124999987</c:v>
                </c:pt>
                <c:pt idx="42">
                  <c:v>116.5903401875</c:v>
                </c:pt>
                <c:pt idx="43">
                  <c:v>146.80964184499999</c:v>
                </c:pt>
                <c:pt idx="44">
                  <c:v>133.97797825750001</c:v>
                </c:pt>
                <c:pt idx="45">
                  <c:v>122.2529884825</c:v>
                </c:pt>
                <c:pt idx="46">
                  <c:v>19.479587904999999</c:v>
                </c:pt>
                <c:pt idx="47">
                  <c:v>238.84287622500003</c:v>
                </c:pt>
                <c:pt idx="48">
                  <c:v>228.42805499250005</c:v>
                </c:pt>
                <c:pt idx="49">
                  <c:v>292.20980053249997</c:v>
                </c:pt>
                <c:pt idx="50">
                  <c:v>192.78223901500002</c:v>
                </c:pt>
                <c:pt idx="51">
                  <c:v>590.98279837500002</c:v>
                </c:pt>
                <c:pt idx="52">
                  <c:v>698.81803256249998</c:v>
                </c:pt>
                <c:pt idx="53">
                  <c:v>622.8710371200001</c:v>
                </c:pt>
                <c:pt idx="54">
                  <c:v>303.47931530749997</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7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2019</c:v>
                </c:pt>
                <c:pt idx="1">
                  <c:v>2018</c:v>
                </c:pt>
                <c:pt idx="2">
                  <c:v>2017</c:v>
                </c:pt>
              </c:numCache>
            </c:numRef>
          </c:cat>
          <c:val>
            <c:numRef>
              <c:f>('8. Max Potencia'!$G$10:$H$10,'8. Max Potencia'!$J$10)</c:f>
              <c:numCache>
                <c:formatCode>_(* #,##0.00_);_(* \(#,##0.00\);_(* "-"??_);_(@_)</c:formatCode>
                <c:ptCount val="3"/>
                <c:pt idx="0">
                  <c:v>4587.9101300000002</c:v>
                </c:pt>
                <c:pt idx="1">
                  <c:v>4391.9133999999995</c:v>
                </c:pt>
                <c:pt idx="2">
                  <c:v>4236.5890400000008</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2019</c:v>
                </c:pt>
                <c:pt idx="1">
                  <c:v>2018</c:v>
                </c:pt>
                <c:pt idx="2">
                  <c:v>2017</c:v>
                </c:pt>
              </c:numCache>
            </c:numRef>
          </c:cat>
          <c:val>
            <c:numRef>
              <c:f>('8. Max Potencia'!$G$11:$H$11,'8. Max Potencia'!$J$11)</c:f>
              <c:numCache>
                <c:formatCode>_(* #,##0.00_);_(* \(#,##0.00\);_(* "-"??_);_(@_)</c:formatCode>
                <c:ptCount val="3"/>
                <c:pt idx="0">
                  <c:v>2159.8880899999999</c:v>
                </c:pt>
                <c:pt idx="1">
                  <c:v>1916.70587</c:v>
                </c:pt>
                <c:pt idx="2">
                  <c:v>2291.3775700000001</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2019</c:v>
                </c:pt>
                <c:pt idx="1">
                  <c:v>2018</c:v>
                </c:pt>
                <c:pt idx="2">
                  <c:v>2017</c:v>
                </c:pt>
              </c:numCache>
            </c:numRef>
          </c:cat>
          <c:val>
            <c:numRef>
              <c:f>('8. Max Potencia'!$G$12:$H$12,'8. Max Potencia'!$J$12)</c:f>
              <c:numCache>
                <c:formatCode>_(* #,##0.00_);_(* \(#,##0.00\);_(* "-"??_);_(@_)</c:formatCode>
                <c:ptCount val="3"/>
                <c:pt idx="0">
                  <c:v>128.49421999999998</c:v>
                </c:pt>
                <c:pt idx="1">
                  <c:v>180.41578000000001</c:v>
                </c:pt>
                <c:pt idx="2">
                  <c:v>45.283239999999999</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ax val="7000"/>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2019</c:v>
                </c:pt>
              </c:strCache>
            </c:strRef>
          </c:tx>
          <c:spPr>
            <a:solidFill>
              <a:srgbClr val="0077A5"/>
            </a:solidFill>
          </c:spPr>
          <c:invertIfNegative val="0"/>
          <c:cat>
            <c:strRef>
              <c:f>'9. Pot. Empresa'!$L$7:$L$61</c:f>
              <c:strCache>
                <c:ptCount val="55"/>
                <c:pt idx="0">
                  <c:v>AGROAURORA</c:v>
                </c:pt>
                <c:pt idx="1">
                  <c:v>CERRO VERDE</c:v>
                </c:pt>
                <c:pt idx="2">
                  <c:v>ELECTRICA SANTA ROSA</c:v>
                </c:pt>
                <c:pt idx="3">
                  <c:v>GTS MAJES</c:v>
                </c:pt>
                <c:pt idx="4">
                  <c:v>GTS REPARTICION</c:v>
                </c:pt>
                <c:pt idx="5">
                  <c:v>IYEPSA</c:v>
                </c:pt>
                <c:pt idx="6">
                  <c:v>MOQUEGUA FV</c:v>
                </c:pt>
                <c:pt idx="7">
                  <c:v>PANAMERICANA SOLAR</c:v>
                </c:pt>
                <c:pt idx="8">
                  <c:v>PLANTA  ETEN</c:v>
                </c:pt>
                <c:pt idx="9">
                  <c:v>SAMAY I</c:v>
                </c:pt>
                <c:pt idx="10">
                  <c:v>SHOUGESA</c:v>
                </c:pt>
                <c:pt idx="11">
                  <c:v>TACNA SOLAR</c:v>
                </c:pt>
                <c:pt idx="12">
                  <c:v>TERMOSELVA</c:v>
                </c:pt>
                <c:pt idx="13">
                  <c:v>ELECTRO ZAÑA</c:v>
                </c:pt>
                <c:pt idx="14">
                  <c:v>HYDRO PATAPO</c:v>
                </c:pt>
                <c:pt idx="15">
                  <c:v>MAJA ENERGIA</c:v>
                </c:pt>
                <c:pt idx="16">
                  <c:v>ELECTRICA YANAPAMPA</c:v>
                </c:pt>
                <c:pt idx="17">
                  <c:v>HIDROCAÑETE</c:v>
                </c:pt>
                <c:pt idx="18">
                  <c:v>EGECSAC</c:v>
                </c:pt>
                <c:pt idx="19">
                  <c:v>SINERSA</c:v>
                </c:pt>
                <c:pt idx="20">
                  <c:v>P.E. MARCONA</c:v>
                </c:pt>
                <c:pt idx="21">
                  <c:v>PETRAMAS</c:v>
                </c:pt>
                <c:pt idx="22">
                  <c:v>AIPSA</c:v>
                </c:pt>
                <c:pt idx="23">
                  <c:v>RIO DOBLE</c:v>
                </c:pt>
                <c:pt idx="24">
                  <c:v>HIDROELECTRICA HUANCHOR</c:v>
                </c:pt>
                <c:pt idx="25">
                  <c:v>HUAURA POWER</c:v>
                </c:pt>
                <c:pt idx="26">
                  <c:v>HIDROMARAÑON/ CELEPSA RENOVABLES</c:v>
                </c:pt>
                <c:pt idx="27">
                  <c:v>AGUA AZUL</c:v>
                </c:pt>
                <c:pt idx="28">
                  <c:v>ANDEAN POWER</c:v>
                </c:pt>
                <c:pt idx="29">
                  <c:v>SANTA ANA</c:v>
                </c:pt>
                <c:pt idx="30">
                  <c:v>P.E. TRES HERMANAS</c:v>
                </c:pt>
                <c:pt idx="31">
                  <c:v>SDF ENERGIA</c:v>
                </c:pt>
                <c:pt idx="32">
                  <c:v>GEPSA</c:v>
                </c:pt>
                <c:pt idx="33">
                  <c:v>SANTA CRUZ</c:v>
                </c:pt>
                <c:pt idx="34">
                  <c:v>EMGE JUNÍN</c:v>
                </c:pt>
                <c:pt idx="35">
                  <c:v>ENERGÍA EÓLICA</c:v>
                </c:pt>
                <c:pt idx="36">
                  <c:v>EGESUR</c:v>
                </c:pt>
                <c:pt idx="37">
                  <c:v>ENEL GREEN POWER PERU</c:v>
                </c:pt>
                <c:pt idx="38">
                  <c:v>EMGE HUANZA</c:v>
                </c:pt>
                <c:pt idx="39">
                  <c:v>ENEL GENERACION PIURA</c:v>
                </c:pt>
                <c:pt idx="40">
                  <c:v>INLAND </c:v>
                </c:pt>
                <c:pt idx="41">
                  <c:v>SAN GABAN</c:v>
                </c:pt>
                <c:pt idx="42">
                  <c:v>EGASA</c:v>
                </c:pt>
                <c:pt idx="43">
                  <c:v>EGEMSA</c:v>
                </c:pt>
                <c:pt idx="44">
                  <c:v>CHINANGO</c:v>
                </c:pt>
                <c:pt idx="45">
                  <c:v>CELEPSA</c:v>
                </c:pt>
                <c:pt idx="46">
                  <c:v>TERMOCHILCA</c:v>
                </c:pt>
                <c:pt idx="47">
                  <c:v>ORAZUL ENERGY PERÚ</c:v>
                </c:pt>
                <c:pt idx="48">
                  <c:v>STATKRAFT</c:v>
                </c:pt>
                <c:pt idx="49">
                  <c:v>EMGE HUALLAGA</c:v>
                </c:pt>
                <c:pt idx="50">
                  <c:v>FENIX POWER</c:v>
                </c:pt>
                <c:pt idx="51">
                  <c:v>ENEL GENERACION PERU</c:v>
                </c:pt>
                <c:pt idx="52">
                  <c:v>ELECTROPERU</c:v>
                </c:pt>
                <c:pt idx="53">
                  <c:v>ENGIE</c:v>
                </c:pt>
                <c:pt idx="54">
                  <c:v>KALLPA</c:v>
                </c:pt>
              </c:strCache>
            </c:strRef>
          </c:cat>
          <c:val>
            <c:numRef>
              <c:f>'9. Pot. Empresa'!$M$7:$M$61</c:f>
              <c:numCache>
                <c:formatCode>General</c:formatCode>
                <c:ptCount val="55"/>
                <c:pt idx="0">
                  <c:v>0</c:v>
                </c:pt>
                <c:pt idx="1">
                  <c:v>0</c:v>
                </c:pt>
                <c:pt idx="2">
                  <c:v>0</c:v>
                </c:pt>
                <c:pt idx="3" formatCode="0.00">
                  <c:v>0</c:v>
                </c:pt>
                <c:pt idx="4" formatCode="0.00">
                  <c:v>0</c:v>
                </c:pt>
                <c:pt idx="5" formatCode="0.00">
                  <c:v>0</c:v>
                </c:pt>
                <c:pt idx="6" formatCode="0.00">
                  <c:v>0</c:v>
                </c:pt>
                <c:pt idx="7" formatCode="0.00">
                  <c:v>0</c:v>
                </c:pt>
                <c:pt idx="8" formatCode="0.00">
                  <c:v>0</c:v>
                </c:pt>
                <c:pt idx="9" formatCode="0.00">
                  <c:v>0</c:v>
                </c:pt>
                <c:pt idx="10">
                  <c:v>0</c:v>
                </c:pt>
                <c:pt idx="11" formatCode="0.00">
                  <c:v>0</c:v>
                </c:pt>
                <c:pt idx="12" formatCode="0.00">
                  <c:v>0</c:v>
                </c:pt>
                <c:pt idx="13" formatCode="0.00">
                  <c:v>0.41988999999999999</c:v>
                </c:pt>
                <c:pt idx="14">
                  <c:v>1.0049999999999999</c:v>
                </c:pt>
                <c:pt idx="15">
                  <c:v>2.6109999999999998</c:v>
                </c:pt>
                <c:pt idx="16" formatCode="0.00">
                  <c:v>3.3381699999999999</c:v>
                </c:pt>
                <c:pt idx="17" formatCode="0.00">
                  <c:v>3.6</c:v>
                </c:pt>
                <c:pt idx="18" formatCode="0.00">
                  <c:v>4.5327000000000002</c:v>
                </c:pt>
                <c:pt idx="19" formatCode="0.00">
                  <c:v>4.9726499999999998</c:v>
                </c:pt>
                <c:pt idx="20" formatCode="0.00">
                  <c:v>6.7167700000000004</c:v>
                </c:pt>
                <c:pt idx="21" formatCode="0.00">
                  <c:v>8.2147000000000006</c:v>
                </c:pt>
                <c:pt idx="22" formatCode="0.00">
                  <c:v>11.549289999999999</c:v>
                </c:pt>
                <c:pt idx="23" formatCode="0.00">
                  <c:v>16.018940000000001</c:v>
                </c:pt>
                <c:pt idx="24" formatCode="0.00">
                  <c:v>17.059999999999999</c:v>
                </c:pt>
                <c:pt idx="25" formatCode="0.00">
                  <c:v>18.464480000000002</c:v>
                </c:pt>
                <c:pt idx="26" formatCode="0.00">
                  <c:v>18.974550000000001</c:v>
                </c:pt>
                <c:pt idx="27" formatCode="0.00">
                  <c:v>19.248800000000003</c:v>
                </c:pt>
                <c:pt idx="28" formatCode="0.00">
                  <c:v>19.862850000000002</c:v>
                </c:pt>
                <c:pt idx="29" formatCode="0.00">
                  <c:v>20.086600000000001</c:v>
                </c:pt>
                <c:pt idx="30" formatCode="0.00">
                  <c:v>21.95486</c:v>
                </c:pt>
                <c:pt idx="31" formatCode="0.00">
                  <c:v>26.653569999999998</c:v>
                </c:pt>
                <c:pt idx="32" formatCode="0.00">
                  <c:v>29.358319999999999</c:v>
                </c:pt>
                <c:pt idx="33" formatCode="0.00">
                  <c:v>32.709769999999999</c:v>
                </c:pt>
                <c:pt idx="34" formatCode="0.00">
                  <c:v>37.080680000000001</c:v>
                </c:pt>
                <c:pt idx="35" formatCode="0.00">
                  <c:v>42.532390000000007</c:v>
                </c:pt>
                <c:pt idx="36" formatCode="0.00">
                  <c:v>46.684920000000005</c:v>
                </c:pt>
                <c:pt idx="37" formatCode="0.00">
                  <c:v>57.290199999999999</c:v>
                </c:pt>
                <c:pt idx="38" formatCode="0.00">
                  <c:v>66.759289999999993</c:v>
                </c:pt>
                <c:pt idx="39" formatCode="0.00">
                  <c:v>88.451549999999997</c:v>
                </c:pt>
                <c:pt idx="40" formatCode="0.00">
                  <c:v>91.450299999999999</c:v>
                </c:pt>
                <c:pt idx="41" formatCode="0.00">
                  <c:v>111.13015</c:v>
                </c:pt>
                <c:pt idx="42" formatCode="0.00">
                  <c:v>150.20472999999998</c:v>
                </c:pt>
                <c:pt idx="43" formatCode="0.00">
                  <c:v>168.82474999999999</c:v>
                </c:pt>
                <c:pt idx="44" formatCode="0.00">
                  <c:v>194.35128</c:v>
                </c:pt>
                <c:pt idx="45" formatCode="0.00">
                  <c:v>212.94022000000001</c:v>
                </c:pt>
                <c:pt idx="46" formatCode="0.00">
                  <c:v>284.49849</c:v>
                </c:pt>
                <c:pt idx="47" formatCode="0.00">
                  <c:v>347.52594000000005</c:v>
                </c:pt>
                <c:pt idx="48" formatCode="0.00">
                  <c:v>379.85884999999996</c:v>
                </c:pt>
                <c:pt idx="49" formatCode="0.00">
                  <c:v>460.85723999999999</c:v>
                </c:pt>
                <c:pt idx="50" formatCode="0.00">
                  <c:v>543.99379999999996</c:v>
                </c:pt>
                <c:pt idx="51" formatCode="0.00">
                  <c:v>721.43719999999996</c:v>
                </c:pt>
                <c:pt idx="52" formatCode="0.00">
                  <c:v>852.33215999999993</c:v>
                </c:pt>
                <c:pt idx="53" formatCode="0.00">
                  <c:v>858.55745000000002</c:v>
                </c:pt>
                <c:pt idx="54" formatCode="0.00">
                  <c:v>872.17794000000004</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2018</c:v>
                </c:pt>
              </c:strCache>
            </c:strRef>
          </c:tx>
          <c:spPr>
            <a:solidFill>
              <a:srgbClr val="FF6600"/>
            </a:solidFill>
          </c:spPr>
          <c:invertIfNegative val="0"/>
          <c:cat>
            <c:strRef>
              <c:f>'9. Pot. Empresa'!$L$7:$L$61</c:f>
              <c:strCache>
                <c:ptCount val="55"/>
                <c:pt idx="0">
                  <c:v>AGROAURORA</c:v>
                </c:pt>
                <c:pt idx="1">
                  <c:v>CERRO VERDE</c:v>
                </c:pt>
                <c:pt idx="2">
                  <c:v>ELECTRICA SANTA ROSA</c:v>
                </c:pt>
                <c:pt idx="3">
                  <c:v>GTS MAJES</c:v>
                </c:pt>
                <c:pt idx="4">
                  <c:v>GTS REPARTICION</c:v>
                </c:pt>
                <c:pt idx="5">
                  <c:v>IYEPSA</c:v>
                </c:pt>
                <c:pt idx="6">
                  <c:v>MOQUEGUA FV</c:v>
                </c:pt>
                <c:pt idx="7">
                  <c:v>PANAMERICANA SOLAR</c:v>
                </c:pt>
                <c:pt idx="8">
                  <c:v>PLANTA  ETEN</c:v>
                </c:pt>
                <c:pt idx="9">
                  <c:v>SAMAY I</c:v>
                </c:pt>
                <c:pt idx="10">
                  <c:v>SHOUGESA</c:v>
                </c:pt>
                <c:pt idx="11">
                  <c:v>TACNA SOLAR</c:v>
                </c:pt>
                <c:pt idx="12">
                  <c:v>TERMOSELVA</c:v>
                </c:pt>
                <c:pt idx="13">
                  <c:v>ELECTRO ZAÑA</c:v>
                </c:pt>
                <c:pt idx="14">
                  <c:v>HYDRO PATAPO</c:v>
                </c:pt>
                <c:pt idx="15">
                  <c:v>MAJA ENERGIA</c:v>
                </c:pt>
                <c:pt idx="16">
                  <c:v>ELECTRICA YANAPAMPA</c:v>
                </c:pt>
                <c:pt idx="17">
                  <c:v>HIDROCAÑETE</c:v>
                </c:pt>
                <c:pt idx="18">
                  <c:v>EGECSAC</c:v>
                </c:pt>
                <c:pt idx="19">
                  <c:v>SINERSA</c:v>
                </c:pt>
                <c:pt idx="20">
                  <c:v>P.E. MARCONA</c:v>
                </c:pt>
                <c:pt idx="21">
                  <c:v>PETRAMAS</c:v>
                </c:pt>
                <c:pt idx="22">
                  <c:v>AIPSA</c:v>
                </c:pt>
                <c:pt idx="23">
                  <c:v>RIO DOBLE</c:v>
                </c:pt>
                <c:pt idx="24">
                  <c:v>HIDROELECTRICA HUANCHOR</c:v>
                </c:pt>
                <c:pt idx="25">
                  <c:v>HUAURA POWER</c:v>
                </c:pt>
                <c:pt idx="26">
                  <c:v>HIDROMARAÑON/ CELEPSA RENOVABLES</c:v>
                </c:pt>
                <c:pt idx="27">
                  <c:v>AGUA AZUL</c:v>
                </c:pt>
                <c:pt idx="28">
                  <c:v>ANDEAN POWER</c:v>
                </c:pt>
                <c:pt idx="29">
                  <c:v>SANTA ANA</c:v>
                </c:pt>
                <c:pt idx="30">
                  <c:v>P.E. TRES HERMANAS</c:v>
                </c:pt>
                <c:pt idx="31">
                  <c:v>SDF ENERGIA</c:v>
                </c:pt>
                <c:pt idx="32">
                  <c:v>GEPSA</c:v>
                </c:pt>
                <c:pt idx="33">
                  <c:v>SANTA CRUZ</c:v>
                </c:pt>
                <c:pt idx="34">
                  <c:v>EMGE JUNÍN</c:v>
                </c:pt>
                <c:pt idx="35">
                  <c:v>ENERGÍA EÓLICA</c:v>
                </c:pt>
                <c:pt idx="36">
                  <c:v>EGESUR</c:v>
                </c:pt>
                <c:pt idx="37">
                  <c:v>ENEL GREEN POWER PERU</c:v>
                </c:pt>
                <c:pt idx="38">
                  <c:v>EMGE HUANZA</c:v>
                </c:pt>
                <c:pt idx="39">
                  <c:v>ENEL GENERACION PIURA</c:v>
                </c:pt>
                <c:pt idx="40">
                  <c:v>INLAND </c:v>
                </c:pt>
                <c:pt idx="41">
                  <c:v>SAN GABAN</c:v>
                </c:pt>
                <c:pt idx="42">
                  <c:v>EGASA</c:v>
                </c:pt>
                <c:pt idx="43">
                  <c:v>EGEMSA</c:v>
                </c:pt>
                <c:pt idx="44">
                  <c:v>CHINANGO</c:v>
                </c:pt>
                <c:pt idx="45">
                  <c:v>CELEPSA</c:v>
                </c:pt>
                <c:pt idx="46">
                  <c:v>TERMOCHILCA</c:v>
                </c:pt>
                <c:pt idx="47">
                  <c:v>ORAZUL ENERGY PERÚ</c:v>
                </c:pt>
                <c:pt idx="48">
                  <c:v>STATKRAFT</c:v>
                </c:pt>
                <c:pt idx="49">
                  <c:v>EMGE HUALLAGA</c:v>
                </c:pt>
                <c:pt idx="50">
                  <c:v>FENIX POWER</c:v>
                </c:pt>
                <c:pt idx="51">
                  <c:v>ENEL GENERACION PERU</c:v>
                </c:pt>
                <c:pt idx="52">
                  <c:v>ELECTROPERU</c:v>
                </c:pt>
                <c:pt idx="53">
                  <c:v>ENGIE</c:v>
                </c:pt>
                <c:pt idx="54">
                  <c:v>KALLPA</c:v>
                </c:pt>
              </c:strCache>
            </c:strRef>
          </c:cat>
          <c:val>
            <c:numRef>
              <c:f>'9. Pot. Empresa'!$N$7:$N$61</c:f>
              <c:numCache>
                <c:formatCode>General</c:formatCode>
                <c:ptCount val="55"/>
                <c:pt idx="0">
                  <c:v>0</c:v>
                </c:pt>
                <c:pt idx="1">
                  <c:v>0</c:v>
                </c:pt>
                <c:pt idx="2">
                  <c:v>0.97128000000000003</c:v>
                </c:pt>
                <c:pt idx="3" formatCode="0.00">
                  <c:v>0</c:v>
                </c:pt>
                <c:pt idx="4" formatCode="0.00">
                  <c:v>0</c:v>
                </c:pt>
                <c:pt idx="5">
                  <c:v>0</c:v>
                </c:pt>
                <c:pt idx="6" formatCode="0.00">
                  <c:v>0</c:v>
                </c:pt>
                <c:pt idx="7" formatCode="0.00">
                  <c:v>0</c:v>
                </c:pt>
                <c:pt idx="8" formatCode="0.00">
                  <c:v>0</c:v>
                </c:pt>
                <c:pt idx="9" formatCode="0.00">
                  <c:v>0</c:v>
                </c:pt>
                <c:pt idx="10">
                  <c:v>0</c:v>
                </c:pt>
                <c:pt idx="11" formatCode="0.00">
                  <c:v>0</c:v>
                </c:pt>
                <c:pt idx="12" formatCode="0.00">
                  <c:v>0</c:v>
                </c:pt>
                <c:pt idx="15">
                  <c:v>3.6429999999999998</c:v>
                </c:pt>
                <c:pt idx="16" formatCode="0.00">
                  <c:v>3.5395599999999998</c:v>
                </c:pt>
                <c:pt idx="17" formatCode="0.00">
                  <c:v>3.2</c:v>
                </c:pt>
                <c:pt idx="18">
                  <c:v>4.1099999999999994</c:v>
                </c:pt>
                <c:pt idx="19" formatCode="0.00">
                  <c:v>7.7857099999999999</c:v>
                </c:pt>
                <c:pt idx="20" formatCode="0.00">
                  <c:v>21.974740000000001</c:v>
                </c:pt>
                <c:pt idx="21" formatCode="0.00">
                  <c:v>4.4153000000000002</c:v>
                </c:pt>
                <c:pt idx="22" formatCode="0.00">
                  <c:v>12.68676</c:v>
                </c:pt>
                <c:pt idx="23" formatCode="0.00">
                  <c:v>19.14423</c:v>
                </c:pt>
                <c:pt idx="24" formatCode="0.00">
                  <c:v>19.22</c:v>
                </c:pt>
                <c:pt idx="25" formatCode="0.00">
                  <c:v>18.950340000000001</c:v>
                </c:pt>
                <c:pt idx="26" formatCode="0.00">
                  <c:v>19.520969999999998</c:v>
                </c:pt>
                <c:pt idx="27" formatCode="0.00">
                  <c:v>10.10004</c:v>
                </c:pt>
                <c:pt idx="30">
                  <c:v>73.812150000000003</c:v>
                </c:pt>
                <c:pt idx="31" formatCode="0.00">
                  <c:v>26.922409999999999</c:v>
                </c:pt>
                <c:pt idx="32" formatCode="0.00">
                  <c:v>4.6769999999999996</c:v>
                </c:pt>
                <c:pt idx="33" formatCode="0.00">
                  <c:v>31.571490000000004</c:v>
                </c:pt>
                <c:pt idx="34" formatCode="0.00">
                  <c:v>37.175160000000005</c:v>
                </c:pt>
                <c:pt idx="35" formatCode="0.00">
                  <c:v>84.628889999999998</c:v>
                </c:pt>
                <c:pt idx="36" formatCode="0.00">
                  <c:v>45.917529999999999</c:v>
                </c:pt>
                <c:pt idx="37" formatCode="0.00">
                  <c:v>0</c:v>
                </c:pt>
                <c:pt idx="38" formatCode="0.00">
                  <c:v>48.26858</c:v>
                </c:pt>
                <c:pt idx="39" formatCode="0.00">
                  <c:v>51.151209999999999</c:v>
                </c:pt>
                <c:pt idx="40" formatCode="0.00">
                  <c:v>90.838310000000007</c:v>
                </c:pt>
                <c:pt idx="41" formatCode="0.00">
                  <c:v>110.91433000000001</c:v>
                </c:pt>
                <c:pt idx="42" formatCode="0.00">
                  <c:v>206.26281</c:v>
                </c:pt>
                <c:pt idx="43" formatCode="0.00">
                  <c:v>166.59073000000001</c:v>
                </c:pt>
                <c:pt idx="44" formatCode="0.00">
                  <c:v>192.37171999999998</c:v>
                </c:pt>
                <c:pt idx="45" formatCode="0.00">
                  <c:v>213.76758000000001</c:v>
                </c:pt>
                <c:pt idx="46" formatCode="0.00">
                  <c:v>150.69122999999999</c:v>
                </c:pt>
                <c:pt idx="47" formatCode="0.00">
                  <c:v>345.87764000000004</c:v>
                </c:pt>
                <c:pt idx="48" formatCode="0.00">
                  <c:v>352.60912000000002</c:v>
                </c:pt>
                <c:pt idx="49" formatCode="0.00">
                  <c:v>456.50977</c:v>
                </c:pt>
                <c:pt idx="50" formatCode="0.00">
                  <c:v>0</c:v>
                </c:pt>
                <c:pt idx="51" formatCode="0.00">
                  <c:v>1079.3460399999999</c:v>
                </c:pt>
                <c:pt idx="52" formatCode="0.00">
                  <c:v>848.33568000000002</c:v>
                </c:pt>
                <c:pt idx="53" formatCode="0.00">
                  <c:v>360.22037999999998</c:v>
                </c:pt>
                <c:pt idx="54" formatCode="0.00">
                  <c:v>1361.3133600000001</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2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General"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68173068818189964"/>
          <c:y val="0.39830741899342714"/>
          <c:w val="0.22095413152862417"/>
          <c:h val="6.0980304677881472E-2"/>
        </c:manualLayout>
      </c:layout>
      <c:overlay val="0"/>
    </c:legend>
    <c:plotVisOnly val="1"/>
    <c:dispBlanksAs val="gap"/>
    <c:showDLblsOverMax val="0"/>
  </c:chart>
  <c:spPr>
    <a:ln>
      <a:noFill/>
    </a:ln>
  </c:spPr>
  <c:printSettings>
    <c:headerFooter>
      <c:oddFooter>&amp;L&amp;7COES, 2018&amp;C9&amp;R&amp;7Dirección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VOLÚMEN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v>2016</c:v>
          </c:tx>
          <c:spPr>
            <a:ln w="19050">
              <a:solidFill>
                <a:schemeClr val="accent6"/>
              </a:solidFill>
            </a:ln>
          </c:spPr>
          <c:marker>
            <c:symbol val="star"/>
            <c:size val="7"/>
            <c:spPr>
              <a:noFill/>
              <a:ln>
                <a:solidFill>
                  <a:srgbClr val="00B050"/>
                </a:solidFill>
              </a:ln>
              <a:effectLst/>
            </c:spPr>
          </c:marker>
          <c:val>
            <c:numRef>
              <c:f>'10. Volúmenes'!$N$12:$N$63</c:f>
              <c:numCache>
                <c:formatCode>0.00</c:formatCode>
                <c:ptCount val="52"/>
                <c:pt idx="0">
                  <c:v>138.54</c:v>
                </c:pt>
                <c:pt idx="1">
                  <c:v>140.53</c:v>
                </c:pt>
                <c:pt idx="2">
                  <c:v>140.53</c:v>
                </c:pt>
                <c:pt idx="3">
                  <c:v>137.43800000000002</c:v>
                </c:pt>
                <c:pt idx="4">
                  <c:v>137.43800000000002</c:v>
                </c:pt>
                <c:pt idx="5">
                  <c:v>137.43800000000002</c:v>
                </c:pt>
                <c:pt idx="6">
                  <c:v>151.05499267578099</c:v>
                </c:pt>
                <c:pt idx="7">
                  <c:v>151.05499267578099</c:v>
                </c:pt>
                <c:pt idx="8">
                  <c:v>165.00500489999999</c:v>
                </c:pt>
                <c:pt idx="9">
                  <c:v>165.00500489999999</c:v>
                </c:pt>
                <c:pt idx="10">
                  <c:v>186.45199584960901</c:v>
                </c:pt>
                <c:pt idx="11">
                  <c:v>186.45199584960901</c:v>
                </c:pt>
                <c:pt idx="12">
                  <c:v>195.64999389648401</c:v>
                </c:pt>
                <c:pt idx="13">
                  <c:v>195.64999389648401</c:v>
                </c:pt>
                <c:pt idx="14">
                  <c:v>201.93600463867099</c:v>
                </c:pt>
                <c:pt idx="15">
                  <c:v>201.93600463867099</c:v>
                </c:pt>
                <c:pt idx="16">
                  <c:v>201.93600463867099</c:v>
                </c:pt>
                <c:pt idx="17">
                  <c:v>207.58900451660099</c:v>
                </c:pt>
                <c:pt idx="18">
                  <c:v>207.58900451660099</c:v>
                </c:pt>
                <c:pt idx="19">
                  <c:v>205.7</c:v>
                </c:pt>
                <c:pt idx="20">
                  <c:v>205.7</c:v>
                </c:pt>
                <c:pt idx="21">
                  <c:v>204.65</c:v>
                </c:pt>
                <c:pt idx="22">
                  <c:v>204.65</c:v>
                </c:pt>
                <c:pt idx="23">
                  <c:v>200.38</c:v>
                </c:pt>
                <c:pt idx="24">
                  <c:v>200.38</c:v>
                </c:pt>
                <c:pt idx="25">
                  <c:v>193.55099487304599</c:v>
                </c:pt>
                <c:pt idx="26">
                  <c:v>193.55099487304599</c:v>
                </c:pt>
                <c:pt idx="27">
                  <c:v>186.01199339999999</c:v>
                </c:pt>
                <c:pt idx="28">
                  <c:v>186.01199339999999</c:v>
                </c:pt>
                <c:pt idx="29">
                  <c:v>186.01199339999999</c:v>
                </c:pt>
                <c:pt idx="30">
                  <c:v>178.58200070000001</c:v>
                </c:pt>
                <c:pt idx="31">
                  <c:v>178.58200070000001</c:v>
                </c:pt>
                <c:pt idx="32">
                  <c:v>169.01100159999999</c:v>
                </c:pt>
                <c:pt idx="33">
                  <c:v>169.01100159999999</c:v>
                </c:pt>
                <c:pt idx="34">
                  <c:v>158.09199523925699</c:v>
                </c:pt>
                <c:pt idx="35">
                  <c:v>158.09199523925699</c:v>
                </c:pt>
                <c:pt idx="36">
                  <c:v>147.0650024</c:v>
                </c:pt>
                <c:pt idx="37">
                  <c:v>147.0650024</c:v>
                </c:pt>
                <c:pt idx="38">
                  <c:v>139.11000060000001</c:v>
                </c:pt>
                <c:pt idx="39">
                  <c:v>139.11000060000001</c:v>
                </c:pt>
                <c:pt idx="40">
                  <c:v>139.11000060000001</c:v>
                </c:pt>
                <c:pt idx="41">
                  <c:v>128.34500120000001</c:v>
                </c:pt>
                <c:pt idx="42">
                  <c:v>128.34500120000001</c:v>
                </c:pt>
                <c:pt idx="43">
                  <c:v>121.20099639999999</c:v>
                </c:pt>
                <c:pt idx="44">
                  <c:v>121.20099639999999</c:v>
                </c:pt>
                <c:pt idx="45">
                  <c:v>112.1429977</c:v>
                </c:pt>
                <c:pt idx="46">
                  <c:v>112.1429977</c:v>
                </c:pt>
                <c:pt idx="47">
                  <c:v>101.13500209999999</c:v>
                </c:pt>
                <c:pt idx="48">
                  <c:v>101.13500209999999</c:v>
                </c:pt>
                <c:pt idx="49">
                  <c:v>96.752998349999999</c:v>
                </c:pt>
                <c:pt idx="50">
                  <c:v>96.752998349999999</c:v>
                </c:pt>
                <c:pt idx="51">
                  <c:v>96.752998349999999</c:v>
                </c:pt>
              </c:numCache>
            </c:numRef>
          </c:val>
          <c:smooth val="0"/>
          <c:extLst>
            <c:ext xmlns:c16="http://schemas.microsoft.com/office/drawing/2014/chart" uri="{C3380CC4-5D6E-409C-BE32-E72D297353CC}">
              <c16:uniqueId val="{00000002-70C0-4DC4-934D-909B877B1C5A}"/>
            </c:ext>
          </c:extLst>
        </c:ser>
        <c:ser>
          <c:idx val="3"/>
          <c:order val="1"/>
          <c:tx>
            <c:v>2017</c:v>
          </c:tx>
          <c:spPr>
            <a:ln w="22225">
              <a:solidFill>
                <a:srgbClr val="C00000"/>
              </a:solidFill>
            </a:ln>
          </c:spPr>
          <c:marker>
            <c:symbol val="triangle"/>
            <c:size val="7"/>
            <c:spPr>
              <a:solidFill>
                <a:srgbClr val="C00000"/>
              </a:solidFill>
              <a:ln w="12700">
                <a:solidFill>
                  <a:schemeClr val="bg1"/>
                </a:solidFill>
              </a:ln>
            </c:spPr>
          </c:marker>
          <c:val>
            <c:numRef>
              <c:f>'10. Volúmenes'!$O$12:$O$63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1-70C0-4DC4-934D-909B877B1C5A}"/>
            </c:ext>
          </c:extLst>
        </c:ser>
        <c:ser>
          <c:idx val="0"/>
          <c:order val="2"/>
          <c:tx>
            <c:v>2018</c:v>
          </c:tx>
          <c:marker>
            <c:symbol val="circle"/>
            <c:size val="4"/>
            <c:spPr>
              <a:solidFill>
                <a:srgbClr val="0077A5"/>
              </a:solidFill>
              <a:ln w="9525">
                <a:solidFill>
                  <a:schemeClr val="bg1">
                    <a:lumMod val="95000"/>
                  </a:schemeClr>
                </a:solidFill>
              </a:ln>
            </c:spPr>
          </c:marker>
          <c:val>
            <c:numRef>
              <c:f>'10. Volúmenes'!$P$12:$P$63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2019</c:v>
                </c:pt>
              </c:strCache>
            </c:strRef>
          </c:tx>
          <c:spPr>
            <a:ln w="7620"/>
          </c:spPr>
          <c:val>
            <c:numRef>
              <c:f>'10. Volúmenes'!$Q$12:$Q$63</c:f>
              <c:numCache>
                <c:formatCode>0.00</c:formatCode>
                <c:ptCount val="52"/>
                <c:pt idx="0">
                  <c:v>117.2900009</c:v>
                </c:pt>
                <c:pt idx="1">
                  <c:v>116.0110016</c:v>
                </c:pt>
                <c:pt idx="2">
                  <c:v>117.6</c:v>
                </c:pt>
                <c:pt idx="3">
                  <c:v>128.32000729999999</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VOLÚMEN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0"/>
          <c:order val="0"/>
          <c:tx>
            <c:v>2018</c:v>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0-E67E-478C-BF33-2DFC489EAE4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1-E67E-478C-BF33-2DFC489EAE45}"/>
            </c:ext>
          </c:extLst>
        </c:ser>
        <c:ser>
          <c:idx val="2"/>
          <c:order val="2"/>
          <c:tx>
            <c:v>2016</c:v>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119.86</c:v>
                </c:pt>
                <c:pt idx="1">
                  <c:v>113.21</c:v>
                </c:pt>
                <c:pt idx="2">
                  <c:v>117.64</c:v>
                </c:pt>
                <c:pt idx="3">
                  <c:v>117.64</c:v>
                </c:pt>
                <c:pt idx="4">
                  <c:v>133.43</c:v>
                </c:pt>
                <c:pt idx="5">
                  <c:v>159.2149963</c:v>
                </c:pt>
                <c:pt idx="6">
                  <c:v>186.18299870000001</c:v>
                </c:pt>
                <c:pt idx="7">
                  <c:v>206.53900150000001</c:v>
                </c:pt>
                <c:pt idx="8">
                  <c:v>240.9539948</c:v>
                </c:pt>
                <c:pt idx="9">
                  <c:v>279.86401369999999</c:v>
                </c:pt>
                <c:pt idx="10">
                  <c:v>308.83</c:v>
                </c:pt>
                <c:pt idx="11">
                  <c:v>308.829986572265</c:v>
                </c:pt>
                <c:pt idx="12">
                  <c:v>308.829986572265</c:v>
                </c:pt>
                <c:pt idx="13">
                  <c:v>302.95901489257801</c:v>
                </c:pt>
                <c:pt idx="14">
                  <c:v>311.781005859375</c:v>
                </c:pt>
                <c:pt idx="15">
                  <c:v>320.69100952148398</c:v>
                </c:pt>
                <c:pt idx="16">
                  <c:v>326.67999267578102</c:v>
                </c:pt>
                <c:pt idx="17">
                  <c:v>314.74099731445301</c:v>
                </c:pt>
                <c:pt idx="18">
                  <c:v>308.829986572265</c:v>
                </c:pt>
                <c:pt idx="19">
                  <c:v>308.8</c:v>
                </c:pt>
                <c:pt idx="20">
                  <c:v>311.781005859375</c:v>
                </c:pt>
                <c:pt idx="21">
                  <c:v>314.74</c:v>
                </c:pt>
                <c:pt idx="22">
                  <c:v>308.83</c:v>
                </c:pt>
                <c:pt idx="23">
                  <c:v>300.04000000000002</c:v>
                </c:pt>
                <c:pt idx="24">
                  <c:v>282.71701050000001</c:v>
                </c:pt>
                <c:pt idx="25">
                  <c:v>262.95300292968699</c:v>
                </c:pt>
                <c:pt idx="26">
                  <c:v>254.63000489999999</c:v>
                </c:pt>
                <c:pt idx="27">
                  <c:v>240.9539948</c:v>
                </c:pt>
                <c:pt idx="28">
                  <c:v>227.5220032</c:v>
                </c:pt>
                <c:pt idx="29">
                  <c:v>216.95199584960901</c:v>
                </c:pt>
                <c:pt idx="30">
                  <c:v>216.95199579999999</c:v>
                </c:pt>
                <c:pt idx="31">
                  <c:v>201.39199830000001</c:v>
                </c:pt>
                <c:pt idx="32">
                  <c:v>193.74299621582</c:v>
                </c:pt>
                <c:pt idx="33">
                  <c:v>181.19200129999999</c:v>
                </c:pt>
                <c:pt idx="34">
                  <c:v>171.32600400000001</c:v>
                </c:pt>
                <c:pt idx="35">
                  <c:v>164.02999879999999</c:v>
                </c:pt>
                <c:pt idx="36">
                  <c:v>147.34800720000001</c:v>
                </c:pt>
                <c:pt idx="37">
                  <c:v>131.14500430000001</c:v>
                </c:pt>
                <c:pt idx="38">
                  <c:v>119.8639984</c:v>
                </c:pt>
                <c:pt idx="39">
                  <c:v>119.8639984</c:v>
                </c:pt>
                <c:pt idx="40">
                  <c:v>113.213996887207</c:v>
                </c:pt>
                <c:pt idx="41">
                  <c:v>100.1760025</c:v>
                </c:pt>
                <c:pt idx="42">
                  <c:v>89.581001279999995</c:v>
                </c:pt>
                <c:pt idx="43">
                  <c:v>75.156997680000003</c:v>
                </c:pt>
                <c:pt idx="44">
                  <c:v>61.2140007</c:v>
                </c:pt>
                <c:pt idx="45">
                  <c:v>43.990001679999999</c:v>
                </c:pt>
                <c:pt idx="46">
                  <c:v>25.781999590000002</c:v>
                </c:pt>
                <c:pt idx="47">
                  <c:v>29.344999309999999</c:v>
                </c:pt>
                <c:pt idx="48">
                  <c:v>34.763999939999998</c:v>
                </c:pt>
                <c:pt idx="49">
                  <c:v>32.948001859999998</c:v>
                </c:pt>
                <c:pt idx="50">
                  <c:v>25.781999590000002</c:v>
                </c:pt>
                <c:pt idx="51">
                  <c:v>22.256999969999999</c:v>
                </c:pt>
              </c:numCache>
            </c:numRef>
          </c:val>
          <c:smooth val="0"/>
          <c:extLst>
            <c:ext xmlns:c16="http://schemas.microsoft.com/office/drawing/2014/chart" uri="{C3380CC4-5D6E-409C-BE32-E72D297353CC}">
              <c16:uniqueId val="{00000002-E67E-478C-BF33-2DFC489EAE45}"/>
            </c:ext>
          </c:extLst>
        </c:ser>
        <c:ser>
          <c:idx val="1"/>
          <c:order val="3"/>
          <c:tx>
            <c:strRef>
              <c:f>'11. Volúmenes'!$R$5</c:f>
              <c:strCache>
                <c:ptCount val="1"/>
                <c:pt idx="0">
                  <c:v>2019</c:v>
                </c:pt>
              </c:strCache>
            </c:strRef>
          </c:tx>
          <c:spPr>
            <a:ln w="6350"/>
          </c:spPr>
          <c:val>
            <c:numRef>
              <c:f>'11. Volúmenes'!$R$6:$R$57</c:f>
              <c:numCache>
                <c:formatCode>General</c:formatCode>
                <c:ptCount val="52"/>
                <c:pt idx="0">
                  <c:v>71.125</c:v>
                </c:pt>
                <c:pt idx="1">
                  <c:v>79.228996280000004</c:v>
                </c:pt>
                <c:pt idx="2">
                  <c:v>106.65</c:v>
                </c:pt>
                <c:pt idx="3">
                  <c:v>140.34500120000001</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VOLÚMEN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0"/>
          <c:order val="0"/>
          <c:tx>
            <c:v>2018</c:v>
          </c:tx>
          <c:spPr>
            <a:ln w="19050"/>
          </c:spPr>
          <c:marker>
            <c:symbol val="circle"/>
            <c:size val="5"/>
            <c:spPr>
              <a:solidFill>
                <a:srgbClr val="0077A5"/>
              </a:solidFill>
              <a:ln w="9525">
                <a:solidFill>
                  <a:schemeClr val="bg1"/>
                </a:solidFill>
              </a:ln>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Volúmenes'!$V$6:$V$57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pt idx="18">
                  <c:v>386.47099490999994</c:v>
                </c:pt>
                <c:pt idx="19">
                  <c:v>382.00799562999993</c:v>
                </c:pt>
                <c:pt idx="20">
                  <c:v>378.52099610999994</c:v>
                </c:pt>
                <c:pt idx="21">
                  <c:v>375.20999716</c:v>
                </c:pt>
                <c:pt idx="22">
                  <c:v>374.07600211999994</c:v>
                </c:pt>
                <c:pt idx="23">
                  <c:v>370.89200402</c:v>
                </c:pt>
                <c:pt idx="24">
                  <c:v>366.71700096999996</c:v>
                </c:pt>
                <c:pt idx="25">
                  <c:v>361.43599508999995</c:v>
                </c:pt>
                <c:pt idx="26">
                  <c:v>355.34</c:v>
                </c:pt>
                <c:pt idx="27">
                  <c:v>349.01599981000004</c:v>
                </c:pt>
                <c:pt idx="28">
                  <c:v>343.97999999999996</c:v>
                </c:pt>
                <c:pt idx="29">
                  <c:v>342.06599807739167</c:v>
                </c:pt>
                <c:pt idx="30">
                  <c:v>335.23199999999997</c:v>
                </c:pt>
                <c:pt idx="31">
                  <c:v>329.56800555999996</c:v>
                </c:pt>
                <c:pt idx="32">
                  <c:v>323.79099748000004</c:v>
                </c:pt>
                <c:pt idx="33">
                  <c:v>317.64699750999995</c:v>
                </c:pt>
                <c:pt idx="34">
                  <c:v>311.42</c:v>
                </c:pt>
                <c:pt idx="35">
                  <c:v>305.20999999999998</c:v>
                </c:pt>
                <c:pt idx="36">
                  <c:v>299.17000225600003</c:v>
                </c:pt>
                <c:pt idx="37">
                  <c:v>292.45899891799996</c:v>
                </c:pt>
                <c:pt idx="38">
                  <c:v>286.11999916000002</c:v>
                </c:pt>
                <c:pt idx="39">
                  <c:v>278.57999837699998</c:v>
                </c:pt>
                <c:pt idx="40">
                  <c:v>271.23250496387476</c:v>
                </c:pt>
                <c:pt idx="41">
                  <c:v>256.27199935913058</c:v>
                </c:pt>
                <c:pt idx="42">
                  <c:v>249.67099761962871</c:v>
                </c:pt>
                <c:pt idx="43">
                  <c:v>249.67099761962871</c:v>
                </c:pt>
                <c:pt idx="44">
                  <c:v>243.378839739</c:v>
                </c:pt>
                <c:pt idx="45">
                  <c:v>236.34</c:v>
                </c:pt>
                <c:pt idx="46">
                  <c:v>227.62000255999999</c:v>
                </c:pt>
                <c:pt idx="47">
                  <c:v>220.01436420799999</c:v>
                </c:pt>
                <c:pt idx="48">
                  <c:v>212.37999999999997</c:v>
                </c:pt>
                <c:pt idx="49">
                  <c:v>205.46782675599999</c:v>
                </c:pt>
                <c:pt idx="50">
                  <c:v>199</c:v>
                </c:pt>
                <c:pt idx="51">
                  <c:v>192.88799664499999</c:v>
                </c:pt>
              </c:numCache>
            </c:numRef>
          </c:val>
          <c:smooth val="0"/>
          <c:extLst>
            <c:ext xmlns:c16="http://schemas.microsoft.com/office/drawing/2014/chart" uri="{C3380CC4-5D6E-409C-BE32-E72D297353CC}">
              <c16:uniqueId val="{00000000-47CE-4929-AC22-8EC51378828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Volúmenes'!$U$6:$U$57</c:f>
              <c:numCache>
                <c:formatCode>0.00</c:formatCode>
                <c:ptCount val="52"/>
                <c:pt idx="0">
                  <c:v>122.19600180599998</c:v>
                </c:pt>
                <c:pt idx="1">
                  <c:v>136.535000822</c:v>
                </c:pt>
                <c:pt idx="2">
                  <c:v>170.80799961000002</c:v>
                </c:pt>
                <c:pt idx="3">
                  <c:v>186.385000214</c:v>
                </c:pt>
                <c:pt idx="4">
                  <c:v>204.80799868699998</c:v>
                </c:pt>
                <c:pt idx="5">
                  <c:v>201.82999366799999</c:v>
                </c:pt>
                <c:pt idx="6">
                  <c:v>199.59600258</c:v>
                </c:pt>
                <c:pt idx="7">
                  <c:v>214.34299659800001</c:v>
                </c:pt>
                <c:pt idx="8">
                  <c:v>250.89400288000002</c:v>
                </c:pt>
                <c:pt idx="9">
                  <c:v>298.99899296000001</c:v>
                </c:pt>
                <c:pt idx="10">
                  <c:v>321.03300188000003</c:v>
                </c:pt>
                <c:pt idx="11">
                  <c:v>332.34900279999999</c:v>
                </c:pt>
                <c:pt idx="12">
                  <c:v>366.02899361000004</c:v>
                </c:pt>
                <c:pt idx="13">
                  <c:v>382.58400344</c:v>
                </c:pt>
                <c:pt idx="14">
                  <c:v>385.29699126999998</c:v>
                </c:pt>
                <c:pt idx="15">
                  <c:v>384.95899003</c:v>
                </c:pt>
                <c:pt idx="16">
                  <c:v>381.86699488000005</c:v>
                </c:pt>
                <c:pt idx="17">
                  <c:v>382.77999115</c:v>
                </c:pt>
                <c:pt idx="18">
                  <c:v>381.91700169999996</c:v>
                </c:pt>
                <c:pt idx="19">
                  <c:v>379.35699083999998</c:v>
                </c:pt>
                <c:pt idx="20">
                  <c:v>375.59600258</c:v>
                </c:pt>
                <c:pt idx="21">
                  <c:v>373.52000000000004</c:v>
                </c:pt>
                <c:pt idx="22">
                  <c:v>369.22100255000004</c:v>
                </c:pt>
                <c:pt idx="23">
                  <c:v>364.44200138999997</c:v>
                </c:pt>
                <c:pt idx="24">
                  <c:v>359.61999897999999</c:v>
                </c:pt>
                <c:pt idx="25">
                  <c:v>354.77499773999995</c:v>
                </c:pt>
                <c:pt idx="26">
                  <c:v>349.77999684000002</c:v>
                </c:pt>
                <c:pt idx="27">
                  <c:v>344.32400322999996</c:v>
                </c:pt>
                <c:pt idx="28">
                  <c:v>338.60699847999996</c:v>
                </c:pt>
                <c:pt idx="29">
                  <c:v>332.49400331000004</c:v>
                </c:pt>
                <c:pt idx="30">
                  <c:v>324</c:v>
                </c:pt>
                <c:pt idx="31">
                  <c:v>320.73399734000003</c:v>
                </c:pt>
                <c:pt idx="32">
                  <c:v>314.19900131999998</c:v>
                </c:pt>
                <c:pt idx="33">
                  <c:v>307.85200500000002</c:v>
                </c:pt>
                <c:pt idx="34">
                  <c:v>300.83900069999999</c:v>
                </c:pt>
                <c:pt idx="35">
                  <c:v>293.46100233999999</c:v>
                </c:pt>
                <c:pt idx="36">
                  <c:v>287.76599501999999</c:v>
                </c:pt>
                <c:pt idx="37">
                  <c:v>282.07300377000001</c:v>
                </c:pt>
                <c:pt idx="38">
                  <c:v>275.53000069000001</c:v>
                </c:pt>
                <c:pt idx="39">
                  <c:v>268.25699615000002</c:v>
                </c:pt>
                <c:pt idx="40">
                  <c:v>261.21399689000003</c:v>
                </c:pt>
                <c:pt idx="41">
                  <c:v>255.58900451</c:v>
                </c:pt>
                <c:pt idx="42">
                  <c:v>249.85500335</c:v>
                </c:pt>
                <c:pt idx="43">
                  <c:v>242.79000000000002</c:v>
                </c:pt>
                <c:pt idx="44">
                  <c:v>235.60499572000001</c:v>
                </c:pt>
                <c:pt idx="45">
                  <c:v>230.54900361099999</c:v>
                </c:pt>
                <c:pt idx="46">
                  <c:v>223.60000467499998</c:v>
                </c:pt>
                <c:pt idx="47">
                  <c:v>217.17600035300001</c:v>
                </c:pt>
                <c:pt idx="48">
                  <c:v>210.45100211699997</c:v>
                </c:pt>
                <c:pt idx="49">
                  <c:v>203.37099885499998</c:v>
                </c:pt>
                <c:pt idx="50">
                  <c:v>202.35899971500001</c:v>
                </c:pt>
                <c:pt idx="51">
                  <c:v>201.25199794899999</c:v>
                </c:pt>
              </c:numCache>
            </c:numRef>
          </c:val>
          <c:smooth val="0"/>
          <c:extLst>
            <c:ext xmlns:c16="http://schemas.microsoft.com/office/drawing/2014/chart" uri="{C3380CC4-5D6E-409C-BE32-E72D297353CC}">
              <c16:uniqueId val="{00000001-47CE-4929-AC22-8EC513788285}"/>
            </c:ext>
          </c:extLst>
        </c:ser>
        <c:ser>
          <c:idx val="2"/>
          <c:order val="2"/>
          <c:tx>
            <c:v>2016</c:v>
          </c:tx>
          <c:spPr>
            <a:ln w="19050">
              <a:solidFill>
                <a:schemeClr val="accent6"/>
              </a:solidFill>
            </a:ln>
          </c:spPr>
          <c:marker>
            <c:symbol val="star"/>
            <c:size val="7"/>
            <c:spPr>
              <a:noFill/>
              <a:ln>
                <a:solidFill>
                  <a:srgbClr val="00B050"/>
                </a:solidFill>
              </a:ln>
              <a:effectLst/>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Volúmenes'!$T$7:$T$57</c:f>
              <c:numCache>
                <c:formatCode>0.00</c:formatCode>
                <c:ptCount val="51"/>
                <c:pt idx="0">
                  <c:v>145.21</c:v>
                </c:pt>
                <c:pt idx="1">
                  <c:v>143.88</c:v>
                </c:pt>
                <c:pt idx="2">
                  <c:v>139.38200000000001</c:v>
                </c:pt>
                <c:pt idx="3">
                  <c:v>135.79099490000002</c:v>
                </c:pt>
                <c:pt idx="4">
                  <c:v>150.04800029899999</c:v>
                </c:pt>
                <c:pt idx="5">
                  <c:v>174.31999966699999</c:v>
                </c:pt>
                <c:pt idx="6">
                  <c:v>262.93500039999998</c:v>
                </c:pt>
                <c:pt idx="7">
                  <c:v>279.08800121000002</c:v>
                </c:pt>
                <c:pt idx="8">
                  <c:v>283.79400062561007</c:v>
                </c:pt>
                <c:pt idx="9">
                  <c:v>286.24</c:v>
                </c:pt>
                <c:pt idx="10">
                  <c:v>285.01299476623473</c:v>
                </c:pt>
                <c:pt idx="11">
                  <c:v>279.96900081634436</c:v>
                </c:pt>
                <c:pt idx="12">
                  <c:v>286.54100227355917</c:v>
                </c:pt>
                <c:pt idx="13">
                  <c:v>288.78499984741165</c:v>
                </c:pt>
                <c:pt idx="14">
                  <c:v>293.26400000000001</c:v>
                </c:pt>
                <c:pt idx="15">
                  <c:v>292.87300071716299</c:v>
                </c:pt>
                <c:pt idx="16">
                  <c:v>289.06400012969908</c:v>
                </c:pt>
                <c:pt idx="17">
                  <c:v>283.7310012817382</c:v>
                </c:pt>
                <c:pt idx="18">
                  <c:v>278.90000000000003</c:v>
                </c:pt>
                <c:pt idx="19">
                  <c:v>274.65599975585928</c:v>
                </c:pt>
                <c:pt idx="20">
                  <c:v>269.74</c:v>
                </c:pt>
                <c:pt idx="21">
                  <c:v>265.4609997</c:v>
                </c:pt>
                <c:pt idx="22">
                  <c:v>261.10000000000002</c:v>
                </c:pt>
                <c:pt idx="23">
                  <c:v>256.25999989000002</c:v>
                </c:pt>
                <c:pt idx="24">
                  <c:v>252.54899978637627</c:v>
                </c:pt>
                <c:pt idx="25">
                  <c:v>248.26700022</c:v>
                </c:pt>
                <c:pt idx="26">
                  <c:v>243.86400222</c:v>
                </c:pt>
                <c:pt idx="27">
                  <c:v>239.07999988</c:v>
                </c:pt>
                <c:pt idx="28">
                  <c:v>234.2539968490598</c:v>
                </c:pt>
                <c:pt idx="29">
                  <c:v>229.68000125999998</c:v>
                </c:pt>
                <c:pt idx="30">
                  <c:v>224.73799990999998</c:v>
                </c:pt>
                <c:pt idx="31">
                  <c:v>219.00299835205058</c:v>
                </c:pt>
                <c:pt idx="32">
                  <c:v>214.38699817</c:v>
                </c:pt>
                <c:pt idx="33">
                  <c:v>208.95000171000001</c:v>
                </c:pt>
                <c:pt idx="34">
                  <c:v>202.97300145000003</c:v>
                </c:pt>
                <c:pt idx="35">
                  <c:v>196.95000080099999</c:v>
                </c:pt>
                <c:pt idx="36">
                  <c:v>190.78400421900002</c:v>
                </c:pt>
                <c:pt idx="37">
                  <c:v>184.44099947499998</c:v>
                </c:pt>
                <c:pt idx="38">
                  <c:v>177.93399906500002</c:v>
                </c:pt>
                <c:pt idx="39">
                  <c:v>171.68900227546672</c:v>
                </c:pt>
                <c:pt idx="40">
                  <c:v>165.69499874400003</c:v>
                </c:pt>
                <c:pt idx="41">
                  <c:v>160.397996525</c:v>
                </c:pt>
                <c:pt idx="42">
                  <c:v>154.79199918699999</c:v>
                </c:pt>
                <c:pt idx="43">
                  <c:v>149.715000041</c:v>
                </c:pt>
                <c:pt idx="44">
                  <c:v>144.11800040400001</c:v>
                </c:pt>
                <c:pt idx="45">
                  <c:v>138.82499813000001</c:v>
                </c:pt>
                <c:pt idx="46">
                  <c:v>133.112998957</c:v>
                </c:pt>
                <c:pt idx="47">
                  <c:v>128.370002666</c:v>
                </c:pt>
                <c:pt idx="48">
                  <c:v>122.71499820000001</c:v>
                </c:pt>
                <c:pt idx="49">
                  <c:v>120.15600296300001</c:v>
                </c:pt>
                <c:pt idx="50">
                  <c:v>116.12899696700001</c:v>
                </c:pt>
              </c:numCache>
            </c:numRef>
          </c:val>
          <c:smooth val="0"/>
          <c:extLst>
            <c:ext xmlns:c16="http://schemas.microsoft.com/office/drawing/2014/chart" uri="{C3380CC4-5D6E-409C-BE32-E72D297353CC}">
              <c16:uniqueId val="{00000002-47CE-4929-AC22-8EC513788285}"/>
            </c:ext>
          </c:extLst>
        </c:ser>
        <c:ser>
          <c:idx val="1"/>
          <c:order val="3"/>
          <c:tx>
            <c:strRef>
              <c:f>'11. Volúmenes'!$W$5</c:f>
              <c:strCache>
                <c:ptCount val="1"/>
                <c:pt idx="0">
                  <c:v>2019</c:v>
                </c:pt>
              </c:strCache>
            </c:strRef>
          </c:tx>
          <c:spPr>
            <a:ln w="6350"/>
          </c:spP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Volúmenes'!$W$6:$W$57</c:f>
              <c:numCache>
                <c:formatCode>General</c:formatCode>
                <c:ptCount val="52"/>
                <c:pt idx="0">
                  <c:v>190.20000426299998</c:v>
                </c:pt>
                <c:pt idx="1">
                  <c:v>185.80498987600001</c:v>
                </c:pt>
                <c:pt idx="2">
                  <c:v>190.06000000000003</c:v>
                </c:pt>
                <c:pt idx="3">
                  <c:v>198.06799936900001</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3"/>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2939.1774245275028</c:v>
                </c:pt>
                <c:pt idx="1">
                  <c:v>1157.3347639050003</c:v>
                </c:pt>
                <c:pt idx="2">
                  <c:v>0</c:v>
                </c:pt>
                <c:pt idx="3">
                  <c:v>0.92569475499999998</c:v>
                </c:pt>
                <c:pt idx="4">
                  <c:v>10.77701675</c:v>
                </c:pt>
                <c:pt idx="5">
                  <c:v>87.37300737999999</c:v>
                </c:pt>
                <c:pt idx="6">
                  <c:v>59.658878850000001</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1526.0166186499998</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4.0722708399999998</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7.1798674174999997</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12.904259422500001</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110.11578868249998</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56.281983437499996</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5283840646682012"/>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'12.Caudales'!$J$4:$K$163</c:f>
              <c:multiLvlStrCache>
                <c:ptCount val="16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lvl>
                <c:lvl>
                  <c:pt idx="0">
                    <c:v>2016</c:v>
                  </c:pt>
                  <c:pt idx="52">
                    <c:v>2017</c:v>
                  </c:pt>
                  <c:pt idx="104">
                    <c:v>2018</c:v>
                  </c:pt>
                  <c:pt idx="156">
                    <c:v>2019</c:v>
                  </c:pt>
                </c:lvl>
              </c:multiLvlStrCache>
            </c:multiLvlStrRef>
          </c:cat>
          <c:val>
            <c:numRef>
              <c:f>'12.Caudales'!$N$4:$N$163</c:f>
              <c:numCache>
                <c:formatCode>0.0</c:formatCode>
                <c:ptCount val="160"/>
                <c:pt idx="0">
                  <c:v>96.75</c:v>
                </c:pt>
                <c:pt idx="1">
                  <c:v>76.510000000000005</c:v>
                </c:pt>
                <c:pt idx="2">
                  <c:v>80.096000000000004</c:v>
                </c:pt>
                <c:pt idx="3">
                  <c:v>77.09</c:v>
                </c:pt>
                <c:pt idx="4">
                  <c:v>140.12</c:v>
                </c:pt>
                <c:pt idx="5">
                  <c:v>144.66999999999999</c:v>
                </c:pt>
                <c:pt idx="6">
                  <c:v>117.32</c:v>
                </c:pt>
                <c:pt idx="7">
                  <c:v>140.31</c:v>
                </c:pt>
                <c:pt idx="8">
                  <c:v>268.94750210000001</c:v>
                </c:pt>
                <c:pt idx="9">
                  <c:v>243.71150207519463</c:v>
                </c:pt>
                <c:pt idx="10">
                  <c:v>154.21</c:v>
                </c:pt>
                <c:pt idx="11">
                  <c:v>116.62271445138057</c:v>
                </c:pt>
                <c:pt idx="12">
                  <c:v>120.78800201416</c:v>
                </c:pt>
                <c:pt idx="13">
                  <c:v>125.66285814557708</c:v>
                </c:pt>
                <c:pt idx="14">
                  <c:v>127.68985639299636</c:v>
                </c:pt>
                <c:pt idx="15">
                  <c:v>97.4</c:v>
                </c:pt>
                <c:pt idx="16">
                  <c:v>85.487143380301248</c:v>
                </c:pt>
                <c:pt idx="17">
                  <c:v>62.369998931884716</c:v>
                </c:pt>
                <c:pt idx="18">
                  <c:v>58.684285300118525</c:v>
                </c:pt>
                <c:pt idx="19">
                  <c:v>54</c:v>
                </c:pt>
                <c:pt idx="20">
                  <c:v>50.756999969482365</c:v>
                </c:pt>
                <c:pt idx="21">
                  <c:v>46.59</c:v>
                </c:pt>
                <c:pt idx="22">
                  <c:v>40.29</c:v>
                </c:pt>
                <c:pt idx="23">
                  <c:v>35.630000000000003</c:v>
                </c:pt>
                <c:pt idx="24">
                  <c:v>34.608428410000002</c:v>
                </c:pt>
                <c:pt idx="25">
                  <c:v>34.074285510000003</c:v>
                </c:pt>
                <c:pt idx="26">
                  <c:v>29.599571770000001</c:v>
                </c:pt>
                <c:pt idx="27">
                  <c:v>29.3955713</c:v>
                </c:pt>
                <c:pt idx="28">
                  <c:v>32.468857079999999</c:v>
                </c:pt>
                <c:pt idx="29">
                  <c:v>32.112285890000003</c:v>
                </c:pt>
                <c:pt idx="30">
                  <c:v>29.132714407784558</c:v>
                </c:pt>
                <c:pt idx="31">
                  <c:v>34.150143489999998</c:v>
                </c:pt>
                <c:pt idx="32">
                  <c:v>35.225571223667643</c:v>
                </c:pt>
                <c:pt idx="33">
                  <c:v>35.168570930000001</c:v>
                </c:pt>
                <c:pt idx="34">
                  <c:v>37.824428560000001</c:v>
                </c:pt>
                <c:pt idx="35">
                  <c:v>39.78</c:v>
                </c:pt>
                <c:pt idx="36">
                  <c:v>44.25</c:v>
                </c:pt>
                <c:pt idx="37">
                  <c:v>41.311858039999997</c:v>
                </c:pt>
                <c:pt idx="38">
                  <c:v>41.13</c:v>
                </c:pt>
                <c:pt idx="39">
                  <c:v>46.466000694285704</c:v>
                </c:pt>
                <c:pt idx="40">
                  <c:v>37.273714882986837</c:v>
                </c:pt>
                <c:pt idx="41">
                  <c:v>48.572000228571433</c:v>
                </c:pt>
                <c:pt idx="42">
                  <c:v>35.32</c:v>
                </c:pt>
                <c:pt idx="43">
                  <c:v>36.83</c:v>
                </c:pt>
                <c:pt idx="44">
                  <c:v>39.520000000000003</c:v>
                </c:pt>
                <c:pt idx="45">
                  <c:v>53.38</c:v>
                </c:pt>
                <c:pt idx="46">
                  <c:v>61.853000000000002</c:v>
                </c:pt>
                <c:pt idx="47">
                  <c:v>65.330427987142869</c:v>
                </c:pt>
                <c:pt idx="48">
                  <c:v>66.680000000000007</c:v>
                </c:pt>
                <c:pt idx="49">
                  <c:v>61.31</c:v>
                </c:pt>
                <c:pt idx="50">
                  <c:v>70.790000000000006</c:v>
                </c:pt>
                <c:pt idx="51">
                  <c:v>77.434859137142865</c:v>
                </c:pt>
                <c:pt idx="52">
                  <c:v>103.58</c:v>
                </c:pt>
                <c:pt idx="53">
                  <c:v>105.01</c:v>
                </c:pt>
                <c:pt idx="54">
                  <c:v>137.41</c:v>
                </c:pt>
                <c:pt idx="55">
                  <c:v>127.83</c:v>
                </c:pt>
                <c:pt idx="56">
                  <c:v>97.31</c:v>
                </c:pt>
                <c:pt idx="57">
                  <c:v>123.44</c:v>
                </c:pt>
                <c:pt idx="58">
                  <c:v>145.02000000000001</c:v>
                </c:pt>
                <c:pt idx="59">
                  <c:v>175.03</c:v>
                </c:pt>
                <c:pt idx="60">
                  <c:v>206.14</c:v>
                </c:pt>
                <c:pt idx="61">
                  <c:v>270.17</c:v>
                </c:pt>
                <c:pt idx="62">
                  <c:v>376.42</c:v>
                </c:pt>
                <c:pt idx="63">
                  <c:v>351.57</c:v>
                </c:pt>
                <c:pt idx="64">
                  <c:v>384.37</c:v>
                </c:pt>
                <c:pt idx="65">
                  <c:v>337.84</c:v>
                </c:pt>
                <c:pt idx="66">
                  <c:v>282.32</c:v>
                </c:pt>
                <c:pt idx="67">
                  <c:v>191.65</c:v>
                </c:pt>
                <c:pt idx="68">
                  <c:v>160.35</c:v>
                </c:pt>
                <c:pt idx="69">
                  <c:v>136.65</c:v>
                </c:pt>
                <c:pt idx="70">
                  <c:v>135.97</c:v>
                </c:pt>
                <c:pt idx="71">
                  <c:v>135.66</c:v>
                </c:pt>
                <c:pt idx="72">
                  <c:v>113.82</c:v>
                </c:pt>
                <c:pt idx="73">
                  <c:v>64.03</c:v>
                </c:pt>
                <c:pt idx="74">
                  <c:v>53.15</c:v>
                </c:pt>
                <c:pt idx="75">
                  <c:v>45.98</c:v>
                </c:pt>
                <c:pt idx="76">
                  <c:v>38.68</c:v>
                </c:pt>
                <c:pt idx="77">
                  <c:v>34.68</c:v>
                </c:pt>
                <c:pt idx="78">
                  <c:v>31.72</c:v>
                </c:pt>
                <c:pt idx="79">
                  <c:v>29.25</c:v>
                </c:pt>
                <c:pt idx="80">
                  <c:v>29.53</c:v>
                </c:pt>
                <c:pt idx="81">
                  <c:v>27.62</c:v>
                </c:pt>
                <c:pt idx="82">
                  <c:v>27.99</c:v>
                </c:pt>
                <c:pt idx="83">
                  <c:v>31.42</c:v>
                </c:pt>
                <c:pt idx="84">
                  <c:v>29.71</c:v>
                </c:pt>
                <c:pt idx="85">
                  <c:v>30.51</c:v>
                </c:pt>
                <c:pt idx="86">
                  <c:v>27.5</c:v>
                </c:pt>
                <c:pt idx="87">
                  <c:v>26.21</c:v>
                </c:pt>
                <c:pt idx="88">
                  <c:v>29.98</c:v>
                </c:pt>
                <c:pt idx="89">
                  <c:v>34.369999999999997</c:v>
                </c:pt>
                <c:pt idx="90">
                  <c:v>42.17</c:v>
                </c:pt>
                <c:pt idx="91">
                  <c:v>37.270000000000003</c:v>
                </c:pt>
                <c:pt idx="92">
                  <c:v>40.04</c:v>
                </c:pt>
                <c:pt idx="93">
                  <c:v>35.79</c:v>
                </c:pt>
                <c:pt idx="94">
                  <c:v>50.36</c:v>
                </c:pt>
                <c:pt idx="95">
                  <c:v>54.94</c:v>
                </c:pt>
                <c:pt idx="96">
                  <c:v>41.16</c:v>
                </c:pt>
                <c:pt idx="97">
                  <c:v>42.65</c:v>
                </c:pt>
                <c:pt idx="98">
                  <c:v>39.76</c:v>
                </c:pt>
                <c:pt idx="99">
                  <c:v>47.388000487142854</c:v>
                </c:pt>
                <c:pt idx="100">
                  <c:v>78.087428497142852</c:v>
                </c:pt>
                <c:pt idx="101">
                  <c:v>69.764142717142846</c:v>
                </c:pt>
                <c:pt idx="102">
                  <c:v>71.14499991142857</c:v>
                </c:pt>
                <c:pt idx="103">
                  <c:v>83.196000228571435</c:v>
                </c:pt>
                <c:pt idx="104">
                  <c:v>69.087142857142865</c:v>
                </c:pt>
                <c:pt idx="105">
                  <c:v>96.785858138571413</c:v>
                </c:pt>
                <c:pt idx="106">
                  <c:v>158.17728531428571</c:v>
                </c:pt>
                <c:pt idx="107">
                  <c:v>167.02357267142858</c:v>
                </c:pt>
                <c:pt idx="108">
                  <c:v>113.19585745142855</c:v>
                </c:pt>
                <c:pt idx="109">
                  <c:v>88.535714287142852</c:v>
                </c:pt>
                <c:pt idx="110">
                  <c:v>99.37822619047617</c:v>
                </c:pt>
                <c:pt idx="111">
                  <c:v>140.28</c:v>
                </c:pt>
                <c:pt idx="112">
                  <c:v>102.99642836285715</c:v>
                </c:pt>
                <c:pt idx="113">
                  <c:v>175.90485927142853</c:v>
                </c:pt>
                <c:pt idx="114">
                  <c:v>169.64671761428571</c:v>
                </c:pt>
                <c:pt idx="115">
                  <c:v>198.22</c:v>
                </c:pt>
                <c:pt idx="116">
                  <c:v>312.6314304857143</c:v>
                </c:pt>
                <c:pt idx="117">
                  <c:v>235.31328691428573</c:v>
                </c:pt>
                <c:pt idx="118">
                  <c:v>294.1721409428572</c:v>
                </c:pt>
                <c:pt idx="119">
                  <c:v>149.18</c:v>
                </c:pt>
                <c:pt idx="120">
                  <c:v>104.35</c:v>
                </c:pt>
                <c:pt idx="121">
                  <c:v>78.038143701428567</c:v>
                </c:pt>
                <c:pt idx="122">
                  <c:v>78.313856942857129</c:v>
                </c:pt>
                <c:pt idx="123">
                  <c:v>130.92628696285712</c:v>
                </c:pt>
                <c:pt idx="124">
                  <c:v>64.449287412857146</c:v>
                </c:pt>
                <c:pt idx="125">
                  <c:v>64.449287412857146</c:v>
                </c:pt>
                <c:pt idx="126">
                  <c:v>39.50100054</c:v>
                </c:pt>
                <c:pt idx="127">
                  <c:v>33.690285274285714</c:v>
                </c:pt>
                <c:pt idx="128">
                  <c:v>30.228428704285715</c:v>
                </c:pt>
                <c:pt idx="129">
                  <c:v>27.872285568571431</c:v>
                </c:pt>
                <c:pt idx="130">
                  <c:v>27.257571358571429</c:v>
                </c:pt>
                <c:pt idx="131">
                  <c:v>27.217285974285712</c:v>
                </c:pt>
                <c:pt idx="132">
                  <c:v>24.955714285714286</c:v>
                </c:pt>
                <c:pt idx="133">
                  <c:v>24.80942862142857</c:v>
                </c:pt>
                <c:pt idx="134">
                  <c:v>25.690999999999999</c:v>
                </c:pt>
                <c:pt idx="135">
                  <c:v>27.630000251428573</c:v>
                </c:pt>
                <c:pt idx="136">
                  <c:v>23.78</c:v>
                </c:pt>
                <c:pt idx="137">
                  <c:v>23.527999878571428</c:v>
                </c:pt>
                <c:pt idx="138">
                  <c:v>23.29</c:v>
                </c:pt>
                <c:pt idx="139">
                  <c:v>23.007142857142856</c:v>
                </c:pt>
                <c:pt idx="140">
                  <c:v>23.173571724285711</c:v>
                </c:pt>
                <c:pt idx="141">
                  <c:v>26.454000201428567</c:v>
                </c:pt>
                <c:pt idx="142">
                  <c:v>23.7</c:v>
                </c:pt>
                <c:pt idx="143">
                  <c:v>23.695143017142858</c:v>
                </c:pt>
                <c:pt idx="144">
                  <c:v>28.113285882132363</c:v>
                </c:pt>
                <c:pt idx="145">
                  <c:v>37.073285511561743</c:v>
                </c:pt>
                <c:pt idx="146">
                  <c:v>70.535571507045162</c:v>
                </c:pt>
                <c:pt idx="147">
                  <c:v>55.183714184285712</c:v>
                </c:pt>
                <c:pt idx="148">
                  <c:v>60.445714132857141</c:v>
                </c:pt>
                <c:pt idx="149">
                  <c:v>57.005714285714291</c:v>
                </c:pt>
                <c:pt idx="150">
                  <c:v>103.00771440714287</c:v>
                </c:pt>
                <c:pt idx="151">
                  <c:v>99.828000734285709</c:v>
                </c:pt>
                <c:pt idx="152" formatCode="General">
                  <c:v>60.27571428571428</c:v>
                </c:pt>
                <c:pt idx="153" formatCode="General">
                  <c:v>46.701999664285715</c:v>
                </c:pt>
                <c:pt idx="154" formatCode="General">
                  <c:v>68.7</c:v>
                </c:pt>
                <c:pt idx="155" formatCode="General">
                  <c:v>97.347143448571416</c:v>
                </c:pt>
                <c:pt idx="156">
                  <c:v>78.298570904285711</c:v>
                </c:pt>
                <c:pt idx="157">
                  <c:v>95.081715179999989</c:v>
                </c:pt>
                <c:pt idx="158">
                  <c:v>95.65</c:v>
                </c:pt>
                <c:pt idx="159">
                  <c:v>109.29957036285714</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'12.Caudales'!$J$4:$K$163</c:f>
              <c:multiLvlStrCache>
                <c:ptCount val="16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lvl>
                <c:lvl>
                  <c:pt idx="0">
                    <c:v>2016</c:v>
                  </c:pt>
                  <c:pt idx="52">
                    <c:v>2017</c:v>
                  </c:pt>
                  <c:pt idx="104">
                    <c:v>2018</c:v>
                  </c:pt>
                  <c:pt idx="156">
                    <c:v>2019</c:v>
                  </c:pt>
                </c:lvl>
              </c:multiLvlStrCache>
            </c:multiLvlStrRef>
          </c:cat>
          <c:val>
            <c:numRef>
              <c:f>'12.Caudales'!$O$4:$O$163</c:f>
              <c:numCache>
                <c:formatCode>0.0</c:formatCode>
                <c:ptCount val="160"/>
                <c:pt idx="0">
                  <c:v>16.37</c:v>
                </c:pt>
                <c:pt idx="1">
                  <c:v>15.9</c:v>
                </c:pt>
                <c:pt idx="2">
                  <c:v>29.21</c:v>
                </c:pt>
                <c:pt idx="3">
                  <c:v>20.7</c:v>
                </c:pt>
                <c:pt idx="4">
                  <c:v>74.02</c:v>
                </c:pt>
                <c:pt idx="5">
                  <c:v>78.08</c:v>
                </c:pt>
                <c:pt idx="6">
                  <c:v>41.34</c:v>
                </c:pt>
                <c:pt idx="7">
                  <c:v>96.52</c:v>
                </c:pt>
                <c:pt idx="8">
                  <c:v>150.104332</c:v>
                </c:pt>
                <c:pt idx="9">
                  <c:v>181.79733530680286</c:v>
                </c:pt>
                <c:pt idx="10">
                  <c:v>79.12</c:v>
                </c:pt>
                <c:pt idx="11">
                  <c:v>41.373285293579045</c:v>
                </c:pt>
                <c:pt idx="12">
                  <c:v>93.665000915527301</c:v>
                </c:pt>
                <c:pt idx="13">
                  <c:v>131.74585723876913</c:v>
                </c:pt>
                <c:pt idx="14">
                  <c:v>71.706143515450577</c:v>
                </c:pt>
                <c:pt idx="15">
                  <c:v>53.49</c:v>
                </c:pt>
                <c:pt idx="16">
                  <c:v>51.424428122384178</c:v>
                </c:pt>
                <c:pt idx="17">
                  <c:v>34.353571755545424</c:v>
                </c:pt>
                <c:pt idx="18">
                  <c:v>29.207143238612552</c:v>
                </c:pt>
                <c:pt idx="19">
                  <c:v>22.1</c:v>
                </c:pt>
                <c:pt idx="20">
                  <c:v>17.473428726196214</c:v>
                </c:pt>
                <c:pt idx="21">
                  <c:v>17.04</c:v>
                </c:pt>
                <c:pt idx="22">
                  <c:v>22.12</c:v>
                </c:pt>
                <c:pt idx="23">
                  <c:v>13.87</c:v>
                </c:pt>
                <c:pt idx="24">
                  <c:v>10.78285721</c:v>
                </c:pt>
                <c:pt idx="25">
                  <c:v>9.5958572120000003</c:v>
                </c:pt>
                <c:pt idx="26">
                  <c:v>7.8892858370000001</c:v>
                </c:pt>
                <c:pt idx="27">
                  <c:v>7.2334286140000001</c:v>
                </c:pt>
                <c:pt idx="28">
                  <c:v>6.729428564</c:v>
                </c:pt>
                <c:pt idx="29">
                  <c:v>5.6338571819999999</c:v>
                </c:pt>
                <c:pt idx="30">
                  <c:v>5.181999887738904</c:v>
                </c:pt>
                <c:pt idx="31">
                  <c:v>4.8032856669999999</c:v>
                </c:pt>
                <c:pt idx="32">
                  <c:v>4.3821428843906904</c:v>
                </c:pt>
                <c:pt idx="33">
                  <c:v>13.837000059999999</c:v>
                </c:pt>
                <c:pt idx="34">
                  <c:v>3.922857182</c:v>
                </c:pt>
                <c:pt idx="35">
                  <c:v>4.9800000000000004</c:v>
                </c:pt>
                <c:pt idx="36">
                  <c:v>4.92</c:v>
                </c:pt>
                <c:pt idx="37">
                  <c:v>4.6447142870000002</c:v>
                </c:pt>
                <c:pt idx="38">
                  <c:v>4.2699999999999996</c:v>
                </c:pt>
                <c:pt idx="39">
                  <c:v>5.3634285927142864</c:v>
                </c:pt>
                <c:pt idx="40">
                  <c:v>6.9682856968470812</c:v>
                </c:pt>
                <c:pt idx="41">
                  <c:v>11.100428648285714</c:v>
                </c:pt>
                <c:pt idx="42">
                  <c:v>6.01</c:v>
                </c:pt>
                <c:pt idx="43">
                  <c:v>4.57</c:v>
                </c:pt>
                <c:pt idx="44">
                  <c:v>4.83</c:v>
                </c:pt>
                <c:pt idx="45">
                  <c:v>3.73</c:v>
                </c:pt>
                <c:pt idx="46">
                  <c:v>2.5211429999999999</c:v>
                </c:pt>
                <c:pt idx="47">
                  <c:v>3.571428503285714</c:v>
                </c:pt>
                <c:pt idx="48">
                  <c:v>6.1</c:v>
                </c:pt>
                <c:pt idx="49">
                  <c:v>6.69</c:v>
                </c:pt>
                <c:pt idx="50">
                  <c:v>13.15</c:v>
                </c:pt>
                <c:pt idx="51">
                  <c:v>17.75700037857143</c:v>
                </c:pt>
                <c:pt idx="52">
                  <c:v>29.67</c:v>
                </c:pt>
                <c:pt idx="53">
                  <c:v>51.2</c:v>
                </c:pt>
                <c:pt idx="54">
                  <c:v>43.26</c:v>
                </c:pt>
                <c:pt idx="55">
                  <c:v>32.72</c:v>
                </c:pt>
                <c:pt idx="56">
                  <c:v>48.46</c:v>
                </c:pt>
                <c:pt idx="57">
                  <c:v>72.52</c:v>
                </c:pt>
                <c:pt idx="58">
                  <c:v>59.16</c:v>
                </c:pt>
                <c:pt idx="59">
                  <c:v>24.36</c:v>
                </c:pt>
                <c:pt idx="60">
                  <c:v>39.07</c:v>
                </c:pt>
                <c:pt idx="61">
                  <c:v>109.16</c:v>
                </c:pt>
                <c:pt idx="62">
                  <c:v>188.18</c:v>
                </c:pt>
                <c:pt idx="63">
                  <c:v>159.6</c:v>
                </c:pt>
                <c:pt idx="64">
                  <c:v>161.77000000000001</c:v>
                </c:pt>
                <c:pt idx="65">
                  <c:v>115.43</c:v>
                </c:pt>
                <c:pt idx="66">
                  <c:v>98.92</c:v>
                </c:pt>
                <c:pt idx="67">
                  <c:v>82.48</c:v>
                </c:pt>
                <c:pt idx="68">
                  <c:v>77.02</c:v>
                </c:pt>
                <c:pt idx="69">
                  <c:v>62.63</c:v>
                </c:pt>
                <c:pt idx="70">
                  <c:v>93.03</c:v>
                </c:pt>
                <c:pt idx="71">
                  <c:v>72.349999999999994</c:v>
                </c:pt>
                <c:pt idx="72">
                  <c:v>90.75</c:v>
                </c:pt>
                <c:pt idx="73">
                  <c:v>53.02</c:v>
                </c:pt>
                <c:pt idx="74">
                  <c:v>32.43</c:v>
                </c:pt>
                <c:pt idx="75">
                  <c:v>27.75</c:v>
                </c:pt>
                <c:pt idx="76">
                  <c:v>24.81</c:v>
                </c:pt>
                <c:pt idx="77">
                  <c:v>21.81</c:v>
                </c:pt>
                <c:pt idx="78">
                  <c:v>18.649999999999999</c:v>
                </c:pt>
                <c:pt idx="79">
                  <c:v>14.27</c:v>
                </c:pt>
                <c:pt idx="80">
                  <c:v>11.51</c:v>
                </c:pt>
                <c:pt idx="81">
                  <c:v>9.7200000000000006</c:v>
                </c:pt>
                <c:pt idx="82">
                  <c:v>8.09</c:v>
                </c:pt>
                <c:pt idx="83">
                  <c:v>7.62</c:v>
                </c:pt>
                <c:pt idx="84">
                  <c:v>9.5500000000000007</c:v>
                </c:pt>
                <c:pt idx="85">
                  <c:v>10.75</c:v>
                </c:pt>
                <c:pt idx="86">
                  <c:v>8.31</c:v>
                </c:pt>
                <c:pt idx="87">
                  <c:v>6.53</c:v>
                </c:pt>
                <c:pt idx="88">
                  <c:v>9.7799999999999994</c:v>
                </c:pt>
                <c:pt idx="89">
                  <c:v>7.47</c:v>
                </c:pt>
                <c:pt idx="90">
                  <c:v>7.49</c:v>
                </c:pt>
                <c:pt idx="91">
                  <c:v>15.47</c:v>
                </c:pt>
                <c:pt idx="92">
                  <c:v>18</c:v>
                </c:pt>
                <c:pt idx="93">
                  <c:v>12.74</c:v>
                </c:pt>
                <c:pt idx="94">
                  <c:v>30.75</c:v>
                </c:pt>
                <c:pt idx="95">
                  <c:v>23.58</c:v>
                </c:pt>
                <c:pt idx="96">
                  <c:v>11.77</c:v>
                </c:pt>
                <c:pt idx="97">
                  <c:v>9.33</c:v>
                </c:pt>
                <c:pt idx="98">
                  <c:v>8.19</c:v>
                </c:pt>
                <c:pt idx="99">
                  <c:v>19.661285946</c:v>
                </c:pt>
                <c:pt idx="100">
                  <c:v>19.181428364285715</c:v>
                </c:pt>
                <c:pt idx="101">
                  <c:v>23.7245715</c:v>
                </c:pt>
                <c:pt idx="102">
                  <c:v>26.158142907142857</c:v>
                </c:pt>
                <c:pt idx="103">
                  <c:v>21.776999882857144</c:v>
                </c:pt>
                <c:pt idx="104">
                  <c:v>15.747142857142856</c:v>
                </c:pt>
                <c:pt idx="105">
                  <c:v>37.6</c:v>
                </c:pt>
                <c:pt idx="106">
                  <c:v>101.26128550142856</c:v>
                </c:pt>
                <c:pt idx="107">
                  <c:v>77.354000085714276</c:v>
                </c:pt>
                <c:pt idx="108">
                  <c:v>30.667142595714285</c:v>
                </c:pt>
                <c:pt idx="109">
                  <c:v>32.444142750000005</c:v>
                </c:pt>
                <c:pt idx="110">
                  <c:v>30.338148809523812</c:v>
                </c:pt>
                <c:pt idx="111">
                  <c:v>62.97</c:v>
                </c:pt>
                <c:pt idx="112">
                  <c:v>31.244571685714288</c:v>
                </c:pt>
                <c:pt idx="113">
                  <c:v>36.038285662857142</c:v>
                </c:pt>
                <c:pt idx="114">
                  <c:v>25.076428275714282</c:v>
                </c:pt>
                <c:pt idx="115">
                  <c:v>24.63</c:v>
                </c:pt>
                <c:pt idx="116">
                  <c:v>38.701428550000003</c:v>
                </c:pt>
                <c:pt idx="117">
                  <c:v>94.596427907142839</c:v>
                </c:pt>
                <c:pt idx="118">
                  <c:v>92.07</c:v>
                </c:pt>
                <c:pt idx="119">
                  <c:v>45.4</c:v>
                </c:pt>
                <c:pt idx="120">
                  <c:v>41.47</c:v>
                </c:pt>
                <c:pt idx="121">
                  <c:v>65.800999782857133</c:v>
                </c:pt>
                <c:pt idx="122">
                  <c:v>75.104713441428572</c:v>
                </c:pt>
                <c:pt idx="123">
                  <c:v>97.861000055714285</c:v>
                </c:pt>
                <c:pt idx="124">
                  <c:v>107.7964292242857</c:v>
                </c:pt>
                <c:pt idx="125">
                  <c:v>107.7964292242857</c:v>
                </c:pt>
                <c:pt idx="126">
                  <c:v>35.176713670000005</c:v>
                </c:pt>
                <c:pt idx="127">
                  <c:v>23.41942841571429</c:v>
                </c:pt>
                <c:pt idx="128">
                  <c:v>15.98614284142857</c:v>
                </c:pt>
                <c:pt idx="129">
                  <c:v>14.09042848857143</c:v>
                </c:pt>
                <c:pt idx="130">
                  <c:v>11.838857105714284</c:v>
                </c:pt>
                <c:pt idx="131">
                  <c:v>9.7789998731428565</c:v>
                </c:pt>
                <c:pt idx="132">
                  <c:v>8.4957142857142856</c:v>
                </c:pt>
                <c:pt idx="133">
                  <c:v>7.807428428142857</c:v>
                </c:pt>
                <c:pt idx="134">
                  <c:v>7.53</c:v>
                </c:pt>
                <c:pt idx="135">
                  <c:v>6.4074286734285701</c:v>
                </c:pt>
                <c:pt idx="136">
                  <c:v>4.9400000000000004</c:v>
                </c:pt>
                <c:pt idx="137">
                  <c:v>4.6688571658571432</c:v>
                </c:pt>
                <c:pt idx="138">
                  <c:v>4.5999999999999996</c:v>
                </c:pt>
                <c:pt idx="139">
                  <c:v>3.9657142857142857</c:v>
                </c:pt>
                <c:pt idx="140">
                  <c:v>3.5334285327142858</c:v>
                </c:pt>
                <c:pt idx="141">
                  <c:v>6.4914285118571433</c:v>
                </c:pt>
                <c:pt idx="142">
                  <c:v>4.9000000000000004</c:v>
                </c:pt>
                <c:pt idx="143">
                  <c:v>4.898285797571428</c:v>
                </c:pt>
                <c:pt idx="144">
                  <c:v>8.3430000032697169</c:v>
                </c:pt>
                <c:pt idx="145">
                  <c:v>7.2735712868826683</c:v>
                </c:pt>
                <c:pt idx="146">
                  <c:v>7.4324284962245324</c:v>
                </c:pt>
                <c:pt idx="147">
                  <c:v>15.801856994857145</c:v>
                </c:pt>
                <c:pt idx="148">
                  <c:v>26.432857787142858</c:v>
                </c:pt>
                <c:pt idx="149">
                  <c:v>53.502857142857145</c:v>
                </c:pt>
                <c:pt idx="150">
                  <c:v>53.459142955714292</c:v>
                </c:pt>
                <c:pt idx="151">
                  <c:v>45.539571760000008</c:v>
                </c:pt>
                <c:pt idx="152" formatCode="General">
                  <c:v>17.955714285714286</c:v>
                </c:pt>
                <c:pt idx="153" formatCode="General">
                  <c:v>13.432571411428571</c:v>
                </c:pt>
                <c:pt idx="154" formatCode="General">
                  <c:v>39.414285714285711</c:v>
                </c:pt>
                <c:pt idx="155" formatCode="General">
                  <c:v>65.679429182857149</c:v>
                </c:pt>
                <c:pt idx="156">
                  <c:v>21.927143370000003</c:v>
                </c:pt>
                <c:pt idx="157">
                  <c:v>22.397999900000002</c:v>
                </c:pt>
                <c:pt idx="158">
                  <c:v>17.61</c:v>
                </c:pt>
                <c:pt idx="159">
                  <c:v>17.638000354285712</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val>
            <c:numRef>
              <c:f>'12.Caudales'!$M$4:$M$163</c:f>
              <c:numCache>
                <c:formatCode>0.0</c:formatCode>
                <c:ptCount val="160"/>
                <c:pt idx="0">
                  <c:v>40.61</c:v>
                </c:pt>
                <c:pt idx="1">
                  <c:v>29.82</c:v>
                </c:pt>
                <c:pt idx="2">
                  <c:v>27.06</c:v>
                </c:pt>
                <c:pt idx="3">
                  <c:v>27.93</c:v>
                </c:pt>
                <c:pt idx="4">
                  <c:v>49.585999999999999</c:v>
                </c:pt>
                <c:pt idx="5">
                  <c:v>57</c:v>
                </c:pt>
                <c:pt idx="6">
                  <c:v>52.31</c:v>
                </c:pt>
                <c:pt idx="7">
                  <c:v>57.96</c:v>
                </c:pt>
                <c:pt idx="8">
                  <c:v>100.51885660000001</c:v>
                </c:pt>
                <c:pt idx="9">
                  <c:v>75.15657152448378</c:v>
                </c:pt>
                <c:pt idx="10">
                  <c:v>52.24</c:v>
                </c:pt>
                <c:pt idx="11">
                  <c:v>44.628571101597331</c:v>
                </c:pt>
                <c:pt idx="12">
                  <c:v>42.599998474121001</c:v>
                </c:pt>
                <c:pt idx="13">
                  <c:v>49.743000030517535</c:v>
                </c:pt>
                <c:pt idx="14">
                  <c:v>54.414285387311615</c:v>
                </c:pt>
                <c:pt idx="15">
                  <c:v>47.73</c:v>
                </c:pt>
                <c:pt idx="16">
                  <c:v>42.142857687813873</c:v>
                </c:pt>
                <c:pt idx="17">
                  <c:v>27.452428545270582</c:v>
                </c:pt>
                <c:pt idx="18">
                  <c:v>21.857142584664455</c:v>
                </c:pt>
                <c:pt idx="19">
                  <c:v>19.5</c:v>
                </c:pt>
                <c:pt idx="20">
                  <c:v>19.485713958740185</c:v>
                </c:pt>
                <c:pt idx="21">
                  <c:v>16.329999999999998</c:v>
                </c:pt>
                <c:pt idx="22">
                  <c:v>15.18</c:v>
                </c:pt>
                <c:pt idx="23">
                  <c:v>15.1</c:v>
                </c:pt>
                <c:pt idx="24">
                  <c:v>18.016999930000001</c:v>
                </c:pt>
                <c:pt idx="25">
                  <c:v>16.489714209999999</c:v>
                </c:pt>
                <c:pt idx="26">
                  <c:v>16.199999810000001</c:v>
                </c:pt>
                <c:pt idx="27">
                  <c:v>12.016285760000001</c:v>
                </c:pt>
                <c:pt idx="28">
                  <c:v>10.423571450000001</c:v>
                </c:pt>
                <c:pt idx="29">
                  <c:v>10.043285640000001</c:v>
                </c:pt>
                <c:pt idx="30">
                  <c:v>10.086428642272944</c:v>
                </c:pt>
                <c:pt idx="31">
                  <c:v>12.08228561</c:v>
                </c:pt>
                <c:pt idx="32">
                  <c:v>11.874000004359614</c:v>
                </c:pt>
                <c:pt idx="33">
                  <c:v>10.842857090000001</c:v>
                </c:pt>
                <c:pt idx="34">
                  <c:v>10.48142842</c:v>
                </c:pt>
                <c:pt idx="35">
                  <c:v>11.85</c:v>
                </c:pt>
                <c:pt idx="36">
                  <c:v>12.08</c:v>
                </c:pt>
                <c:pt idx="37">
                  <c:v>11.88371427</c:v>
                </c:pt>
                <c:pt idx="38">
                  <c:v>13.06</c:v>
                </c:pt>
                <c:pt idx="39">
                  <c:v>15.945571764285715</c:v>
                </c:pt>
                <c:pt idx="40">
                  <c:v>15.848856789725129</c:v>
                </c:pt>
                <c:pt idx="41">
                  <c:v>15.549142972857144</c:v>
                </c:pt>
                <c:pt idx="42">
                  <c:v>13.17</c:v>
                </c:pt>
                <c:pt idx="43">
                  <c:v>13.18</c:v>
                </c:pt>
                <c:pt idx="44">
                  <c:v>13.49</c:v>
                </c:pt>
                <c:pt idx="45">
                  <c:v>15.4</c:v>
                </c:pt>
                <c:pt idx="46">
                  <c:v>16.408999999999999</c:v>
                </c:pt>
                <c:pt idx="47">
                  <c:v>16.328857422857144</c:v>
                </c:pt>
                <c:pt idx="48">
                  <c:v>20.236285890000001</c:v>
                </c:pt>
                <c:pt idx="49">
                  <c:v>19.809999999999999</c:v>
                </c:pt>
                <c:pt idx="50">
                  <c:v>21.91</c:v>
                </c:pt>
                <c:pt idx="51">
                  <c:v>22</c:v>
                </c:pt>
                <c:pt idx="52">
                  <c:v>41.55</c:v>
                </c:pt>
                <c:pt idx="53">
                  <c:v>39.6</c:v>
                </c:pt>
                <c:pt idx="54">
                  <c:v>73.650000000000006</c:v>
                </c:pt>
                <c:pt idx="55">
                  <c:v>65.03</c:v>
                </c:pt>
                <c:pt idx="56">
                  <c:v>56.95</c:v>
                </c:pt>
                <c:pt idx="57">
                  <c:v>61.87</c:v>
                </c:pt>
                <c:pt idx="58">
                  <c:v>77.569999999999993</c:v>
                </c:pt>
                <c:pt idx="59">
                  <c:v>86.94</c:v>
                </c:pt>
                <c:pt idx="60">
                  <c:v>85.13</c:v>
                </c:pt>
                <c:pt idx="61">
                  <c:v>84.78</c:v>
                </c:pt>
                <c:pt idx="62">
                  <c:v>84.78</c:v>
                </c:pt>
                <c:pt idx="63">
                  <c:v>106.16</c:v>
                </c:pt>
                <c:pt idx="64">
                  <c:v>101.71</c:v>
                </c:pt>
                <c:pt idx="65">
                  <c:v>83.1</c:v>
                </c:pt>
                <c:pt idx="66">
                  <c:v>61.23</c:v>
                </c:pt>
                <c:pt idx="67">
                  <c:v>49.8</c:v>
                </c:pt>
                <c:pt idx="68">
                  <c:v>40.21</c:v>
                </c:pt>
                <c:pt idx="69">
                  <c:v>43.46</c:v>
                </c:pt>
                <c:pt idx="70">
                  <c:v>35.65</c:v>
                </c:pt>
                <c:pt idx="71">
                  <c:v>26.22</c:v>
                </c:pt>
                <c:pt idx="72">
                  <c:v>27.95</c:v>
                </c:pt>
                <c:pt idx="73">
                  <c:v>32.409999999999997</c:v>
                </c:pt>
                <c:pt idx="74">
                  <c:v>28.93</c:v>
                </c:pt>
                <c:pt idx="75">
                  <c:v>26.59</c:v>
                </c:pt>
                <c:pt idx="76">
                  <c:v>23.61</c:v>
                </c:pt>
                <c:pt idx="77">
                  <c:v>24.94</c:v>
                </c:pt>
                <c:pt idx="78">
                  <c:v>25.54</c:v>
                </c:pt>
                <c:pt idx="79">
                  <c:v>23.56</c:v>
                </c:pt>
                <c:pt idx="80">
                  <c:v>22.4</c:v>
                </c:pt>
                <c:pt idx="81">
                  <c:v>21.29</c:v>
                </c:pt>
                <c:pt idx="82">
                  <c:v>19.34</c:v>
                </c:pt>
                <c:pt idx="83">
                  <c:v>19.649999999999999</c:v>
                </c:pt>
                <c:pt idx="84">
                  <c:v>18.420000000000002</c:v>
                </c:pt>
                <c:pt idx="85">
                  <c:v>17.170000000000002</c:v>
                </c:pt>
                <c:pt idx="86">
                  <c:v>17.47</c:v>
                </c:pt>
                <c:pt idx="87">
                  <c:v>13.42</c:v>
                </c:pt>
                <c:pt idx="88">
                  <c:v>11.2</c:v>
                </c:pt>
                <c:pt idx="89">
                  <c:v>11</c:v>
                </c:pt>
                <c:pt idx="90">
                  <c:v>11.14</c:v>
                </c:pt>
                <c:pt idx="91">
                  <c:v>12.8</c:v>
                </c:pt>
                <c:pt idx="92">
                  <c:v>14.41</c:v>
                </c:pt>
                <c:pt idx="93">
                  <c:v>15.87</c:v>
                </c:pt>
                <c:pt idx="94">
                  <c:v>19.61</c:v>
                </c:pt>
                <c:pt idx="95">
                  <c:v>21.85</c:v>
                </c:pt>
                <c:pt idx="96">
                  <c:v>16.79</c:v>
                </c:pt>
                <c:pt idx="97">
                  <c:v>16.010000000000002</c:v>
                </c:pt>
                <c:pt idx="98">
                  <c:v>14.72</c:v>
                </c:pt>
                <c:pt idx="99">
                  <c:v>18.932000297142856</c:v>
                </c:pt>
                <c:pt idx="100">
                  <c:v>28.48371397</c:v>
                </c:pt>
                <c:pt idx="101">
                  <c:v>32.583286012857144</c:v>
                </c:pt>
                <c:pt idx="102">
                  <c:v>34.501856668571428</c:v>
                </c:pt>
                <c:pt idx="103">
                  <c:v>27.781857355714287</c:v>
                </c:pt>
                <c:pt idx="104">
                  <c:v>29.44</c:v>
                </c:pt>
                <c:pt idx="105">
                  <c:v>42.880857194285717</c:v>
                </c:pt>
                <c:pt idx="106">
                  <c:v>74.002572194285705</c:v>
                </c:pt>
                <c:pt idx="107">
                  <c:v>77.812570845714291</c:v>
                </c:pt>
                <c:pt idx="108">
                  <c:v>61.531714848571433</c:v>
                </c:pt>
                <c:pt idx="109">
                  <c:v>54.024142672857138</c:v>
                </c:pt>
                <c:pt idx="110">
                  <c:v>59.271427155714285</c:v>
                </c:pt>
                <c:pt idx="111">
                  <c:v>78.025571005714284</c:v>
                </c:pt>
                <c:pt idx="112">
                  <c:v>61.11871501571428</c:v>
                </c:pt>
                <c:pt idx="113">
                  <c:v>84.500714981428573</c:v>
                </c:pt>
                <c:pt idx="114">
                  <c:v>83.643855504285725</c:v>
                </c:pt>
                <c:pt idx="115">
                  <c:v>98.99</c:v>
                </c:pt>
                <c:pt idx="116">
                  <c:v>106.64928652857144</c:v>
                </c:pt>
                <c:pt idx="117">
                  <c:v>86.488428389999996</c:v>
                </c:pt>
                <c:pt idx="118">
                  <c:v>88.217001778571429</c:v>
                </c:pt>
                <c:pt idx="119">
                  <c:v>65.84</c:v>
                </c:pt>
                <c:pt idx="120">
                  <c:v>51.88</c:v>
                </c:pt>
                <c:pt idx="121">
                  <c:v>49.672285897142856</c:v>
                </c:pt>
                <c:pt idx="122">
                  <c:v>45.203000204285708</c:v>
                </c:pt>
                <c:pt idx="123">
                  <c:v>37.385857718571437</c:v>
                </c:pt>
                <c:pt idx="124">
                  <c:v>31.609713962857143</c:v>
                </c:pt>
                <c:pt idx="125">
                  <c:v>23.360142844285715</c:v>
                </c:pt>
                <c:pt idx="126">
                  <c:v>22.118571418571431</c:v>
                </c:pt>
                <c:pt idx="127">
                  <c:v>18.655142918571432</c:v>
                </c:pt>
                <c:pt idx="128">
                  <c:v>15.664428437142856</c:v>
                </c:pt>
                <c:pt idx="129">
                  <c:v>13.848143032857147</c:v>
                </c:pt>
                <c:pt idx="130">
                  <c:v>12.865857259999999</c:v>
                </c:pt>
                <c:pt idx="131">
                  <c:v>12.915285789999999</c:v>
                </c:pt>
                <c:pt idx="132">
                  <c:v>15.908571428571426</c:v>
                </c:pt>
                <c:pt idx="133">
                  <c:v>16.584000042857145</c:v>
                </c:pt>
                <c:pt idx="134">
                  <c:v>18.553000000000001</c:v>
                </c:pt>
                <c:pt idx="135">
                  <c:v>17.769714355714285</c:v>
                </c:pt>
                <c:pt idx="136">
                  <c:v>14.782857348571428</c:v>
                </c:pt>
                <c:pt idx="137">
                  <c:v>15.984000069999999</c:v>
                </c:pt>
                <c:pt idx="138">
                  <c:v>15.55</c:v>
                </c:pt>
                <c:pt idx="139">
                  <c:v>15.042857142857143</c:v>
                </c:pt>
                <c:pt idx="140">
                  <c:v>13.386857033</c:v>
                </c:pt>
                <c:pt idx="141">
                  <c:v>12.963714189999999</c:v>
                </c:pt>
                <c:pt idx="142">
                  <c:v>9.4700000000000006</c:v>
                </c:pt>
                <c:pt idx="143">
                  <c:v>9.6714286802857146</c:v>
                </c:pt>
                <c:pt idx="144">
                  <c:v>13.23900018419533</c:v>
                </c:pt>
                <c:pt idx="145">
                  <c:v>13.085142816816015</c:v>
                </c:pt>
                <c:pt idx="146">
                  <c:v>24.981571742466489</c:v>
                </c:pt>
                <c:pt idx="147">
                  <c:v>20.55814279714286</c:v>
                </c:pt>
                <c:pt idx="148">
                  <c:v>26.170000077142856</c:v>
                </c:pt>
                <c:pt idx="149">
                  <c:v>19.728571428571428</c:v>
                </c:pt>
                <c:pt idx="150">
                  <c:v>39.656714302857139</c:v>
                </c:pt>
                <c:pt idx="151">
                  <c:v>39.656714302857139</c:v>
                </c:pt>
                <c:pt idx="152" formatCode="General">
                  <c:v>22.62857142857143</c:v>
                </c:pt>
                <c:pt idx="153" formatCode="General">
                  <c:v>17.776714461428572</c:v>
                </c:pt>
                <c:pt idx="154" formatCode="General">
                  <c:v>34.085714285714282</c:v>
                </c:pt>
                <c:pt idx="155" formatCode="General">
                  <c:v>52.094142914285719</c:v>
                </c:pt>
                <c:pt idx="156">
                  <c:v>27.79999951142857</c:v>
                </c:pt>
                <c:pt idx="157">
                  <c:v>28.678571428571427</c:v>
                </c:pt>
                <c:pt idx="158">
                  <c:v>44.51</c:v>
                </c:pt>
                <c:pt idx="159">
                  <c:v>73.323141914285699</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0917390718557145"/>
              <c:y val="0.95220372705602407"/>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tickLblSkip val="255"/>
        <c:tickMarkSkip val="6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'13.Caudales'!$N$4:$O$163</c:f>
              <c:multiLvlStrCache>
                <c:ptCount val="16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lvl>
                <c:lvl>
                  <c:pt idx="0">
                    <c:v>2016</c:v>
                  </c:pt>
                  <c:pt idx="52">
                    <c:v>2017</c:v>
                  </c:pt>
                  <c:pt idx="104">
                    <c:v>2018</c:v>
                  </c:pt>
                  <c:pt idx="156">
                    <c:v>2019</c:v>
                  </c:pt>
                </c:lvl>
              </c:multiLvlStrCache>
            </c:multiLvlStrRef>
          </c:cat>
          <c:val>
            <c:numRef>
              <c:f>'13.Caudales'!$Q$4:$Q$163</c:f>
              <c:numCache>
                <c:formatCode>0.0</c:formatCode>
                <c:ptCount val="160"/>
                <c:pt idx="0">
                  <c:v>12.12</c:v>
                </c:pt>
                <c:pt idx="1">
                  <c:v>10.45</c:v>
                </c:pt>
                <c:pt idx="2">
                  <c:v>10.396000000000001</c:v>
                </c:pt>
                <c:pt idx="3">
                  <c:v>10.32</c:v>
                </c:pt>
                <c:pt idx="4">
                  <c:v>14.34</c:v>
                </c:pt>
                <c:pt idx="5">
                  <c:v>14.98</c:v>
                </c:pt>
                <c:pt idx="6">
                  <c:v>15.86</c:v>
                </c:pt>
                <c:pt idx="7">
                  <c:v>22.12</c:v>
                </c:pt>
                <c:pt idx="8">
                  <c:v>31.986428669999999</c:v>
                </c:pt>
                <c:pt idx="9">
                  <c:v>21.817856924874398</c:v>
                </c:pt>
                <c:pt idx="10">
                  <c:v>21.645000185285259</c:v>
                </c:pt>
                <c:pt idx="11">
                  <c:v>15.247000013078916</c:v>
                </c:pt>
                <c:pt idx="12">
                  <c:v>17.322999954223601</c:v>
                </c:pt>
                <c:pt idx="13">
                  <c:v>14.828142711094401</c:v>
                </c:pt>
                <c:pt idx="14">
                  <c:v>15.017142977033298</c:v>
                </c:pt>
                <c:pt idx="15">
                  <c:v>13.98</c:v>
                </c:pt>
                <c:pt idx="16">
                  <c:v>12.944285669999999</c:v>
                </c:pt>
                <c:pt idx="17">
                  <c:v>10.727142742701899</c:v>
                </c:pt>
                <c:pt idx="18">
                  <c:v>9.4342857088361427</c:v>
                </c:pt>
                <c:pt idx="19">
                  <c:v>9.1999999999999993</c:v>
                </c:pt>
                <c:pt idx="20">
                  <c:v>9.0128573008945967</c:v>
                </c:pt>
                <c:pt idx="21">
                  <c:v>7.95</c:v>
                </c:pt>
                <c:pt idx="22">
                  <c:v>7.6</c:v>
                </c:pt>
                <c:pt idx="23">
                  <c:v>9.57</c:v>
                </c:pt>
                <c:pt idx="24">
                  <c:v>9.0548571179999993</c:v>
                </c:pt>
                <c:pt idx="25">
                  <c:v>8.8612857550000008</c:v>
                </c:pt>
                <c:pt idx="26">
                  <c:v>8.3185714990000008</c:v>
                </c:pt>
                <c:pt idx="27">
                  <c:v>7.789714268</c:v>
                </c:pt>
                <c:pt idx="28">
                  <c:v>7.1615714349999999</c:v>
                </c:pt>
                <c:pt idx="29">
                  <c:v>6.6714285440000003</c:v>
                </c:pt>
                <c:pt idx="30">
                  <c:v>6.2387143543788328</c:v>
                </c:pt>
                <c:pt idx="31">
                  <c:v>6.1697142459999998</c:v>
                </c:pt>
                <c:pt idx="32">
                  <c:v>6.3728570940000004</c:v>
                </c:pt>
                <c:pt idx="33">
                  <c:v>6.1195714130000001</c:v>
                </c:pt>
                <c:pt idx="34">
                  <c:v>5.9814286230000002</c:v>
                </c:pt>
                <c:pt idx="35">
                  <c:v>6.03</c:v>
                </c:pt>
                <c:pt idx="36">
                  <c:v>6.03</c:v>
                </c:pt>
                <c:pt idx="37">
                  <c:v>6.5951428410000004</c:v>
                </c:pt>
                <c:pt idx="38">
                  <c:v>6.84</c:v>
                </c:pt>
                <c:pt idx="39">
                  <c:v>7.6862857681428576</c:v>
                </c:pt>
                <c:pt idx="40">
                  <c:v>7.1000001089913463</c:v>
                </c:pt>
                <c:pt idx="41">
                  <c:v>6.7610000201428573</c:v>
                </c:pt>
                <c:pt idx="42">
                  <c:v>6.53</c:v>
                </c:pt>
                <c:pt idx="43">
                  <c:v>7.58</c:v>
                </c:pt>
                <c:pt idx="44">
                  <c:v>6.95</c:v>
                </c:pt>
                <c:pt idx="45">
                  <c:v>6.8571429249999998</c:v>
                </c:pt>
                <c:pt idx="46">
                  <c:v>6.9940000260000001</c:v>
                </c:pt>
                <c:pt idx="47">
                  <c:v>7.1124285970000001</c:v>
                </c:pt>
                <c:pt idx="48">
                  <c:v>8.43</c:v>
                </c:pt>
                <c:pt idx="49">
                  <c:v>8.32</c:v>
                </c:pt>
                <c:pt idx="50">
                  <c:v>9.08</c:v>
                </c:pt>
                <c:pt idx="51">
                  <c:v>8.42</c:v>
                </c:pt>
                <c:pt idx="52">
                  <c:v>13.85</c:v>
                </c:pt>
                <c:pt idx="53">
                  <c:v>14.96</c:v>
                </c:pt>
                <c:pt idx="54">
                  <c:v>28.98</c:v>
                </c:pt>
                <c:pt idx="55">
                  <c:v>30.46</c:v>
                </c:pt>
                <c:pt idx="56">
                  <c:v>21.36</c:v>
                </c:pt>
                <c:pt idx="57">
                  <c:v>25.42</c:v>
                </c:pt>
                <c:pt idx="58">
                  <c:v>35.43</c:v>
                </c:pt>
                <c:pt idx="59">
                  <c:v>30.45</c:v>
                </c:pt>
                <c:pt idx="60">
                  <c:v>37.72</c:v>
                </c:pt>
                <c:pt idx="61">
                  <c:v>36.46</c:v>
                </c:pt>
                <c:pt idx="62">
                  <c:v>35.590000000000003</c:v>
                </c:pt>
                <c:pt idx="63">
                  <c:v>37.82</c:v>
                </c:pt>
                <c:pt idx="64">
                  <c:v>35.93</c:v>
                </c:pt>
                <c:pt idx="65">
                  <c:v>42.9</c:v>
                </c:pt>
                <c:pt idx="66">
                  <c:v>31.19</c:v>
                </c:pt>
                <c:pt idx="67">
                  <c:v>22.8</c:v>
                </c:pt>
                <c:pt idx="68">
                  <c:v>20.18</c:v>
                </c:pt>
                <c:pt idx="69">
                  <c:v>19.84</c:v>
                </c:pt>
                <c:pt idx="70">
                  <c:v>21.4</c:v>
                </c:pt>
                <c:pt idx="71">
                  <c:v>17.23</c:v>
                </c:pt>
                <c:pt idx="72">
                  <c:v>16.09</c:v>
                </c:pt>
                <c:pt idx="73">
                  <c:v>15.1</c:v>
                </c:pt>
                <c:pt idx="74">
                  <c:v>14.28</c:v>
                </c:pt>
                <c:pt idx="75">
                  <c:v>13.3</c:v>
                </c:pt>
                <c:pt idx="76">
                  <c:v>12.63</c:v>
                </c:pt>
                <c:pt idx="77">
                  <c:v>11.92</c:v>
                </c:pt>
                <c:pt idx="78">
                  <c:v>11.92</c:v>
                </c:pt>
                <c:pt idx="79">
                  <c:v>11.04</c:v>
                </c:pt>
                <c:pt idx="80">
                  <c:v>10.27</c:v>
                </c:pt>
                <c:pt idx="81">
                  <c:v>9.4700000000000006</c:v>
                </c:pt>
                <c:pt idx="82">
                  <c:v>9.0500000000000007</c:v>
                </c:pt>
                <c:pt idx="83">
                  <c:v>9.9</c:v>
                </c:pt>
                <c:pt idx="84">
                  <c:v>9.17</c:v>
                </c:pt>
                <c:pt idx="85">
                  <c:v>7.78</c:v>
                </c:pt>
                <c:pt idx="86">
                  <c:v>7.73</c:v>
                </c:pt>
                <c:pt idx="87">
                  <c:v>7.1</c:v>
                </c:pt>
                <c:pt idx="88">
                  <c:v>7.53</c:v>
                </c:pt>
                <c:pt idx="89">
                  <c:v>9.73</c:v>
                </c:pt>
                <c:pt idx="90">
                  <c:v>7.21</c:v>
                </c:pt>
                <c:pt idx="91">
                  <c:v>6.89</c:v>
                </c:pt>
                <c:pt idx="92">
                  <c:v>7.51</c:v>
                </c:pt>
                <c:pt idx="93">
                  <c:v>7.92</c:v>
                </c:pt>
                <c:pt idx="94">
                  <c:v>9.16</c:v>
                </c:pt>
                <c:pt idx="95">
                  <c:v>8.81</c:v>
                </c:pt>
                <c:pt idx="96">
                  <c:v>8.3800000000000008</c:v>
                </c:pt>
                <c:pt idx="97">
                  <c:v>7.55</c:v>
                </c:pt>
                <c:pt idx="98">
                  <c:v>7.39</c:v>
                </c:pt>
                <c:pt idx="99">
                  <c:v>7.9678571564285718</c:v>
                </c:pt>
                <c:pt idx="100">
                  <c:v>8.4875713758571436</c:v>
                </c:pt>
                <c:pt idx="101">
                  <c:v>8.7257142747142868</c:v>
                </c:pt>
                <c:pt idx="102">
                  <c:v>9.7215715127142861</c:v>
                </c:pt>
                <c:pt idx="103">
                  <c:v>10.323285784571427</c:v>
                </c:pt>
                <c:pt idx="104">
                  <c:v>10.34</c:v>
                </c:pt>
                <c:pt idx="105">
                  <c:v>13.730999947142859</c:v>
                </c:pt>
                <c:pt idx="106">
                  <c:v>15.983285902857142</c:v>
                </c:pt>
                <c:pt idx="107">
                  <c:v>21.988571574285714</c:v>
                </c:pt>
                <c:pt idx="108">
                  <c:v>17.729000225714284</c:v>
                </c:pt>
                <c:pt idx="109">
                  <c:v>13.582571572857143</c:v>
                </c:pt>
                <c:pt idx="110">
                  <c:v>14.722571237142859</c:v>
                </c:pt>
                <c:pt idx="111">
                  <c:v>18.48</c:v>
                </c:pt>
                <c:pt idx="112">
                  <c:v>21.652428627142854</c:v>
                </c:pt>
                <c:pt idx="113">
                  <c:v>30.272714344285713</c:v>
                </c:pt>
                <c:pt idx="114">
                  <c:v>28.071857179999999</c:v>
                </c:pt>
                <c:pt idx="115">
                  <c:v>29.90999984714286</c:v>
                </c:pt>
                <c:pt idx="116">
                  <c:v>28.360142844285718</c:v>
                </c:pt>
                <c:pt idx="117">
                  <c:v>23.830285752857144</c:v>
                </c:pt>
                <c:pt idx="118">
                  <c:v>27</c:v>
                </c:pt>
                <c:pt idx="119">
                  <c:v>19.899999999999999</c:v>
                </c:pt>
                <c:pt idx="120">
                  <c:v>19.14</c:v>
                </c:pt>
                <c:pt idx="121">
                  <c:v>19.703571455714286</c:v>
                </c:pt>
                <c:pt idx="122">
                  <c:v>15.48828561</c:v>
                </c:pt>
                <c:pt idx="123">
                  <c:v>14.601142882857145</c:v>
                </c:pt>
                <c:pt idx="124">
                  <c:v>13.411285537142858</c:v>
                </c:pt>
                <c:pt idx="125">
                  <c:v>12.490285737142855</c:v>
                </c:pt>
                <c:pt idx="126">
                  <c:v>12.278000014285713</c:v>
                </c:pt>
                <c:pt idx="127">
                  <c:v>10.882714271142857</c:v>
                </c:pt>
                <c:pt idx="128">
                  <c:v>10.290999957142857</c:v>
                </c:pt>
                <c:pt idx="129">
                  <c:v>9.5591429302857147</c:v>
                </c:pt>
                <c:pt idx="130">
                  <c:v>9.3137141635714293</c:v>
                </c:pt>
                <c:pt idx="131">
                  <c:v>8.7544284548571447</c:v>
                </c:pt>
                <c:pt idx="132">
                  <c:v>8.6149000000000004</c:v>
                </c:pt>
                <c:pt idx="133">
                  <c:v>8.1221428598571439</c:v>
                </c:pt>
                <c:pt idx="134">
                  <c:v>7.5620000000000003</c:v>
                </c:pt>
                <c:pt idx="135">
                  <c:v>8.4994284765714276</c:v>
                </c:pt>
                <c:pt idx="136">
                  <c:v>7.8117142411428571</c:v>
                </c:pt>
                <c:pt idx="137">
                  <c:v>6.44</c:v>
                </c:pt>
                <c:pt idx="138">
                  <c:v>7.5428571428571427</c:v>
                </c:pt>
                <c:pt idx="139">
                  <c:v>7.1671427998571433</c:v>
                </c:pt>
                <c:pt idx="140">
                  <c:v>7.1637143408571422</c:v>
                </c:pt>
                <c:pt idx="141">
                  <c:v>8.31</c:v>
                </c:pt>
                <c:pt idx="142">
                  <c:v>7.621428489714285</c:v>
                </c:pt>
                <c:pt idx="143">
                  <c:v>7.621428489714285</c:v>
                </c:pt>
                <c:pt idx="144">
                  <c:v>7.2698572022574259</c:v>
                </c:pt>
                <c:pt idx="145">
                  <c:v>6.2732856614249064</c:v>
                </c:pt>
                <c:pt idx="146">
                  <c:v>8.3208571161542526</c:v>
                </c:pt>
                <c:pt idx="147">
                  <c:v>9.2941429947142868</c:v>
                </c:pt>
                <c:pt idx="148">
                  <c:v>8.6642857274285721</c:v>
                </c:pt>
                <c:pt idx="149">
                  <c:v>8.5371428571428574</c:v>
                </c:pt>
                <c:pt idx="150">
                  <c:v>9.0094285692857135</c:v>
                </c:pt>
                <c:pt idx="151">
                  <c:v>8.5042856081428582</c:v>
                </c:pt>
                <c:pt idx="152">
                  <c:v>8.27</c:v>
                </c:pt>
                <c:pt idx="153">
                  <c:v>8.1765714374285707</c:v>
                </c:pt>
                <c:pt idx="154">
                  <c:v>10.342857142857142</c:v>
                </c:pt>
                <c:pt idx="155">
                  <c:v>10.661999840142856</c:v>
                </c:pt>
                <c:pt idx="156">
                  <c:v>8.992857251428573</c:v>
                </c:pt>
                <c:pt idx="157">
                  <c:v>7.4904285157142843</c:v>
                </c:pt>
                <c:pt idx="158">
                  <c:v>14.36</c:v>
                </c:pt>
                <c:pt idx="159">
                  <c:v>17.131428719999999</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'13.Caudales'!$N$4:$O$163</c:f>
              <c:multiLvlStrCache>
                <c:ptCount val="16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lvl>
                <c:lvl>
                  <c:pt idx="0">
                    <c:v>2016</c:v>
                  </c:pt>
                  <c:pt idx="52">
                    <c:v>2017</c:v>
                  </c:pt>
                  <c:pt idx="104">
                    <c:v>2018</c:v>
                  </c:pt>
                  <c:pt idx="156">
                    <c:v>2019</c:v>
                  </c:pt>
                </c:lvl>
              </c:multiLvlStrCache>
            </c:multiLvlStrRef>
          </c:cat>
          <c:val>
            <c:numRef>
              <c:f>'13.Caudales'!$R$4:$R$163</c:f>
              <c:numCache>
                <c:formatCode>0.0</c:formatCode>
                <c:ptCount val="160"/>
                <c:pt idx="0">
                  <c:v>8.33</c:v>
                </c:pt>
                <c:pt idx="1">
                  <c:v>5.38</c:v>
                </c:pt>
                <c:pt idx="2">
                  <c:v>5.29</c:v>
                </c:pt>
                <c:pt idx="3">
                  <c:v>6.0640000000000001</c:v>
                </c:pt>
                <c:pt idx="4">
                  <c:v>9.59</c:v>
                </c:pt>
                <c:pt idx="5">
                  <c:v>12.82</c:v>
                </c:pt>
                <c:pt idx="6">
                  <c:v>12.43</c:v>
                </c:pt>
                <c:pt idx="7">
                  <c:v>19.3</c:v>
                </c:pt>
                <c:pt idx="8">
                  <c:v>19.514333090000001</c:v>
                </c:pt>
                <c:pt idx="9">
                  <c:v>20.1870002746582</c:v>
                </c:pt>
                <c:pt idx="10">
                  <c:v>18.452999932425314</c:v>
                </c:pt>
                <c:pt idx="11">
                  <c:v>12.7100000381469</c:v>
                </c:pt>
                <c:pt idx="12">
                  <c:v>15.171999931335399</c:v>
                </c:pt>
                <c:pt idx="13">
                  <c:v>13.217000007629398</c:v>
                </c:pt>
                <c:pt idx="14">
                  <c:v>11.291000366210898</c:v>
                </c:pt>
                <c:pt idx="15">
                  <c:v>11.63</c:v>
                </c:pt>
                <c:pt idx="16">
                  <c:v>10.010000228881799</c:v>
                </c:pt>
                <c:pt idx="17">
                  <c:v>6.3112858363560251</c:v>
                </c:pt>
                <c:pt idx="18">
                  <c:v>7.4910001754760689</c:v>
                </c:pt>
                <c:pt idx="19">
                  <c:v>6.8</c:v>
                </c:pt>
                <c:pt idx="20">
                  <c:v>5.4099998474121005</c:v>
                </c:pt>
                <c:pt idx="21">
                  <c:v>3.82</c:v>
                </c:pt>
                <c:pt idx="22">
                  <c:v>3.22</c:v>
                </c:pt>
                <c:pt idx="23">
                  <c:v>3.42</c:v>
                </c:pt>
                <c:pt idx="24">
                  <c:v>3.2130000590000001</c:v>
                </c:pt>
                <c:pt idx="25">
                  <c:v>3.5</c:v>
                </c:pt>
                <c:pt idx="26">
                  <c:v>4.0900001530000001</c:v>
                </c:pt>
                <c:pt idx="27">
                  <c:v>3.119999886</c:v>
                </c:pt>
                <c:pt idx="28">
                  <c:v>3.4249999519999998</c:v>
                </c:pt>
                <c:pt idx="29">
                  <c:v>2.8789999489999998</c:v>
                </c:pt>
                <c:pt idx="30">
                  <c:v>2.9382856232779297</c:v>
                </c:pt>
                <c:pt idx="31">
                  <c:v>3.2030000689999998</c:v>
                </c:pt>
                <c:pt idx="32">
                  <c:v>2.841857144</c:v>
                </c:pt>
                <c:pt idx="33">
                  <c:v>3.058000088</c:v>
                </c:pt>
                <c:pt idx="34">
                  <c:v>1.506999969</c:v>
                </c:pt>
                <c:pt idx="35">
                  <c:v>2.8</c:v>
                </c:pt>
                <c:pt idx="36">
                  <c:v>2.37</c:v>
                </c:pt>
                <c:pt idx="37">
                  <c:v>3.0060000420000001</c:v>
                </c:pt>
                <c:pt idx="38">
                  <c:v>3.32</c:v>
                </c:pt>
                <c:pt idx="39">
                  <c:v>3.1560000009999998</c:v>
                </c:pt>
                <c:pt idx="40">
                  <c:v>2.9028571673801928</c:v>
                </c:pt>
                <c:pt idx="41">
                  <c:v>2.8671428815714286</c:v>
                </c:pt>
                <c:pt idx="42">
                  <c:v>2.37</c:v>
                </c:pt>
                <c:pt idx="43">
                  <c:v>4.8899999999999997</c:v>
                </c:pt>
                <c:pt idx="44">
                  <c:v>1.61</c:v>
                </c:pt>
                <c:pt idx="45">
                  <c:v>1.6428571599999999</c:v>
                </c:pt>
                <c:pt idx="46">
                  <c:v>1.5142857009999999</c:v>
                </c:pt>
                <c:pt idx="47">
                  <c:v>1.4714285645714287</c:v>
                </c:pt>
                <c:pt idx="48">
                  <c:v>2.2400000000000002</c:v>
                </c:pt>
                <c:pt idx="49">
                  <c:v>2.19</c:v>
                </c:pt>
                <c:pt idx="50">
                  <c:v>3.71</c:v>
                </c:pt>
                <c:pt idx="51">
                  <c:v>3.57</c:v>
                </c:pt>
                <c:pt idx="52">
                  <c:v>11.3</c:v>
                </c:pt>
                <c:pt idx="53">
                  <c:v>15.4</c:v>
                </c:pt>
                <c:pt idx="54">
                  <c:v>21.94</c:v>
                </c:pt>
                <c:pt idx="55">
                  <c:v>23.91</c:v>
                </c:pt>
                <c:pt idx="56">
                  <c:v>18.07</c:v>
                </c:pt>
                <c:pt idx="57">
                  <c:v>21.42</c:v>
                </c:pt>
                <c:pt idx="58">
                  <c:v>25.12</c:v>
                </c:pt>
                <c:pt idx="59">
                  <c:v>23.33</c:v>
                </c:pt>
                <c:pt idx="60">
                  <c:v>24.83</c:v>
                </c:pt>
                <c:pt idx="61">
                  <c:v>24.95</c:v>
                </c:pt>
                <c:pt idx="62">
                  <c:v>26.89</c:v>
                </c:pt>
                <c:pt idx="63">
                  <c:v>20.6</c:v>
                </c:pt>
                <c:pt idx="64">
                  <c:v>24.02</c:v>
                </c:pt>
                <c:pt idx="65">
                  <c:v>17.87</c:v>
                </c:pt>
                <c:pt idx="66">
                  <c:v>17.87</c:v>
                </c:pt>
                <c:pt idx="67">
                  <c:v>11.46</c:v>
                </c:pt>
                <c:pt idx="68">
                  <c:v>11.46</c:v>
                </c:pt>
                <c:pt idx="69">
                  <c:v>10.36</c:v>
                </c:pt>
                <c:pt idx="70">
                  <c:v>9.25</c:v>
                </c:pt>
                <c:pt idx="71">
                  <c:v>6.32</c:v>
                </c:pt>
                <c:pt idx="72">
                  <c:v>6.32</c:v>
                </c:pt>
                <c:pt idx="73">
                  <c:v>5.59</c:v>
                </c:pt>
                <c:pt idx="74">
                  <c:v>4.8499999999999996</c:v>
                </c:pt>
                <c:pt idx="75">
                  <c:v>4.8499999999999996</c:v>
                </c:pt>
                <c:pt idx="76">
                  <c:v>3.77</c:v>
                </c:pt>
                <c:pt idx="77">
                  <c:v>3.77</c:v>
                </c:pt>
                <c:pt idx="78">
                  <c:v>3.91</c:v>
                </c:pt>
                <c:pt idx="79">
                  <c:v>3.91</c:v>
                </c:pt>
                <c:pt idx="80">
                  <c:v>3.42</c:v>
                </c:pt>
                <c:pt idx="81">
                  <c:v>3.42</c:v>
                </c:pt>
                <c:pt idx="82">
                  <c:v>3.3</c:v>
                </c:pt>
                <c:pt idx="83">
                  <c:v>2.68</c:v>
                </c:pt>
                <c:pt idx="84">
                  <c:v>2.4300000000000002</c:v>
                </c:pt>
                <c:pt idx="85">
                  <c:v>2.61</c:v>
                </c:pt>
                <c:pt idx="86">
                  <c:v>3.07</c:v>
                </c:pt>
                <c:pt idx="87">
                  <c:v>3.57</c:v>
                </c:pt>
                <c:pt idx="88">
                  <c:v>5.04</c:v>
                </c:pt>
                <c:pt idx="89">
                  <c:v>3.75</c:v>
                </c:pt>
                <c:pt idx="90">
                  <c:v>3.83</c:v>
                </c:pt>
                <c:pt idx="91">
                  <c:v>3.2</c:v>
                </c:pt>
                <c:pt idx="92">
                  <c:v>3.26</c:v>
                </c:pt>
                <c:pt idx="93">
                  <c:v>3.59</c:v>
                </c:pt>
                <c:pt idx="94">
                  <c:v>3.99</c:v>
                </c:pt>
                <c:pt idx="95">
                  <c:v>5.0199999999999996</c:v>
                </c:pt>
                <c:pt idx="96">
                  <c:v>4.2</c:v>
                </c:pt>
                <c:pt idx="97">
                  <c:v>3.7</c:v>
                </c:pt>
                <c:pt idx="98">
                  <c:v>3.85</c:v>
                </c:pt>
                <c:pt idx="99">
                  <c:v>3.558142900428571</c:v>
                </c:pt>
                <c:pt idx="100">
                  <c:v>3.2600000074285718</c:v>
                </c:pt>
                <c:pt idx="101">
                  <c:v>3.4628571441428577</c:v>
                </c:pt>
                <c:pt idx="102">
                  <c:v>4.2539999484285715</c:v>
                </c:pt>
                <c:pt idx="103">
                  <c:v>4.6457142829999993</c:v>
                </c:pt>
                <c:pt idx="104">
                  <c:v>4.4628571428571426</c:v>
                </c:pt>
                <c:pt idx="105">
                  <c:v>3.5944285392857145</c:v>
                </c:pt>
                <c:pt idx="106">
                  <c:v>8.3045714242857152</c:v>
                </c:pt>
                <c:pt idx="107">
                  <c:v>15.598142828000002</c:v>
                </c:pt>
                <c:pt idx="108">
                  <c:v>13.724571365714285</c:v>
                </c:pt>
                <c:pt idx="109">
                  <c:v>8.6634286477142854</c:v>
                </c:pt>
                <c:pt idx="110">
                  <c:v>11.071428435428571</c:v>
                </c:pt>
                <c:pt idx="111">
                  <c:v>14.97</c:v>
                </c:pt>
                <c:pt idx="112">
                  <c:v>14.185285431142857</c:v>
                </c:pt>
                <c:pt idx="113">
                  <c:v>17.434571538571429</c:v>
                </c:pt>
                <c:pt idx="114">
                  <c:v>17.048571724285715</c:v>
                </c:pt>
                <c:pt idx="115">
                  <c:v>21.62</c:v>
                </c:pt>
                <c:pt idx="116">
                  <c:v>17.439428465714283</c:v>
                </c:pt>
                <c:pt idx="117">
                  <c:v>12.833285604571429</c:v>
                </c:pt>
                <c:pt idx="118">
                  <c:v>15.571285655714286</c:v>
                </c:pt>
                <c:pt idx="119">
                  <c:v>12.83</c:v>
                </c:pt>
                <c:pt idx="120">
                  <c:v>13.52</c:v>
                </c:pt>
                <c:pt idx="121">
                  <c:v>14.166857039571427</c:v>
                </c:pt>
                <c:pt idx="122">
                  <c:v>12.650857108142857</c:v>
                </c:pt>
                <c:pt idx="123">
                  <c:v>10.013285772</c:v>
                </c:pt>
                <c:pt idx="124">
                  <c:v>7.8631429672857154</c:v>
                </c:pt>
                <c:pt idx="125">
                  <c:v>6.4215714250000007</c:v>
                </c:pt>
                <c:pt idx="126">
                  <c:v>5.5577142921428564</c:v>
                </c:pt>
                <c:pt idx="127">
                  <c:v>5.3317142215714286</c:v>
                </c:pt>
                <c:pt idx="128">
                  <c:v>3.7498572211428569</c:v>
                </c:pt>
                <c:pt idx="129">
                  <c:v>3.5651427677142853</c:v>
                </c:pt>
                <c:pt idx="130">
                  <c:v>4.7600000245714282</c:v>
                </c:pt>
                <c:pt idx="131">
                  <c:v>2.5707143034285713</c:v>
                </c:pt>
                <c:pt idx="132">
                  <c:v>3.7006000000000001</c:v>
                </c:pt>
                <c:pt idx="133">
                  <c:v>4.9111429789999992</c:v>
                </c:pt>
                <c:pt idx="134">
                  <c:v>3.28</c:v>
                </c:pt>
                <c:pt idx="135">
                  <c:v>4.8781427315714287</c:v>
                </c:pt>
                <c:pt idx="136">
                  <c:v>4.5999999999999996</c:v>
                </c:pt>
                <c:pt idx="137">
                  <c:v>5.1568571165714285</c:v>
                </c:pt>
                <c:pt idx="138">
                  <c:v>2.15</c:v>
                </c:pt>
                <c:pt idx="139">
                  <c:v>4.8342857142857136</c:v>
                </c:pt>
                <c:pt idx="140">
                  <c:v>3.1535714688571423</c:v>
                </c:pt>
                <c:pt idx="141">
                  <c:v>3.3441428289999995</c:v>
                </c:pt>
                <c:pt idx="142">
                  <c:v>4.6500000000000004</c:v>
                </c:pt>
                <c:pt idx="143">
                  <c:v>5.128571373571428</c:v>
                </c:pt>
                <c:pt idx="144">
                  <c:v>4.8594285079410948</c:v>
                </c:pt>
                <c:pt idx="145">
                  <c:v>4.00314286776951</c:v>
                </c:pt>
                <c:pt idx="146">
                  <c:v>6.0481427737644662</c:v>
                </c:pt>
                <c:pt idx="147">
                  <c:v>7.6531428608571428</c:v>
                </c:pt>
                <c:pt idx="148">
                  <c:v>4.2061428341428568</c:v>
                </c:pt>
                <c:pt idx="149">
                  <c:v>5.9</c:v>
                </c:pt>
                <c:pt idx="150">
                  <c:v>7.1015714912857133</c:v>
                </c:pt>
                <c:pt idx="151">
                  <c:v>4.3617142950000005</c:v>
                </c:pt>
                <c:pt idx="152">
                  <c:v>6.9099999999999993</c:v>
                </c:pt>
                <c:pt idx="153">
                  <c:v>6.5639999597142857</c:v>
                </c:pt>
                <c:pt idx="154">
                  <c:v>7.3285714285714283</c:v>
                </c:pt>
                <c:pt idx="155">
                  <c:v>7.4820000789999996</c:v>
                </c:pt>
                <c:pt idx="156">
                  <c:v>4.4642857141428571</c:v>
                </c:pt>
                <c:pt idx="157">
                  <c:v>3.3685714177142856</c:v>
                </c:pt>
                <c:pt idx="158">
                  <c:v>10.74</c:v>
                </c:pt>
                <c:pt idx="159">
                  <c:v>11.155714580142858</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tickLblSkip val="20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517445072178465"/>
          <c:y val="0.18191753664452179"/>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62124993956389307"/>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'13.Caudales'!$N$4:$O$163</c:f>
              <c:multiLvlStrCache>
                <c:ptCount val="16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lvl>
                <c:lvl>
                  <c:pt idx="0">
                    <c:v>2016</c:v>
                  </c:pt>
                  <c:pt idx="52">
                    <c:v>2017</c:v>
                  </c:pt>
                  <c:pt idx="104">
                    <c:v>2018</c:v>
                  </c:pt>
                  <c:pt idx="156">
                    <c:v>2019</c:v>
                  </c:pt>
                </c:lvl>
              </c:multiLvlStrCache>
            </c:multiLvlStrRef>
          </c:cat>
          <c:val>
            <c:numRef>
              <c:f>'13.Caudales'!$S$4:$S$163</c:f>
              <c:numCache>
                <c:formatCode>0.0</c:formatCode>
                <c:ptCount val="160"/>
                <c:pt idx="0">
                  <c:v>165.03200000000001</c:v>
                </c:pt>
                <c:pt idx="1">
                  <c:v>137.04</c:v>
                </c:pt>
                <c:pt idx="2">
                  <c:v>102.45</c:v>
                </c:pt>
                <c:pt idx="3">
                  <c:v>93.71</c:v>
                </c:pt>
                <c:pt idx="4">
                  <c:v>142.55000000000001</c:v>
                </c:pt>
                <c:pt idx="5">
                  <c:v>223.15</c:v>
                </c:pt>
                <c:pt idx="6">
                  <c:v>223.86</c:v>
                </c:pt>
                <c:pt idx="7">
                  <c:v>297.45999999999998</c:v>
                </c:pt>
                <c:pt idx="8">
                  <c:v>326.48699649999998</c:v>
                </c:pt>
                <c:pt idx="9">
                  <c:v>281.91442869999997</c:v>
                </c:pt>
                <c:pt idx="10">
                  <c:v>302.97000000000003</c:v>
                </c:pt>
                <c:pt idx="11">
                  <c:v>179.33771623883899</c:v>
                </c:pt>
                <c:pt idx="12">
                  <c:v>130.67500305175699</c:v>
                </c:pt>
                <c:pt idx="13">
                  <c:v>121.81457192557171</c:v>
                </c:pt>
                <c:pt idx="14">
                  <c:v>184.69442967006074</c:v>
                </c:pt>
                <c:pt idx="15">
                  <c:v>164.52</c:v>
                </c:pt>
                <c:pt idx="16">
                  <c:v>152.88357325962556</c:v>
                </c:pt>
                <c:pt idx="17">
                  <c:v>98.225285121372636</c:v>
                </c:pt>
                <c:pt idx="18">
                  <c:v>86.615142822265582</c:v>
                </c:pt>
                <c:pt idx="19">
                  <c:v>78.2</c:v>
                </c:pt>
                <c:pt idx="20">
                  <c:v>73.744141714913454</c:v>
                </c:pt>
                <c:pt idx="21">
                  <c:v>66.739999999999995</c:v>
                </c:pt>
                <c:pt idx="22">
                  <c:v>59.4</c:v>
                </c:pt>
                <c:pt idx="23">
                  <c:v>54.3</c:v>
                </c:pt>
                <c:pt idx="24">
                  <c:v>56.674428669999998</c:v>
                </c:pt>
                <c:pt idx="25">
                  <c:v>68.087428501674069</c:v>
                </c:pt>
                <c:pt idx="26">
                  <c:v>60.110428400000004</c:v>
                </c:pt>
                <c:pt idx="27">
                  <c:v>60.986856189999997</c:v>
                </c:pt>
                <c:pt idx="28">
                  <c:v>56.540714260000001</c:v>
                </c:pt>
                <c:pt idx="29">
                  <c:v>65.491856709999993</c:v>
                </c:pt>
                <c:pt idx="30">
                  <c:v>65.491856711251344</c:v>
                </c:pt>
                <c:pt idx="31">
                  <c:v>49.942714418571427</c:v>
                </c:pt>
                <c:pt idx="32">
                  <c:v>57.183571406773112</c:v>
                </c:pt>
                <c:pt idx="33">
                  <c:v>49.366142269999997</c:v>
                </c:pt>
                <c:pt idx="34">
                  <c:v>56.934856959999998</c:v>
                </c:pt>
                <c:pt idx="35">
                  <c:v>48.51</c:v>
                </c:pt>
                <c:pt idx="36">
                  <c:v>43.99</c:v>
                </c:pt>
                <c:pt idx="37">
                  <c:v>47.220570700000003</c:v>
                </c:pt>
                <c:pt idx="38">
                  <c:v>63.05</c:v>
                </c:pt>
                <c:pt idx="39">
                  <c:v>61.54114314571428</c:v>
                </c:pt>
                <c:pt idx="40">
                  <c:v>58.117285592215353</c:v>
                </c:pt>
                <c:pt idx="41">
                  <c:v>58.888142721428572</c:v>
                </c:pt>
                <c:pt idx="42">
                  <c:v>69.2</c:v>
                </c:pt>
                <c:pt idx="43">
                  <c:v>51.59</c:v>
                </c:pt>
                <c:pt idx="44">
                  <c:v>72.92</c:v>
                </c:pt>
                <c:pt idx="45">
                  <c:v>58.4</c:v>
                </c:pt>
                <c:pt idx="46">
                  <c:v>52.554856440000002</c:v>
                </c:pt>
                <c:pt idx="47">
                  <c:v>53.429429191428575</c:v>
                </c:pt>
                <c:pt idx="48">
                  <c:v>61.07</c:v>
                </c:pt>
                <c:pt idx="49">
                  <c:v>78.02</c:v>
                </c:pt>
                <c:pt idx="50">
                  <c:v>67.64</c:v>
                </c:pt>
                <c:pt idx="51">
                  <c:v>56.187571937142856</c:v>
                </c:pt>
                <c:pt idx="52">
                  <c:v>104.02</c:v>
                </c:pt>
                <c:pt idx="53">
                  <c:v>143.97</c:v>
                </c:pt>
                <c:pt idx="54">
                  <c:v>355.12</c:v>
                </c:pt>
                <c:pt idx="55">
                  <c:v>519.4</c:v>
                </c:pt>
                <c:pt idx="56">
                  <c:v>330.78</c:v>
                </c:pt>
                <c:pt idx="57">
                  <c:v>200.58</c:v>
                </c:pt>
                <c:pt idx="58">
                  <c:v>393.69</c:v>
                </c:pt>
                <c:pt idx="59">
                  <c:v>345.37</c:v>
                </c:pt>
                <c:pt idx="60">
                  <c:v>567.22</c:v>
                </c:pt>
                <c:pt idx="61">
                  <c:v>467.04</c:v>
                </c:pt>
                <c:pt idx="62">
                  <c:v>448.3</c:v>
                </c:pt>
                <c:pt idx="63">
                  <c:v>350.87</c:v>
                </c:pt>
                <c:pt idx="64">
                  <c:v>380.48</c:v>
                </c:pt>
                <c:pt idx="65">
                  <c:v>427.28</c:v>
                </c:pt>
                <c:pt idx="66">
                  <c:v>334.14</c:v>
                </c:pt>
                <c:pt idx="67">
                  <c:v>218.96</c:v>
                </c:pt>
                <c:pt idx="68">
                  <c:v>180.47</c:v>
                </c:pt>
                <c:pt idx="69">
                  <c:v>212.89</c:v>
                </c:pt>
                <c:pt idx="70">
                  <c:v>199.54</c:v>
                </c:pt>
                <c:pt idx="71">
                  <c:v>136.84</c:v>
                </c:pt>
                <c:pt idx="72">
                  <c:v>116.86</c:v>
                </c:pt>
                <c:pt idx="73">
                  <c:v>118.58</c:v>
                </c:pt>
                <c:pt idx="74">
                  <c:v>112.05</c:v>
                </c:pt>
                <c:pt idx="75">
                  <c:v>91.62</c:v>
                </c:pt>
                <c:pt idx="76">
                  <c:v>81.33</c:v>
                </c:pt>
                <c:pt idx="77">
                  <c:v>80.900000000000006</c:v>
                </c:pt>
                <c:pt idx="78">
                  <c:v>82.99</c:v>
                </c:pt>
                <c:pt idx="79">
                  <c:v>71.739999999999995</c:v>
                </c:pt>
                <c:pt idx="80">
                  <c:v>67.8</c:v>
                </c:pt>
                <c:pt idx="81">
                  <c:v>69.62</c:v>
                </c:pt>
                <c:pt idx="82">
                  <c:v>61.71</c:v>
                </c:pt>
                <c:pt idx="83">
                  <c:v>65.38</c:v>
                </c:pt>
                <c:pt idx="84">
                  <c:v>59.63</c:v>
                </c:pt>
                <c:pt idx="85">
                  <c:v>60.62</c:v>
                </c:pt>
                <c:pt idx="86">
                  <c:v>58.47</c:v>
                </c:pt>
                <c:pt idx="87">
                  <c:v>61.13</c:v>
                </c:pt>
                <c:pt idx="88">
                  <c:v>59.93</c:v>
                </c:pt>
                <c:pt idx="89">
                  <c:v>64.319999999999993</c:v>
                </c:pt>
                <c:pt idx="90">
                  <c:v>66.83</c:v>
                </c:pt>
                <c:pt idx="91">
                  <c:v>56.32</c:v>
                </c:pt>
                <c:pt idx="92">
                  <c:v>57.18</c:v>
                </c:pt>
                <c:pt idx="93">
                  <c:v>71.87</c:v>
                </c:pt>
                <c:pt idx="94">
                  <c:v>73.22</c:v>
                </c:pt>
                <c:pt idx="95">
                  <c:v>75.150000000000006</c:v>
                </c:pt>
                <c:pt idx="96">
                  <c:v>67.39</c:v>
                </c:pt>
                <c:pt idx="97">
                  <c:v>66.959999999999994</c:v>
                </c:pt>
                <c:pt idx="98">
                  <c:v>67.72</c:v>
                </c:pt>
                <c:pt idx="99">
                  <c:v>77.366571698571434</c:v>
                </c:pt>
                <c:pt idx="100">
                  <c:v>84.55585806714285</c:v>
                </c:pt>
                <c:pt idx="101">
                  <c:v>77.460142951428566</c:v>
                </c:pt>
                <c:pt idx="102">
                  <c:v>78.166143688571424</c:v>
                </c:pt>
                <c:pt idx="103">
                  <c:v>86.972714017142849</c:v>
                </c:pt>
                <c:pt idx="104">
                  <c:v>140.04142857142858</c:v>
                </c:pt>
                <c:pt idx="105">
                  <c:v>209.91800362857143</c:v>
                </c:pt>
                <c:pt idx="106">
                  <c:v>223.6645725857143</c:v>
                </c:pt>
                <c:pt idx="107">
                  <c:v>346.88342720000003</c:v>
                </c:pt>
                <c:pt idx="108">
                  <c:v>214.95928737142859</c:v>
                </c:pt>
                <c:pt idx="109">
                  <c:v>166.34242902857142</c:v>
                </c:pt>
                <c:pt idx="110">
                  <c:v>239.50057330000001</c:v>
                </c:pt>
                <c:pt idx="111">
                  <c:v>357.61814662857148</c:v>
                </c:pt>
                <c:pt idx="112">
                  <c:v>333.90885488571433</c:v>
                </c:pt>
                <c:pt idx="113">
                  <c:v>431.64157101428572</c:v>
                </c:pt>
                <c:pt idx="114">
                  <c:v>485.98543439999997</c:v>
                </c:pt>
                <c:pt idx="115">
                  <c:v>465.24414497142863</c:v>
                </c:pt>
                <c:pt idx="116">
                  <c:v>396.37686155714289</c:v>
                </c:pt>
                <c:pt idx="117">
                  <c:v>226.32643345714288</c:v>
                </c:pt>
                <c:pt idx="118">
                  <c:v>207.40800040000002</c:v>
                </c:pt>
                <c:pt idx="119">
                  <c:v>166.38871437142856</c:v>
                </c:pt>
                <c:pt idx="120">
                  <c:v>168.19342804285716</c:v>
                </c:pt>
                <c:pt idx="121">
                  <c:v>171.5428597714286</c:v>
                </c:pt>
                <c:pt idx="122">
                  <c:v>146.54485865714287</c:v>
                </c:pt>
                <c:pt idx="123">
                  <c:v>112.76242937142857</c:v>
                </c:pt>
                <c:pt idx="124">
                  <c:v>94.636570517142857</c:v>
                </c:pt>
                <c:pt idx="125">
                  <c:v>81.718714031428576</c:v>
                </c:pt>
                <c:pt idx="126">
                  <c:v>83.760285512857152</c:v>
                </c:pt>
                <c:pt idx="127">
                  <c:v>82.799001421428557</c:v>
                </c:pt>
                <c:pt idx="128">
                  <c:v>74.093855721428568</c:v>
                </c:pt>
                <c:pt idx="129">
                  <c:v>66.795142037142867</c:v>
                </c:pt>
                <c:pt idx="130">
                  <c:v>67.368571689999996</c:v>
                </c:pt>
                <c:pt idx="131">
                  <c:v>65.073571887142847</c:v>
                </c:pt>
                <c:pt idx="132">
                  <c:v>62.515714285714289</c:v>
                </c:pt>
                <c:pt idx="133">
                  <c:v>57.148857115714286</c:v>
                </c:pt>
                <c:pt idx="134">
                  <c:v>58.768000000000001</c:v>
                </c:pt>
                <c:pt idx="135">
                  <c:v>54.703428540000004</c:v>
                </c:pt>
                <c:pt idx="136">
                  <c:v>59.066285269999995</c:v>
                </c:pt>
                <c:pt idx="137">
                  <c:v>82.033571515714272</c:v>
                </c:pt>
                <c:pt idx="138">
                  <c:v>71.48</c:v>
                </c:pt>
                <c:pt idx="139">
                  <c:v>63.092857142857149</c:v>
                </c:pt>
                <c:pt idx="140">
                  <c:v>61.141713821428574</c:v>
                </c:pt>
                <c:pt idx="141">
                  <c:v>49.664428712857145</c:v>
                </c:pt>
                <c:pt idx="142">
                  <c:v>42.24</c:v>
                </c:pt>
                <c:pt idx="143">
                  <c:v>38.906285422857138</c:v>
                </c:pt>
                <c:pt idx="144">
                  <c:v>42.923713956560341</c:v>
                </c:pt>
                <c:pt idx="145">
                  <c:v>73.976001194545148</c:v>
                </c:pt>
                <c:pt idx="146">
                  <c:v>97.234427315848038</c:v>
                </c:pt>
                <c:pt idx="147">
                  <c:v>120.62971387142855</c:v>
                </c:pt>
                <c:pt idx="148">
                  <c:v>125.43157086857143</c:v>
                </c:pt>
                <c:pt idx="149">
                  <c:v>78.757142857142853</c:v>
                </c:pt>
                <c:pt idx="150">
                  <c:v>88.111712864285735</c:v>
                </c:pt>
                <c:pt idx="151">
                  <c:v>80.151286534285717</c:v>
                </c:pt>
                <c:pt idx="152">
                  <c:v>66.555714285714288</c:v>
                </c:pt>
                <c:pt idx="153">
                  <c:v>61.602715082857152</c:v>
                </c:pt>
                <c:pt idx="154">
                  <c:v>53.9</c:v>
                </c:pt>
                <c:pt idx="155">
                  <c:v>57.504999978571433</c:v>
                </c:pt>
                <c:pt idx="156">
                  <c:v>57.514999934285704</c:v>
                </c:pt>
                <c:pt idx="157">
                  <c:v>63.363856724285711</c:v>
                </c:pt>
                <c:pt idx="158">
                  <c:v>80.75</c:v>
                </c:pt>
                <c:pt idx="159">
                  <c:v>85.689570837142853</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'13.Caudales'!$N$4:$O$163</c:f>
              <c:multiLvlStrCache>
                <c:ptCount val="16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lvl>
                <c:lvl>
                  <c:pt idx="0">
                    <c:v>2016</c:v>
                  </c:pt>
                  <c:pt idx="52">
                    <c:v>2017</c:v>
                  </c:pt>
                  <c:pt idx="104">
                    <c:v>2018</c:v>
                  </c:pt>
                  <c:pt idx="156">
                    <c:v>2019</c:v>
                  </c:pt>
                </c:lvl>
              </c:multiLvlStrCache>
            </c:multiLvlStrRef>
          </c:cat>
          <c:val>
            <c:numRef>
              <c:f>'13.Caudales'!$T$4:$T$163</c:f>
              <c:numCache>
                <c:formatCode>0.0</c:formatCode>
                <c:ptCount val="160"/>
                <c:pt idx="0">
                  <c:v>95.83</c:v>
                </c:pt>
                <c:pt idx="1">
                  <c:v>78.260000000000005</c:v>
                </c:pt>
                <c:pt idx="2">
                  <c:v>101.264</c:v>
                </c:pt>
                <c:pt idx="3">
                  <c:v>79.73</c:v>
                </c:pt>
                <c:pt idx="4">
                  <c:v>128.66</c:v>
                </c:pt>
                <c:pt idx="5">
                  <c:v>174.87</c:v>
                </c:pt>
                <c:pt idx="6">
                  <c:v>126.56</c:v>
                </c:pt>
                <c:pt idx="7">
                  <c:v>188.83</c:v>
                </c:pt>
                <c:pt idx="8">
                  <c:v>170.33500290000001</c:v>
                </c:pt>
                <c:pt idx="9">
                  <c:v>164.05856977190246</c:v>
                </c:pt>
                <c:pt idx="10">
                  <c:v>146.11571393694155</c:v>
                </c:pt>
                <c:pt idx="11">
                  <c:v>114.18428584507485</c:v>
                </c:pt>
                <c:pt idx="12">
                  <c:v>89.040000915527301</c:v>
                </c:pt>
                <c:pt idx="13">
                  <c:v>78.037142072405103</c:v>
                </c:pt>
                <c:pt idx="14">
                  <c:v>74.048570905412902</c:v>
                </c:pt>
                <c:pt idx="15">
                  <c:v>81.069999999999993</c:v>
                </c:pt>
                <c:pt idx="16">
                  <c:v>64.311428070000005</c:v>
                </c:pt>
                <c:pt idx="17">
                  <c:v>46.242857796805197</c:v>
                </c:pt>
                <c:pt idx="18">
                  <c:v>41.954286302838973</c:v>
                </c:pt>
                <c:pt idx="19">
                  <c:v>39.6</c:v>
                </c:pt>
                <c:pt idx="20">
                  <c:v>44.79285812377924</c:v>
                </c:pt>
                <c:pt idx="21">
                  <c:v>34.01</c:v>
                </c:pt>
                <c:pt idx="22">
                  <c:v>28.71</c:v>
                </c:pt>
                <c:pt idx="23">
                  <c:v>30.83</c:v>
                </c:pt>
                <c:pt idx="24">
                  <c:v>25.690000260000001</c:v>
                </c:pt>
                <c:pt idx="25">
                  <c:v>30.317143300000001</c:v>
                </c:pt>
                <c:pt idx="26">
                  <c:v>28.581429350000001</c:v>
                </c:pt>
                <c:pt idx="27">
                  <c:v>27.099999836512943</c:v>
                </c:pt>
                <c:pt idx="28">
                  <c:v>23.477142610000001</c:v>
                </c:pt>
                <c:pt idx="29">
                  <c:v>21.095714300000001</c:v>
                </c:pt>
                <c:pt idx="30">
                  <c:v>20.037142889840243</c:v>
                </c:pt>
                <c:pt idx="31">
                  <c:v>23.275714059999999</c:v>
                </c:pt>
                <c:pt idx="32">
                  <c:v>22.619999750000002</c:v>
                </c:pt>
                <c:pt idx="33">
                  <c:v>25.04757145</c:v>
                </c:pt>
                <c:pt idx="34">
                  <c:v>21.374285830000002</c:v>
                </c:pt>
                <c:pt idx="35">
                  <c:v>22.661428449999999</c:v>
                </c:pt>
                <c:pt idx="36">
                  <c:v>19.149999999999999</c:v>
                </c:pt>
                <c:pt idx="37">
                  <c:v>22.304285589999999</c:v>
                </c:pt>
                <c:pt idx="38">
                  <c:v>48.7</c:v>
                </c:pt>
                <c:pt idx="39">
                  <c:v>37.928571428999994</c:v>
                </c:pt>
                <c:pt idx="40">
                  <c:v>48.921429225376635</c:v>
                </c:pt>
                <c:pt idx="41">
                  <c:v>55.619142805714283</c:v>
                </c:pt>
                <c:pt idx="42">
                  <c:v>54.58</c:v>
                </c:pt>
                <c:pt idx="43">
                  <c:v>57.65</c:v>
                </c:pt>
                <c:pt idx="44">
                  <c:v>67.069999999999993</c:v>
                </c:pt>
                <c:pt idx="45">
                  <c:v>34.982142860000003</c:v>
                </c:pt>
                <c:pt idx="46">
                  <c:v>29.07742855</c:v>
                </c:pt>
                <c:pt idx="47">
                  <c:v>88.059571399999996</c:v>
                </c:pt>
                <c:pt idx="48">
                  <c:v>106.59</c:v>
                </c:pt>
                <c:pt idx="49">
                  <c:v>104.79</c:v>
                </c:pt>
                <c:pt idx="50">
                  <c:v>69.61</c:v>
                </c:pt>
                <c:pt idx="51">
                  <c:v>58.452428545714284</c:v>
                </c:pt>
                <c:pt idx="52">
                  <c:v>148.43</c:v>
                </c:pt>
                <c:pt idx="53">
                  <c:v>175.88</c:v>
                </c:pt>
                <c:pt idx="54">
                  <c:v>177.57</c:v>
                </c:pt>
                <c:pt idx="55">
                  <c:v>205.76</c:v>
                </c:pt>
                <c:pt idx="56">
                  <c:v>123.41</c:v>
                </c:pt>
                <c:pt idx="57">
                  <c:v>108.48</c:v>
                </c:pt>
                <c:pt idx="58">
                  <c:v>144.62</c:v>
                </c:pt>
                <c:pt idx="59">
                  <c:v>140.63</c:v>
                </c:pt>
                <c:pt idx="60">
                  <c:v>245.85</c:v>
                </c:pt>
                <c:pt idx="61">
                  <c:v>188.01</c:v>
                </c:pt>
                <c:pt idx="62">
                  <c:v>169.95</c:v>
                </c:pt>
                <c:pt idx="63">
                  <c:v>146.01</c:v>
                </c:pt>
                <c:pt idx="64">
                  <c:v>173.02</c:v>
                </c:pt>
                <c:pt idx="65">
                  <c:v>137.65</c:v>
                </c:pt>
                <c:pt idx="66">
                  <c:v>129.9</c:v>
                </c:pt>
                <c:pt idx="67">
                  <c:v>100.66</c:v>
                </c:pt>
                <c:pt idx="68">
                  <c:v>91.24</c:v>
                </c:pt>
                <c:pt idx="69">
                  <c:v>98.95</c:v>
                </c:pt>
                <c:pt idx="70">
                  <c:v>89.02</c:v>
                </c:pt>
                <c:pt idx="71">
                  <c:v>72.95</c:v>
                </c:pt>
                <c:pt idx="72">
                  <c:v>99.42</c:v>
                </c:pt>
                <c:pt idx="73">
                  <c:v>79.099999999999994</c:v>
                </c:pt>
                <c:pt idx="74">
                  <c:v>63.27</c:v>
                </c:pt>
                <c:pt idx="75">
                  <c:v>49.79</c:v>
                </c:pt>
                <c:pt idx="76">
                  <c:v>46.74</c:v>
                </c:pt>
                <c:pt idx="77">
                  <c:v>41.45</c:v>
                </c:pt>
                <c:pt idx="78">
                  <c:v>60.31</c:v>
                </c:pt>
                <c:pt idx="79">
                  <c:v>39.090000000000003</c:v>
                </c:pt>
                <c:pt idx="80">
                  <c:v>32.590000000000003</c:v>
                </c:pt>
                <c:pt idx="81">
                  <c:v>28.39</c:v>
                </c:pt>
                <c:pt idx="82">
                  <c:v>26.51</c:v>
                </c:pt>
                <c:pt idx="83">
                  <c:v>24.1</c:v>
                </c:pt>
                <c:pt idx="84">
                  <c:v>24.29</c:v>
                </c:pt>
                <c:pt idx="85">
                  <c:v>25.9</c:v>
                </c:pt>
                <c:pt idx="86">
                  <c:v>26.33</c:v>
                </c:pt>
                <c:pt idx="87">
                  <c:v>27.35</c:v>
                </c:pt>
                <c:pt idx="88">
                  <c:v>34.56</c:v>
                </c:pt>
                <c:pt idx="89">
                  <c:v>41.74</c:v>
                </c:pt>
                <c:pt idx="90">
                  <c:v>46.48</c:v>
                </c:pt>
                <c:pt idx="91">
                  <c:v>28.11</c:v>
                </c:pt>
                <c:pt idx="92">
                  <c:v>32.11</c:v>
                </c:pt>
                <c:pt idx="93">
                  <c:v>64.69</c:v>
                </c:pt>
                <c:pt idx="94">
                  <c:v>71.16</c:v>
                </c:pt>
                <c:pt idx="95">
                  <c:v>62.33</c:v>
                </c:pt>
                <c:pt idx="96">
                  <c:v>61.76</c:v>
                </c:pt>
                <c:pt idx="97">
                  <c:v>66.040000000000006</c:v>
                </c:pt>
                <c:pt idx="98">
                  <c:v>52.82</c:v>
                </c:pt>
                <c:pt idx="99">
                  <c:v>66.577285762857144</c:v>
                </c:pt>
                <c:pt idx="100">
                  <c:v>72.732000077142857</c:v>
                </c:pt>
                <c:pt idx="101">
                  <c:v>64.097142899999994</c:v>
                </c:pt>
                <c:pt idx="102">
                  <c:v>94.237856191428577</c:v>
                </c:pt>
                <c:pt idx="103">
                  <c:v>94.357285634285716</c:v>
                </c:pt>
                <c:pt idx="104">
                  <c:v>143.09</c:v>
                </c:pt>
                <c:pt idx="105">
                  <c:v>160.98214394285716</c:v>
                </c:pt>
                <c:pt idx="106">
                  <c:v>190.44042751428574</c:v>
                </c:pt>
                <c:pt idx="107">
                  <c:v>205.5832868285714</c:v>
                </c:pt>
                <c:pt idx="108">
                  <c:v>93.607142857142861</c:v>
                </c:pt>
                <c:pt idx="109">
                  <c:v>108.25571334000001</c:v>
                </c:pt>
                <c:pt idx="110">
                  <c:v>202.98199900000003</c:v>
                </c:pt>
                <c:pt idx="111">
                  <c:v>251.1</c:v>
                </c:pt>
                <c:pt idx="112">
                  <c:v>204.95843285714287</c:v>
                </c:pt>
                <c:pt idx="113">
                  <c:v>177.15485925714287</c:v>
                </c:pt>
                <c:pt idx="114">
                  <c:v>169.375</c:v>
                </c:pt>
                <c:pt idx="115">
                  <c:v>201.58328465714288</c:v>
                </c:pt>
                <c:pt idx="116">
                  <c:v>163.75585502857143</c:v>
                </c:pt>
                <c:pt idx="117">
                  <c:v>133.53585814285714</c:v>
                </c:pt>
                <c:pt idx="118">
                  <c:v>107.59514291428572</c:v>
                </c:pt>
                <c:pt idx="119">
                  <c:v>95.78</c:v>
                </c:pt>
                <c:pt idx="120">
                  <c:v>95.39</c:v>
                </c:pt>
                <c:pt idx="121">
                  <c:v>85.958285739999994</c:v>
                </c:pt>
                <c:pt idx="122">
                  <c:v>88.244000028571435</c:v>
                </c:pt>
                <c:pt idx="123">
                  <c:v>64.809571402857145</c:v>
                </c:pt>
                <c:pt idx="124">
                  <c:v>49.303714208571428</c:v>
                </c:pt>
                <c:pt idx="125">
                  <c:v>42.928571428571431</c:v>
                </c:pt>
                <c:pt idx="126">
                  <c:v>67.797571451428567</c:v>
                </c:pt>
                <c:pt idx="127">
                  <c:v>63.982142857142854</c:v>
                </c:pt>
                <c:pt idx="128">
                  <c:v>53.035571505714287</c:v>
                </c:pt>
                <c:pt idx="129">
                  <c:v>40.369000025714286</c:v>
                </c:pt>
                <c:pt idx="130">
                  <c:v>33.409999999999997</c:v>
                </c:pt>
                <c:pt idx="131">
                  <c:v>33.160714285714285</c:v>
                </c:pt>
                <c:pt idx="132">
                  <c:v>35.738</c:v>
                </c:pt>
                <c:pt idx="133">
                  <c:v>85.065429679999994</c:v>
                </c:pt>
                <c:pt idx="134">
                  <c:v>40.375</c:v>
                </c:pt>
                <c:pt idx="135">
                  <c:v>52.946428571428569</c:v>
                </c:pt>
                <c:pt idx="136">
                  <c:v>47.13</c:v>
                </c:pt>
                <c:pt idx="137">
                  <c:v>63.892999920000001</c:v>
                </c:pt>
                <c:pt idx="138">
                  <c:v>45.64</c:v>
                </c:pt>
                <c:pt idx="139">
                  <c:v>34.571428571428569</c:v>
                </c:pt>
                <c:pt idx="140">
                  <c:v>28.744000025714286</c:v>
                </c:pt>
                <c:pt idx="141">
                  <c:v>35.571571351428574</c:v>
                </c:pt>
                <c:pt idx="142">
                  <c:v>39.39</c:v>
                </c:pt>
                <c:pt idx="143">
                  <c:v>41.34000069857143</c:v>
                </c:pt>
                <c:pt idx="144">
                  <c:v>56.607142857142847</c:v>
                </c:pt>
                <c:pt idx="145">
                  <c:v>89.232285635811792</c:v>
                </c:pt>
                <c:pt idx="146">
                  <c:v>125.70828465052978</c:v>
                </c:pt>
                <c:pt idx="147">
                  <c:v>157.60714285714286</c:v>
                </c:pt>
                <c:pt idx="148">
                  <c:v>105.63685608857143</c:v>
                </c:pt>
                <c:pt idx="149">
                  <c:v>79.304285714285712</c:v>
                </c:pt>
                <c:pt idx="150">
                  <c:v>74.684428622857141</c:v>
                </c:pt>
                <c:pt idx="151">
                  <c:v>95.303570342857142</c:v>
                </c:pt>
                <c:pt idx="152">
                  <c:v>54.31</c:v>
                </c:pt>
                <c:pt idx="153">
                  <c:v>52.47614288285714</c:v>
                </c:pt>
                <c:pt idx="154">
                  <c:v>126.14285714285714</c:v>
                </c:pt>
                <c:pt idx="155">
                  <c:v>100.38085719714286</c:v>
                </c:pt>
                <c:pt idx="156">
                  <c:v>79.871427261428579</c:v>
                </c:pt>
                <c:pt idx="157">
                  <c:v>84.184571402857145</c:v>
                </c:pt>
                <c:pt idx="158">
                  <c:v>149.30000000000001</c:v>
                </c:pt>
                <c:pt idx="159">
                  <c:v>168.80999974285714</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val>
            <c:numRef>
              <c:f>'13.Caudales'!$U$4:$U$163</c:f>
              <c:numCache>
                <c:formatCode>0.0</c:formatCode>
                <c:ptCount val="160"/>
                <c:pt idx="0">
                  <c:v>18.5</c:v>
                </c:pt>
                <c:pt idx="1">
                  <c:v>13.1</c:v>
                </c:pt>
                <c:pt idx="2">
                  <c:v>15.26</c:v>
                </c:pt>
                <c:pt idx="3">
                  <c:v>12.66</c:v>
                </c:pt>
                <c:pt idx="4">
                  <c:v>24.24</c:v>
                </c:pt>
                <c:pt idx="5">
                  <c:v>35.18</c:v>
                </c:pt>
                <c:pt idx="6">
                  <c:v>25.04</c:v>
                </c:pt>
                <c:pt idx="7">
                  <c:v>26.72</c:v>
                </c:pt>
                <c:pt idx="8">
                  <c:v>30.940000529999999</c:v>
                </c:pt>
                <c:pt idx="9">
                  <c:v>30.751428604125927</c:v>
                </c:pt>
                <c:pt idx="10">
                  <c:v>26.230000359671411</c:v>
                </c:pt>
                <c:pt idx="11">
                  <c:v>18.61999988555905</c:v>
                </c:pt>
                <c:pt idx="12">
                  <c:v>15.310000419616699</c:v>
                </c:pt>
                <c:pt idx="13">
                  <c:v>14.082857131957956</c:v>
                </c:pt>
                <c:pt idx="14">
                  <c:v>17.312857082911869</c:v>
                </c:pt>
                <c:pt idx="15">
                  <c:v>21.07</c:v>
                </c:pt>
                <c:pt idx="16">
                  <c:v>16.638571469999999</c:v>
                </c:pt>
                <c:pt idx="17">
                  <c:v>10.637142998831566</c:v>
                </c:pt>
                <c:pt idx="18">
                  <c:v>9.4342857088361427</c:v>
                </c:pt>
                <c:pt idx="19">
                  <c:v>8.6</c:v>
                </c:pt>
                <c:pt idx="20">
                  <c:v>10.11999988555907</c:v>
                </c:pt>
                <c:pt idx="21">
                  <c:v>8.15</c:v>
                </c:pt>
                <c:pt idx="22">
                  <c:v>7.74</c:v>
                </c:pt>
                <c:pt idx="23">
                  <c:v>7.53</c:v>
                </c:pt>
                <c:pt idx="24">
                  <c:v>6.9342856409999998</c:v>
                </c:pt>
                <c:pt idx="25">
                  <c:v>8.8971428190000008</c:v>
                </c:pt>
                <c:pt idx="26">
                  <c:v>7.9442856649999998</c:v>
                </c:pt>
                <c:pt idx="27">
                  <c:v>7.4514284819999999</c:v>
                </c:pt>
                <c:pt idx="28">
                  <c:v>6.2828570089999998</c:v>
                </c:pt>
                <c:pt idx="29">
                  <c:v>5.8057142669999999</c:v>
                </c:pt>
                <c:pt idx="30">
                  <c:v>5.4814286231994549</c:v>
                </c:pt>
                <c:pt idx="31">
                  <c:v>5.8257142479999997</c:v>
                </c:pt>
                <c:pt idx="32">
                  <c:v>5.5228571210000004</c:v>
                </c:pt>
                <c:pt idx="33">
                  <c:v>5.8727143149999996</c:v>
                </c:pt>
                <c:pt idx="34">
                  <c:v>4.9342857090000001</c:v>
                </c:pt>
                <c:pt idx="35">
                  <c:v>4.9800000000000004</c:v>
                </c:pt>
                <c:pt idx="36">
                  <c:v>5.31</c:v>
                </c:pt>
                <c:pt idx="37">
                  <c:v>5.581428528</c:v>
                </c:pt>
                <c:pt idx="38">
                  <c:v>7.81</c:v>
                </c:pt>
                <c:pt idx="39">
                  <c:v>7.9165713450000004</c:v>
                </c:pt>
                <c:pt idx="40">
                  <c:v>8.5942858287266173</c:v>
                </c:pt>
                <c:pt idx="41">
                  <c:v>9.5089999614285716</c:v>
                </c:pt>
                <c:pt idx="42">
                  <c:v>8.23</c:v>
                </c:pt>
                <c:pt idx="43">
                  <c:v>7.72</c:v>
                </c:pt>
                <c:pt idx="44">
                  <c:v>6.9</c:v>
                </c:pt>
                <c:pt idx="45">
                  <c:v>5.0667143550000002</c:v>
                </c:pt>
                <c:pt idx="46">
                  <c:v>4.2727143420000004</c:v>
                </c:pt>
                <c:pt idx="47">
                  <c:v>7.879285812428571</c:v>
                </c:pt>
                <c:pt idx="48">
                  <c:v>16.09</c:v>
                </c:pt>
                <c:pt idx="49">
                  <c:v>18.649999999999999</c:v>
                </c:pt>
                <c:pt idx="50">
                  <c:v>11.22</c:v>
                </c:pt>
                <c:pt idx="51">
                  <c:v>8.01</c:v>
                </c:pt>
                <c:pt idx="52">
                  <c:v>24.1</c:v>
                </c:pt>
                <c:pt idx="53">
                  <c:v>33.74</c:v>
                </c:pt>
                <c:pt idx="54">
                  <c:v>35.49</c:v>
                </c:pt>
                <c:pt idx="55">
                  <c:v>48.48</c:v>
                </c:pt>
                <c:pt idx="56">
                  <c:v>25.33</c:v>
                </c:pt>
                <c:pt idx="57">
                  <c:v>22.99</c:v>
                </c:pt>
                <c:pt idx="58">
                  <c:v>39.44</c:v>
                </c:pt>
                <c:pt idx="59">
                  <c:v>30.47</c:v>
                </c:pt>
                <c:pt idx="60">
                  <c:v>67.56</c:v>
                </c:pt>
                <c:pt idx="61">
                  <c:v>50.5</c:v>
                </c:pt>
                <c:pt idx="62">
                  <c:v>51.21</c:v>
                </c:pt>
                <c:pt idx="63">
                  <c:v>38.08</c:v>
                </c:pt>
                <c:pt idx="64">
                  <c:v>38.869999999999997</c:v>
                </c:pt>
                <c:pt idx="65">
                  <c:v>35.950000000000003</c:v>
                </c:pt>
                <c:pt idx="66">
                  <c:v>29.93</c:v>
                </c:pt>
                <c:pt idx="67">
                  <c:v>21.85</c:v>
                </c:pt>
                <c:pt idx="68">
                  <c:v>18.89</c:v>
                </c:pt>
                <c:pt idx="69">
                  <c:v>19.899999999999999</c:v>
                </c:pt>
                <c:pt idx="70">
                  <c:v>15.9</c:v>
                </c:pt>
                <c:pt idx="71">
                  <c:v>15.03</c:v>
                </c:pt>
                <c:pt idx="72">
                  <c:v>20.059999999999999</c:v>
                </c:pt>
                <c:pt idx="73">
                  <c:v>16</c:v>
                </c:pt>
                <c:pt idx="74">
                  <c:v>13.78</c:v>
                </c:pt>
                <c:pt idx="75">
                  <c:v>11.29</c:v>
                </c:pt>
                <c:pt idx="76">
                  <c:v>10.02</c:v>
                </c:pt>
                <c:pt idx="77">
                  <c:v>9.24</c:v>
                </c:pt>
                <c:pt idx="78">
                  <c:v>9.73</c:v>
                </c:pt>
                <c:pt idx="79">
                  <c:v>8.42</c:v>
                </c:pt>
                <c:pt idx="80">
                  <c:v>7.7</c:v>
                </c:pt>
                <c:pt idx="81">
                  <c:v>7.39</c:v>
                </c:pt>
                <c:pt idx="82">
                  <c:v>7.02</c:v>
                </c:pt>
                <c:pt idx="83">
                  <c:v>6.7</c:v>
                </c:pt>
                <c:pt idx="84">
                  <c:v>6.44</c:v>
                </c:pt>
                <c:pt idx="85">
                  <c:v>6.62</c:v>
                </c:pt>
                <c:pt idx="86">
                  <c:v>6.66</c:v>
                </c:pt>
                <c:pt idx="87">
                  <c:v>6.84</c:v>
                </c:pt>
                <c:pt idx="88">
                  <c:v>7.96</c:v>
                </c:pt>
                <c:pt idx="89">
                  <c:v>9.43</c:v>
                </c:pt>
                <c:pt idx="90">
                  <c:v>7.93</c:v>
                </c:pt>
                <c:pt idx="91">
                  <c:v>6.02</c:v>
                </c:pt>
                <c:pt idx="92">
                  <c:v>6.5</c:v>
                </c:pt>
                <c:pt idx="93">
                  <c:v>9.44</c:v>
                </c:pt>
                <c:pt idx="94">
                  <c:v>8.8800000000000008</c:v>
                </c:pt>
                <c:pt idx="95">
                  <c:v>10.59</c:v>
                </c:pt>
                <c:pt idx="96">
                  <c:v>10.039999999999999</c:v>
                </c:pt>
                <c:pt idx="97">
                  <c:v>8.7799999999999994</c:v>
                </c:pt>
                <c:pt idx="98">
                  <c:v>7.81</c:v>
                </c:pt>
                <c:pt idx="99">
                  <c:v>9.1851428580000007</c:v>
                </c:pt>
                <c:pt idx="100">
                  <c:v>14.04828548342857</c:v>
                </c:pt>
                <c:pt idx="101">
                  <c:v>11.032857077571427</c:v>
                </c:pt>
                <c:pt idx="102">
                  <c:v>14.381428445285712</c:v>
                </c:pt>
                <c:pt idx="103">
                  <c:v>13.293999945714287</c:v>
                </c:pt>
                <c:pt idx="104">
                  <c:v>20.63</c:v>
                </c:pt>
                <c:pt idx="105">
                  <c:v>36.213856559999996</c:v>
                </c:pt>
                <c:pt idx="106">
                  <c:v>30.819142750000001</c:v>
                </c:pt>
                <c:pt idx="107">
                  <c:v>40.893000467142862</c:v>
                </c:pt>
                <c:pt idx="108">
                  <c:v>17.748285841428572</c:v>
                </c:pt>
                <c:pt idx="109">
                  <c:v>18.79157175142857</c:v>
                </c:pt>
                <c:pt idx="110">
                  <c:v>42.088571821428573</c:v>
                </c:pt>
                <c:pt idx="111">
                  <c:v>43.74</c:v>
                </c:pt>
                <c:pt idx="112">
                  <c:v>31.755000522857138</c:v>
                </c:pt>
                <c:pt idx="113">
                  <c:v>31.196571622857142</c:v>
                </c:pt>
                <c:pt idx="114">
                  <c:v>52.626284462857136</c:v>
                </c:pt>
                <c:pt idx="115">
                  <c:v>57.669144221428567</c:v>
                </c:pt>
                <c:pt idx="116">
                  <c:v>35.725570951428573</c:v>
                </c:pt>
                <c:pt idx="117">
                  <c:v>28.622000282857147</c:v>
                </c:pt>
                <c:pt idx="118">
                  <c:v>30.753999982857145</c:v>
                </c:pt>
                <c:pt idx="119">
                  <c:v>29.88</c:v>
                </c:pt>
                <c:pt idx="120">
                  <c:v>22.257285525714284</c:v>
                </c:pt>
                <c:pt idx="121">
                  <c:v>21.651714052857141</c:v>
                </c:pt>
                <c:pt idx="122">
                  <c:v>19.037142890000002</c:v>
                </c:pt>
                <c:pt idx="123">
                  <c:v>16.531571660000001</c:v>
                </c:pt>
                <c:pt idx="124">
                  <c:v>13.450571468571427</c:v>
                </c:pt>
                <c:pt idx="125">
                  <c:v>11.897571562857141</c:v>
                </c:pt>
                <c:pt idx="126">
                  <c:v>15.801714215714284</c:v>
                </c:pt>
                <c:pt idx="127">
                  <c:v>15.595999989999999</c:v>
                </c:pt>
                <c:pt idx="128">
                  <c:v>14.135857038571428</c:v>
                </c:pt>
                <c:pt idx="129">
                  <c:v>10.912428581428573</c:v>
                </c:pt>
                <c:pt idx="130">
                  <c:v>9.4035714009999989</c:v>
                </c:pt>
                <c:pt idx="131">
                  <c:v>9.4155716217142871</c:v>
                </c:pt>
                <c:pt idx="132">
                  <c:v>9.5503999999999998</c:v>
                </c:pt>
                <c:pt idx="133">
                  <c:v>15.534142631428571</c:v>
                </c:pt>
                <c:pt idx="134">
                  <c:v>8.5579999999999998</c:v>
                </c:pt>
                <c:pt idx="135">
                  <c:v>10.739857128857144</c:v>
                </c:pt>
                <c:pt idx="136">
                  <c:v>9.23</c:v>
                </c:pt>
                <c:pt idx="137">
                  <c:v>10.917285918714287</c:v>
                </c:pt>
                <c:pt idx="138">
                  <c:v>9.4700000000000006</c:v>
                </c:pt>
                <c:pt idx="139">
                  <c:v>7.5942857142857134</c:v>
                </c:pt>
                <c:pt idx="140">
                  <c:v>6.5637142318571433</c:v>
                </c:pt>
                <c:pt idx="141">
                  <c:v>7.2939999444285712</c:v>
                </c:pt>
                <c:pt idx="142">
                  <c:v>7.68</c:v>
                </c:pt>
                <c:pt idx="143">
                  <c:v>9.112857137571428</c:v>
                </c:pt>
                <c:pt idx="144">
                  <c:v>11.170142854962995</c:v>
                </c:pt>
                <c:pt idx="145">
                  <c:v>19.282285690307582</c:v>
                </c:pt>
                <c:pt idx="146">
                  <c:v>26.382142475673081</c:v>
                </c:pt>
                <c:pt idx="147">
                  <c:v>33.364427840000005</c:v>
                </c:pt>
                <c:pt idx="148">
                  <c:v>18.735571588571428</c:v>
                </c:pt>
                <c:pt idx="149">
                  <c:v>13.16</c:v>
                </c:pt>
                <c:pt idx="150">
                  <c:v>13.483142988571428</c:v>
                </c:pt>
                <c:pt idx="151">
                  <c:v>12.543571337142859</c:v>
                </c:pt>
                <c:pt idx="152">
                  <c:v>8.99</c:v>
                </c:pt>
                <c:pt idx="153">
                  <c:v>10.909571511285714</c:v>
                </c:pt>
                <c:pt idx="154">
                  <c:v>16.8</c:v>
                </c:pt>
                <c:pt idx="155">
                  <c:v>16.435142652857145</c:v>
                </c:pt>
                <c:pt idx="156">
                  <c:v>13.115714484285716</c:v>
                </c:pt>
                <c:pt idx="157">
                  <c:v>16.11014284285714</c:v>
                </c:pt>
                <c:pt idx="158">
                  <c:v>29.23</c:v>
                </c:pt>
                <c:pt idx="159">
                  <c:v>36.200000218571425</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tickLblSkip val="25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52348384361815492"/>
          <c:y val="0.11450845005374818"/>
          <c:w val="0.44737462991043048"/>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5.2925334267377382E-2"/>
          <c:y val="0.15493728093999826"/>
          <c:w val="0.88581872474147405"/>
          <c:h val="0.6687148384570755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'13.Caudales'!$N$4:$O$163</c:f>
              <c:multiLvlStrCache>
                <c:ptCount val="16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lvl>
                <c:lvl>
                  <c:pt idx="0">
                    <c:v>2016</c:v>
                  </c:pt>
                  <c:pt idx="52">
                    <c:v>2017</c:v>
                  </c:pt>
                  <c:pt idx="104">
                    <c:v>2018</c:v>
                  </c:pt>
                  <c:pt idx="156">
                    <c:v>2019</c:v>
                  </c:pt>
                </c:lvl>
              </c:multiLvlStrCache>
            </c:multiLvlStrRef>
          </c:cat>
          <c:val>
            <c:numRef>
              <c:f>'13.Caudales'!$V$4:$V$163</c:f>
              <c:numCache>
                <c:formatCode>0.0</c:formatCode>
                <c:ptCount val="160"/>
                <c:pt idx="0">
                  <c:v>10.01</c:v>
                </c:pt>
                <c:pt idx="1">
                  <c:v>10</c:v>
                </c:pt>
                <c:pt idx="2">
                  <c:v>10.01</c:v>
                </c:pt>
                <c:pt idx="3">
                  <c:v>10.01</c:v>
                </c:pt>
                <c:pt idx="4">
                  <c:v>10.01</c:v>
                </c:pt>
                <c:pt idx="5">
                  <c:v>9.01</c:v>
                </c:pt>
                <c:pt idx="6">
                  <c:v>9.01</c:v>
                </c:pt>
                <c:pt idx="7">
                  <c:v>18.309999999999999</c:v>
                </c:pt>
                <c:pt idx="8">
                  <c:v>16.54985727582655</c:v>
                </c:pt>
                <c:pt idx="9">
                  <c:v>9.5257144655499921</c:v>
                </c:pt>
                <c:pt idx="10">
                  <c:v>10.001428604125973</c:v>
                </c:pt>
                <c:pt idx="11">
                  <c:v>9.9999999999999964</c:v>
                </c:pt>
                <c:pt idx="12">
                  <c:v>10</c:v>
                </c:pt>
                <c:pt idx="13">
                  <c:v>10.001428604125973</c:v>
                </c:pt>
                <c:pt idx="14">
                  <c:v>10.005714416503881</c:v>
                </c:pt>
                <c:pt idx="15">
                  <c:v>10.01</c:v>
                </c:pt>
                <c:pt idx="16">
                  <c:v>10.004285812377887</c:v>
                </c:pt>
                <c:pt idx="17">
                  <c:v>10.007143020629858</c:v>
                </c:pt>
                <c:pt idx="18">
                  <c:v>10.004285812377914</c:v>
                </c:pt>
                <c:pt idx="19">
                  <c:v>10</c:v>
                </c:pt>
                <c:pt idx="20">
                  <c:v>10.011428560529414</c:v>
                </c:pt>
                <c:pt idx="21">
                  <c:v>10.02</c:v>
                </c:pt>
                <c:pt idx="22">
                  <c:v>10</c:v>
                </c:pt>
                <c:pt idx="23">
                  <c:v>10</c:v>
                </c:pt>
                <c:pt idx="24">
                  <c:v>10.00571442</c:v>
                </c:pt>
                <c:pt idx="25">
                  <c:v>10</c:v>
                </c:pt>
                <c:pt idx="26">
                  <c:v>10.001428600000001</c:v>
                </c:pt>
                <c:pt idx="27">
                  <c:v>10.0128573</c:v>
                </c:pt>
                <c:pt idx="28">
                  <c:v>10.001428600000001</c:v>
                </c:pt>
                <c:pt idx="29">
                  <c:v>10.01142883</c:v>
                </c:pt>
                <c:pt idx="30">
                  <c:v>10.011428833007772</c:v>
                </c:pt>
                <c:pt idx="31">
                  <c:v>10.004285810000001</c:v>
                </c:pt>
                <c:pt idx="32">
                  <c:v>10</c:v>
                </c:pt>
                <c:pt idx="33">
                  <c:v>10.00857162</c:v>
                </c:pt>
                <c:pt idx="34">
                  <c:v>10.28714289</c:v>
                </c:pt>
                <c:pt idx="35">
                  <c:v>11.01</c:v>
                </c:pt>
                <c:pt idx="36">
                  <c:v>11</c:v>
                </c:pt>
                <c:pt idx="37">
                  <c:v>10.85142858</c:v>
                </c:pt>
                <c:pt idx="38">
                  <c:v>11.15</c:v>
                </c:pt>
                <c:pt idx="39">
                  <c:v>11.005714417142856</c:v>
                </c:pt>
                <c:pt idx="40">
                  <c:v>11.002857208251914</c:v>
                </c:pt>
                <c:pt idx="41">
                  <c:v>11.007142884285715</c:v>
                </c:pt>
                <c:pt idx="42">
                  <c:v>11.01</c:v>
                </c:pt>
                <c:pt idx="43">
                  <c:v>11.01</c:v>
                </c:pt>
                <c:pt idx="44">
                  <c:v>11</c:v>
                </c:pt>
                <c:pt idx="45">
                  <c:v>11.01</c:v>
                </c:pt>
                <c:pt idx="46">
                  <c:v>11.00286</c:v>
                </c:pt>
                <c:pt idx="47">
                  <c:v>10.862857274285714</c:v>
                </c:pt>
                <c:pt idx="48">
                  <c:v>10.5</c:v>
                </c:pt>
                <c:pt idx="49">
                  <c:v>10.51</c:v>
                </c:pt>
                <c:pt idx="50">
                  <c:v>10.5</c:v>
                </c:pt>
                <c:pt idx="51">
                  <c:v>10.507142884285715</c:v>
                </c:pt>
                <c:pt idx="52">
                  <c:v>10.220000000000001</c:v>
                </c:pt>
                <c:pt idx="53">
                  <c:v>10.17</c:v>
                </c:pt>
                <c:pt idx="54">
                  <c:v>10</c:v>
                </c:pt>
                <c:pt idx="55">
                  <c:v>10</c:v>
                </c:pt>
                <c:pt idx="56">
                  <c:v>11.41</c:v>
                </c:pt>
                <c:pt idx="57">
                  <c:v>10.57</c:v>
                </c:pt>
                <c:pt idx="58">
                  <c:v>10</c:v>
                </c:pt>
                <c:pt idx="59">
                  <c:v>9.58</c:v>
                </c:pt>
                <c:pt idx="60">
                  <c:v>9.01</c:v>
                </c:pt>
                <c:pt idx="61">
                  <c:v>10.06</c:v>
                </c:pt>
                <c:pt idx="62">
                  <c:v>26.15</c:v>
                </c:pt>
                <c:pt idx="63">
                  <c:v>12.43</c:v>
                </c:pt>
                <c:pt idx="64">
                  <c:v>11.98</c:v>
                </c:pt>
                <c:pt idx="65">
                  <c:v>28.72</c:v>
                </c:pt>
                <c:pt idx="66">
                  <c:v>16.28</c:v>
                </c:pt>
                <c:pt idx="67">
                  <c:v>15.43</c:v>
                </c:pt>
                <c:pt idx="68">
                  <c:v>12.29</c:v>
                </c:pt>
                <c:pt idx="69">
                  <c:v>11.64</c:v>
                </c:pt>
                <c:pt idx="70">
                  <c:v>11</c:v>
                </c:pt>
                <c:pt idx="71">
                  <c:v>11</c:v>
                </c:pt>
                <c:pt idx="72">
                  <c:v>11.01</c:v>
                </c:pt>
                <c:pt idx="73">
                  <c:v>11</c:v>
                </c:pt>
                <c:pt idx="74">
                  <c:v>11</c:v>
                </c:pt>
                <c:pt idx="75">
                  <c:v>11</c:v>
                </c:pt>
                <c:pt idx="76">
                  <c:v>11</c:v>
                </c:pt>
                <c:pt idx="77">
                  <c:v>12</c:v>
                </c:pt>
                <c:pt idx="78">
                  <c:v>12</c:v>
                </c:pt>
                <c:pt idx="79">
                  <c:v>12</c:v>
                </c:pt>
                <c:pt idx="80">
                  <c:v>10.51</c:v>
                </c:pt>
                <c:pt idx="81">
                  <c:v>12</c:v>
                </c:pt>
                <c:pt idx="82">
                  <c:v>12</c:v>
                </c:pt>
                <c:pt idx="83">
                  <c:v>12</c:v>
                </c:pt>
                <c:pt idx="84">
                  <c:v>12</c:v>
                </c:pt>
                <c:pt idx="85">
                  <c:v>12</c:v>
                </c:pt>
                <c:pt idx="86">
                  <c:v>12.14</c:v>
                </c:pt>
                <c:pt idx="87">
                  <c:v>13</c:v>
                </c:pt>
                <c:pt idx="88">
                  <c:v>13</c:v>
                </c:pt>
                <c:pt idx="89">
                  <c:v>13</c:v>
                </c:pt>
                <c:pt idx="90">
                  <c:v>13</c:v>
                </c:pt>
                <c:pt idx="91">
                  <c:v>13</c:v>
                </c:pt>
                <c:pt idx="92">
                  <c:v>13</c:v>
                </c:pt>
                <c:pt idx="93">
                  <c:v>13</c:v>
                </c:pt>
                <c:pt idx="94">
                  <c:v>13</c:v>
                </c:pt>
                <c:pt idx="95">
                  <c:v>13</c:v>
                </c:pt>
                <c:pt idx="96">
                  <c:v>13</c:v>
                </c:pt>
                <c:pt idx="97">
                  <c:v>13</c:v>
                </c:pt>
                <c:pt idx="98">
                  <c:v>13</c:v>
                </c:pt>
                <c:pt idx="99">
                  <c:v>13.005714417142858</c:v>
                </c:pt>
                <c:pt idx="100">
                  <c:v>13.002857208571429</c:v>
                </c:pt>
                <c:pt idx="101">
                  <c:v>13</c:v>
                </c:pt>
                <c:pt idx="102">
                  <c:v>13.01285743857143</c:v>
                </c:pt>
                <c:pt idx="103">
                  <c:v>13.09681579142857</c:v>
                </c:pt>
                <c:pt idx="104">
                  <c:v>13</c:v>
                </c:pt>
                <c:pt idx="105">
                  <c:v>11.774285724285715</c:v>
                </c:pt>
                <c:pt idx="106">
                  <c:v>11.857142857142858</c:v>
                </c:pt>
                <c:pt idx="107">
                  <c:v>18.734285627142857</c:v>
                </c:pt>
                <c:pt idx="108">
                  <c:v>23.390000208571426</c:v>
                </c:pt>
                <c:pt idx="109">
                  <c:v>20.201017107142857</c:v>
                </c:pt>
                <c:pt idx="110">
                  <c:v>15.283185821428571</c:v>
                </c:pt>
                <c:pt idx="111">
                  <c:v>16.564</c:v>
                </c:pt>
                <c:pt idx="112">
                  <c:v>15.852976190476195</c:v>
                </c:pt>
                <c:pt idx="113">
                  <c:v>14.442</c:v>
                </c:pt>
                <c:pt idx="114">
                  <c:v>18.273</c:v>
                </c:pt>
                <c:pt idx="115">
                  <c:v>23.244</c:v>
                </c:pt>
                <c:pt idx="116">
                  <c:v>23.143392837142859</c:v>
                </c:pt>
                <c:pt idx="117">
                  <c:v>19.16</c:v>
                </c:pt>
                <c:pt idx="118">
                  <c:v>14.377143042857142</c:v>
                </c:pt>
                <c:pt idx="119">
                  <c:v>12.36</c:v>
                </c:pt>
                <c:pt idx="120">
                  <c:v>13.4</c:v>
                </c:pt>
                <c:pt idx="121">
                  <c:v>12.785805702857145</c:v>
                </c:pt>
                <c:pt idx="122">
                  <c:v>11.328391347142857</c:v>
                </c:pt>
                <c:pt idx="123">
                  <c:v>10.899261474285714</c:v>
                </c:pt>
                <c:pt idx="124">
                  <c:v>11.166911400000002</c:v>
                </c:pt>
                <c:pt idx="125">
                  <c:v>10.57333578442857</c:v>
                </c:pt>
                <c:pt idx="126">
                  <c:v>11.341294289999999</c:v>
                </c:pt>
                <c:pt idx="127">
                  <c:v>11.96411841142857</c:v>
                </c:pt>
                <c:pt idx="128">
                  <c:v>11.79</c:v>
                </c:pt>
                <c:pt idx="129">
                  <c:v>10.93</c:v>
                </c:pt>
                <c:pt idx="130">
                  <c:v>12.51</c:v>
                </c:pt>
                <c:pt idx="131">
                  <c:v>12.3</c:v>
                </c:pt>
                <c:pt idx="132">
                  <c:v>12.245714285714286</c:v>
                </c:pt>
                <c:pt idx="133">
                  <c:v>10.995952741142858</c:v>
                </c:pt>
                <c:pt idx="134">
                  <c:v>13.18</c:v>
                </c:pt>
                <c:pt idx="135">
                  <c:v>10.850328444285712</c:v>
                </c:pt>
                <c:pt idx="136">
                  <c:v>10.84</c:v>
                </c:pt>
                <c:pt idx="137">
                  <c:v>10.534582955714285</c:v>
                </c:pt>
                <c:pt idx="138">
                  <c:v>10.92</c:v>
                </c:pt>
                <c:pt idx="139">
                  <c:v>11.091428571428571</c:v>
                </c:pt>
                <c:pt idx="140">
                  <c:v>10.825238499999999</c:v>
                </c:pt>
                <c:pt idx="141">
                  <c:v>11.159824370000001</c:v>
                </c:pt>
                <c:pt idx="142">
                  <c:v>11.33</c:v>
                </c:pt>
                <c:pt idx="143">
                  <c:v>11.565001485714285</c:v>
                </c:pt>
                <c:pt idx="144">
                  <c:v>12.740178653172041</c:v>
                </c:pt>
                <c:pt idx="145">
                  <c:v>11.792381422860229</c:v>
                </c:pt>
                <c:pt idx="146">
                  <c:v>12.0416071755545</c:v>
                </c:pt>
                <c:pt idx="147">
                  <c:v>12.188929967142856</c:v>
                </c:pt>
                <c:pt idx="148">
                  <c:v>13</c:v>
                </c:pt>
                <c:pt idx="149">
                  <c:v>13.001428571428571</c:v>
                </c:pt>
                <c:pt idx="150">
                  <c:v>12.142405645714286</c:v>
                </c:pt>
                <c:pt idx="151">
                  <c:v>11.975262778571429</c:v>
                </c:pt>
                <c:pt idx="152">
                  <c:v>12.26</c:v>
                </c:pt>
                <c:pt idx="153">
                  <c:v>13.001428604285715</c:v>
                </c:pt>
                <c:pt idx="154">
                  <c:v>12.257142857142856</c:v>
                </c:pt>
                <c:pt idx="155">
                  <c:v>12.222315514285714</c:v>
                </c:pt>
                <c:pt idx="156">
                  <c:v>11.571904317142856</c:v>
                </c:pt>
                <c:pt idx="157">
                  <c:v>11.570298602857141</c:v>
                </c:pt>
                <c:pt idx="158">
                  <c:v>11.28</c:v>
                </c:pt>
                <c:pt idx="159">
                  <c:v>11.843988554285716</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'13.Caudales'!$N$4:$O$163</c:f>
              <c:multiLvlStrCache>
                <c:ptCount val="16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lvl>
                <c:lvl>
                  <c:pt idx="0">
                    <c:v>2016</c:v>
                  </c:pt>
                  <c:pt idx="52">
                    <c:v>2017</c:v>
                  </c:pt>
                  <c:pt idx="104">
                    <c:v>2018</c:v>
                  </c:pt>
                  <c:pt idx="156">
                    <c:v>2019</c:v>
                  </c:pt>
                </c:lvl>
              </c:multiLvlStrCache>
            </c:multiLvlStrRef>
          </c:cat>
          <c:val>
            <c:numRef>
              <c:f>'13.Caudales'!$W$4:$W$163</c:f>
              <c:numCache>
                <c:formatCode>0.0</c:formatCode>
                <c:ptCount val="160"/>
                <c:pt idx="0">
                  <c:v>1.23</c:v>
                </c:pt>
                <c:pt idx="1">
                  <c:v>1.18</c:v>
                </c:pt>
                <c:pt idx="2">
                  <c:v>1.2529999999999999</c:v>
                </c:pt>
                <c:pt idx="3">
                  <c:v>1.22</c:v>
                </c:pt>
                <c:pt idx="4">
                  <c:v>1.17</c:v>
                </c:pt>
                <c:pt idx="5">
                  <c:v>0.82</c:v>
                </c:pt>
                <c:pt idx="6">
                  <c:v>1.59</c:v>
                </c:pt>
                <c:pt idx="7">
                  <c:v>14.62</c:v>
                </c:pt>
                <c:pt idx="8">
                  <c:v>7.4597144130000004</c:v>
                </c:pt>
                <c:pt idx="9">
                  <c:v>2.1815714495522598</c:v>
                </c:pt>
                <c:pt idx="10">
                  <c:v>1.7041428429739771</c:v>
                </c:pt>
                <c:pt idx="11">
                  <c:v>1.2444285835538544</c:v>
                </c:pt>
                <c:pt idx="12">
                  <c:v>1.0199999809265099</c:v>
                </c:pt>
                <c:pt idx="13">
                  <c:v>1.3691428899764975</c:v>
                </c:pt>
                <c:pt idx="14">
                  <c:v>1.6558571543012313</c:v>
                </c:pt>
                <c:pt idx="15">
                  <c:v>1.27</c:v>
                </c:pt>
                <c:pt idx="16">
                  <c:v>1.7342857122421229</c:v>
                </c:pt>
                <c:pt idx="17">
                  <c:v>1.4345714194433998</c:v>
                </c:pt>
                <c:pt idx="18">
                  <c:v>1.3051428794860784</c:v>
                </c:pt>
                <c:pt idx="19">
                  <c:v>1.6</c:v>
                </c:pt>
                <c:pt idx="20">
                  <c:v>1.2349999972752113</c:v>
                </c:pt>
                <c:pt idx="21">
                  <c:v>1.52</c:v>
                </c:pt>
                <c:pt idx="22">
                  <c:v>1.55</c:v>
                </c:pt>
                <c:pt idx="23">
                  <c:v>1.6</c:v>
                </c:pt>
                <c:pt idx="24">
                  <c:v>1.254714302</c:v>
                </c:pt>
                <c:pt idx="25">
                  <c:v>1.4324285809999999</c:v>
                </c:pt>
                <c:pt idx="26">
                  <c:v>1.455999987</c:v>
                </c:pt>
                <c:pt idx="27">
                  <c:v>1.5508571609999999</c:v>
                </c:pt>
                <c:pt idx="28">
                  <c:v>2.1035714489999999</c:v>
                </c:pt>
                <c:pt idx="29">
                  <c:v>1.8491428750000001</c:v>
                </c:pt>
                <c:pt idx="30">
                  <c:v>1.8019999946866672</c:v>
                </c:pt>
                <c:pt idx="31">
                  <c:v>1.2214285650000001</c:v>
                </c:pt>
                <c:pt idx="32">
                  <c:v>1.3032857349940685</c:v>
                </c:pt>
                <c:pt idx="33">
                  <c:v>1.2842857160000001</c:v>
                </c:pt>
                <c:pt idx="34">
                  <c:v>1.5979999810000001</c:v>
                </c:pt>
                <c:pt idx="35">
                  <c:v>1.63</c:v>
                </c:pt>
                <c:pt idx="36">
                  <c:v>1.59</c:v>
                </c:pt>
                <c:pt idx="37">
                  <c:v>1.5402856890000001</c:v>
                </c:pt>
                <c:pt idx="38">
                  <c:v>1.32</c:v>
                </c:pt>
                <c:pt idx="39">
                  <c:v>1.3828571522857145</c:v>
                </c:pt>
                <c:pt idx="40">
                  <c:v>1.3182857036590543</c:v>
                </c:pt>
                <c:pt idx="41">
                  <c:v>1.2221428497142859</c:v>
                </c:pt>
                <c:pt idx="42">
                  <c:v>1.35</c:v>
                </c:pt>
                <c:pt idx="43">
                  <c:v>1.47</c:v>
                </c:pt>
                <c:pt idx="44">
                  <c:v>1.42</c:v>
                </c:pt>
                <c:pt idx="45">
                  <c:v>1.38</c:v>
                </c:pt>
                <c:pt idx="46">
                  <c:v>1.63</c:v>
                </c:pt>
                <c:pt idx="47">
                  <c:v>1.6007142748571428</c:v>
                </c:pt>
                <c:pt idx="48">
                  <c:v>1.1200000000000001</c:v>
                </c:pt>
                <c:pt idx="49">
                  <c:v>1.1399999999999999</c:v>
                </c:pt>
                <c:pt idx="50">
                  <c:v>1.37</c:v>
                </c:pt>
                <c:pt idx="51">
                  <c:v>1.53</c:v>
                </c:pt>
                <c:pt idx="52">
                  <c:v>3.28</c:v>
                </c:pt>
                <c:pt idx="53">
                  <c:v>6.45</c:v>
                </c:pt>
                <c:pt idx="54">
                  <c:v>9.0500000000000007</c:v>
                </c:pt>
                <c:pt idx="55">
                  <c:v>2.4300000000000002</c:v>
                </c:pt>
                <c:pt idx="56">
                  <c:v>2.87</c:v>
                </c:pt>
                <c:pt idx="57">
                  <c:v>3.01</c:v>
                </c:pt>
                <c:pt idx="58">
                  <c:v>2.88</c:v>
                </c:pt>
                <c:pt idx="59">
                  <c:v>2.0699999999999998</c:v>
                </c:pt>
                <c:pt idx="60">
                  <c:v>7.33</c:v>
                </c:pt>
                <c:pt idx="61">
                  <c:v>3.71</c:v>
                </c:pt>
                <c:pt idx="62">
                  <c:v>8.66</c:v>
                </c:pt>
                <c:pt idx="63">
                  <c:v>5.63</c:v>
                </c:pt>
                <c:pt idx="64">
                  <c:v>5.83</c:v>
                </c:pt>
                <c:pt idx="65">
                  <c:v>4.95</c:v>
                </c:pt>
                <c:pt idx="66">
                  <c:v>1.82</c:v>
                </c:pt>
                <c:pt idx="67">
                  <c:v>2.33</c:v>
                </c:pt>
                <c:pt idx="68">
                  <c:v>1.9</c:v>
                </c:pt>
                <c:pt idx="69">
                  <c:v>1.46</c:v>
                </c:pt>
                <c:pt idx="70">
                  <c:v>1.36</c:v>
                </c:pt>
                <c:pt idx="71">
                  <c:v>1.98</c:v>
                </c:pt>
                <c:pt idx="72">
                  <c:v>1.6</c:v>
                </c:pt>
                <c:pt idx="73">
                  <c:v>1.01</c:v>
                </c:pt>
                <c:pt idx="74">
                  <c:v>1.82</c:v>
                </c:pt>
                <c:pt idx="75">
                  <c:v>1.89</c:v>
                </c:pt>
                <c:pt idx="76">
                  <c:v>1.77</c:v>
                </c:pt>
                <c:pt idx="77">
                  <c:v>1.86</c:v>
                </c:pt>
                <c:pt idx="78">
                  <c:v>1.9</c:v>
                </c:pt>
                <c:pt idx="79">
                  <c:v>1.65</c:v>
                </c:pt>
                <c:pt idx="80">
                  <c:v>1.79</c:v>
                </c:pt>
                <c:pt idx="81">
                  <c:v>1.64</c:v>
                </c:pt>
                <c:pt idx="82">
                  <c:v>1.87</c:v>
                </c:pt>
                <c:pt idx="83">
                  <c:v>1.95</c:v>
                </c:pt>
                <c:pt idx="84">
                  <c:v>1.82</c:v>
                </c:pt>
                <c:pt idx="85">
                  <c:v>1.89</c:v>
                </c:pt>
                <c:pt idx="86">
                  <c:v>1.97</c:v>
                </c:pt>
                <c:pt idx="87">
                  <c:v>1.76</c:v>
                </c:pt>
                <c:pt idx="88">
                  <c:v>1.7</c:v>
                </c:pt>
                <c:pt idx="89">
                  <c:v>1.77</c:v>
                </c:pt>
                <c:pt idx="90">
                  <c:v>1.99</c:v>
                </c:pt>
                <c:pt idx="91">
                  <c:v>1.48</c:v>
                </c:pt>
                <c:pt idx="92">
                  <c:v>1.53</c:v>
                </c:pt>
                <c:pt idx="93">
                  <c:v>1.93</c:v>
                </c:pt>
                <c:pt idx="94">
                  <c:v>1.69</c:v>
                </c:pt>
                <c:pt idx="95">
                  <c:v>1.65</c:v>
                </c:pt>
                <c:pt idx="96">
                  <c:v>1.51</c:v>
                </c:pt>
                <c:pt idx="97">
                  <c:v>1.65</c:v>
                </c:pt>
                <c:pt idx="98">
                  <c:v>1.6</c:v>
                </c:pt>
                <c:pt idx="99">
                  <c:v>1.6</c:v>
                </c:pt>
                <c:pt idx="100">
                  <c:v>1.6</c:v>
                </c:pt>
                <c:pt idx="101">
                  <c:v>1.6000000240000001</c:v>
                </c:pt>
                <c:pt idx="102">
                  <c:v>1.6257142851428572</c:v>
                </c:pt>
                <c:pt idx="103">
                  <c:v>1.644999981</c:v>
                </c:pt>
                <c:pt idx="104">
                  <c:v>1.64</c:v>
                </c:pt>
                <c:pt idx="105">
                  <c:v>1.5914286031428568</c:v>
                </c:pt>
                <c:pt idx="106">
                  <c:v>1.5814286125714285</c:v>
                </c:pt>
                <c:pt idx="107">
                  <c:v>1.5700000519999997</c:v>
                </c:pt>
                <c:pt idx="108">
                  <c:v>1.5700000519999997</c:v>
                </c:pt>
                <c:pt idx="109">
                  <c:v>2.3694285491428571</c:v>
                </c:pt>
                <c:pt idx="110">
                  <c:v>3.1689999100000001</c:v>
                </c:pt>
                <c:pt idx="111">
                  <c:v>3.16</c:v>
                </c:pt>
                <c:pt idx="112">
                  <c:v>3.1689999100000001</c:v>
                </c:pt>
                <c:pt idx="113">
                  <c:v>4.7437142644285712</c:v>
                </c:pt>
                <c:pt idx="114">
                  <c:v>3.0879999738571429</c:v>
                </c:pt>
                <c:pt idx="115">
                  <c:v>4.5095714328571432</c:v>
                </c:pt>
                <c:pt idx="116">
                  <c:v>3.3929999999999998</c:v>
                </c:pt>
                <c:pt idx="117">
                  <c:v>1.736</c:v>
                </c:pt>
                <c:pt idx="118">
                  <c:v>1.8612856864285716</c:v>
                </c:pt>
                <c:pt idx="119">
                  <c:v>1.9</c:v>
                </c:pt>
                <c:pt idx="120">
                  <c:v>1.7940000124285713</c:v>
                </c:pt>
                <c:pt idx="121">
                  <c:v>2.3024285860000004</c:v>
                </c:pt>
                <c:pt idx="122">
                  <c:v>1.8057142665714285</c:v>
                </c:pt>
                <c:pt idx="123">
                  <c:v>1.7767143248571429</c:v>
                </c:pt>
                <c:pt idx="124">
                  <c:v>1.8437143055714282</c:v>
                </c:pt>
                <c:pt idx="125">
                  <c:v>1.8770000252857142</c:v>
                </c:pt>
                <c:pt idx="126">
                  <c:v>1.7928571701428571</c:v>
                </c:pt>
                <c:pt idx="127">
                  <c:v>2.0252857377142854</c:v>
                </c:pt>
                <c:pt idx="128">
                  <c:v>2.0514285564285717</c:v>
                </c:pt>
                <c:pt idx="129">
                  <c:v>2.1038571597142854</c:v>
                </c:pt>
                <c:pt idx="130">
                  <c:v>2.0499999999999998</c:v>
                </c:pt>
                <c:pt idx="131">
                  <c:v>2.2505714212857142</c:v>
                </c:pt>
                <c:pt idx="132">
                  <c:v>1.9771428571428571</c:v>
                </c:pt>
                <c:pt idx="133">
                  <c:v>2.2859999964285715</c:v>
                </c:pt>
                <c:pt idx="134">
                  <c:v>2</c:v>
                </c:pt>
                <c:pt idx="135">
                  <c:v>2.0667142697142857</c:v>
                </c:pt>
                <c:pt idx="136">
                  <c:v>2.0499999999999998</c:v>
                </c:pt>
                <c:pt idx="137">
                  <c:v>1.8788571358571429</c:v>
                </c:pt>
                <c:pt idx="138">
                  <c:v>1.88</c:v>
                </c:pt>
                <c:pt idx="139">
                  <c:v>1.8442857142857143</c:v>
                </c:pt>
                <c:pt idx="140">
                  <c:v>1.8114285809999999</c:v>
                </c:pt>
                <c:pt idx="141">
                  <c:v>1.8427142925714282</c:v>
                </c:pt>
                <c:pt idx="142">
                  <c:v>1.64</c:v>
                </c:pt>
                <c:pt idx="143">
                  <c:v>1.8221428395714285</c:v>
                </c:pt>
                <c:pt idx="144">
                  <c:v>1.7041428429739784</c:v>
                </c:pt>
                <c:pt idx="145">
                  <c:v>1.5524285691124997</c:v>
                </c:pt>
                <c:pt idx="146">
                  <c:v>1.585428544453207</c:v>
                </c:pt>
                <c:pt idx="147">
                  <c:v>1.6864285471428571</c:v>
                </c:pt>
                <c:pt idx="148">
                  <c:v>1.7397142818571427</c:v>
                </c:pt>
                <c:pt idx="149">
                  <c:v>1.5</c:v>
                </c:pt>
                <c:pt idx="150">
                  <c:v>1.5</c:v>
                </c:pt>
                <c:pt idx="151">
                  <c:v>1.5</c:v>
                </c:pt>
                <c:pt idx="152">
                  <c:v>1.5</c:v>
                </c:pt>
                <c:pt idx="153">
                  <c:v>1.457142846857143</c:v>
                </c:pt>
                <c:pt idx="154">
                  <c:v>1.3857142857142859</c:v>
                </c:pt>
                <c:pt idx="155">
                  <c:v>1.2999999520000001</c:v>
                </c:pt>
                <c:pt idx="156">
                  <c:v>1.2999999520000001</c:v>
                </c:pt>
                <c:pt idx="157">
                  <c:v>1.2999999520000001</c:v>
                </c:pt>
                <c:pt idx="158">
                  <c:v>1.33</c:v>
                </c:pt>
                <c:pt idx="159">
                  <c:v>3.0287143159999999</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'13.Caudales'!$Y$4:$Y$163</c:f>
              <c:numCache>
                <c:formatCode>0.0</c:formatCode>
                <c:ptCount val="160"/>
                <c:pt idx="0">
                  <c:v>37.270000000000003</c:v>
                </c:pt>
                <c:pt idx="1">
                  <c:v>53.34</c:v>
                </c:pt>
                <c:pt idx="2">
                  <c:v>76.69</c:v>
                </c:pt>
                <c:pt idx="3">
                  <c:v>40.92</c:v>
                </c:pt>
                <c:pt idx="4">
                  <c:v>58.97</c:v>
                </c:pt>
                <c:pt idx="5">
                  <c:v>80.41</c:v>
                </c:pt>
                <c:pt idx="6">
                  <c:v>53.36</c:v>
                </c:pt>
                <c:pt idx="7">
                  <c:v>65.55</c:v>
                </c:pt>
                <c:pt idx="8">
                  <c:v>72.96314185</c:v>
                </c:pt>
                <c:pt idx="9">
                  <c:v>47.002858298165428</c:v>
                </c:pt>
                <c:pt idx="10">
                  <c:v>42.29</c:v>
                </c:pt>
                <c:pt idx="11">
                  <c:v>24.915714263915959</c:v>
                </c:pt>
                <c:pt idx="12">
                  <c:v>24.159999847412099</c:v>
                </c:pt>
                <c:pt idx="13">
                  <c:v>22.646999904087572</c:v>
                </c:pt>
                <c:pt idx="14">
                  <c:v>22.742571422031897</c:v>
                </c:pt>
                <c:pt idx="15">
                  <c:v>23.21</c:v>
                </c:pt>
                <c:pt idx="16">
                  <c:v>19.724285806928286</c:v>
                </c:pt>
                <c:pt idx="17">
                  <c:v>14.075714383806471</c:v>
                </c:pt>
                <c:pt idx="18">
                  <c:v>12.797142846243686</c:v>
                </c:pt>
                <c:pt idx="19">
                  <c:v>12.9</c:v>
                </c:pt>
                <c:pt idx="20">
                  <c:v>11.968571390424414</c:v>
                </c:pt>
                <c:pt idx="21">
                  <c:v>9.89</c:v>
                </c:pt>
                <c:pt idx="22">
                  <c:v>8.57</c:v>
                </c:pt>
                <c:pt idx="23">
                  <c:v>9.6</c:v>
                </c:pt>
                <c:pt idx="24">
                  <c:v>7.91285726</c:v>
                </c:pt>
                <c:pt idx="25">
                  <c:v>8.911428656</c:v>
                </c:pt>
                <c:pt idx="26">
                  <c:v>7.2057142259999996</c:v>
                </c:pt>
                <c:pt idx="27">
                  <c:v>9.9999998639999994</c:v>
                </c:pt>
                <c:pt idx="28">
                  <c:v>6.7128572460000004</c:v>
                </c:pt>
                <c:pt idx="29">
                  <c:v>6.0797142300000004</c:v>
                </c:pt>
                <c:pt idx="30">
                  <c:v>4.9059999329703157</c:v>
                </c:pt>
                <c:pt idx="31">
                  <c:v>4.0242800000000001</c:v>
                </c:pt>
                <c:pt idx="32">
                  <c:v>4.354285752</c:v>
                </c:pt>
                <c:pt idx="33">
                  <c:v>4.3511429509999999</c:v>
                </c:pt>
                <c:pt idx="34">
                  <c:v>5.3042856629999999</c:v>
                </c:pt>
                <c:pt idx="35">
                  <c:v>7.46</c:v>
                </c:pt>
                <c:pt idx="36">
                  <c:v>7.79</c:v>
                </c:pt>
                <c:pt idx="37">
                  <c:v>8.5442856379999998</c:v>
                </c:pt>
                <c:pt idx="38">
                  <c:v>6.81</c:v>
                </c:pt>
                <c:pt idx="39">
                  <c:v>6.2752857208571422</c:v>
                </c:pt>
                <c:pt idx="40">
                  <c:v>9.9285714966910028</c:v>
                </c:pt>
                <c:pt idx="41">
                  <c:v>9.6800000322857152</c:v>
                </c:pt>
                <c:pt idx="42">
                  <c:v>10.33</c:v>
                </c:pt>
                <c:pt idx="43">
                  <c:v>11.29</c:v>
                </c:pt>
                <c:pt idx="44">
                  <c:v>9</c:v>
                </c:pt>
                <c:pt idx="45">
                  <c:v>8.81</c:v>
                </c:pt>
                <c:pt idx="46">
                  <c:v>9.3542860000000001</c:v>
                </c:pt>
                <c:pt idx="47">
                  <c:v>14.194285802</c:v>
                </c:pt>
                <c:pt idx="48">
                  <c:v>22.62</c:v>
                </c:pt>
                <c:pt idx="49">
                  <c:v>22.62</c:v>
                </c:pt>
                <c:pt idx="50">
                  <c:v>17.489999999999998</c:v>
                </c:pt>
                <c:pt idx="51">
                  <c:v>18.608285904285712</c:v>
                </c:pt>
                <c:pt idx="52">
                  <c:v>25.43</c:v>
                </c:pt>
                <c:pt idx="53">
                  <c:v>55.67</c:v>
                </c:pt>
                <c:pt idx="54">
                  <c:v>58.31</c:v>
                </c:pt>
                <c:pt idx="55">
                  <c:v>47.49</c:v>
                </c:pt>
                <c:pt idx="56">
                  <c:v>45.46</c:v>
                </c:pt>
                <c:pt idx="57">
                  <c:v>28.56</c:v>
                </c:pt>
                <c:pt idx="58">
                  <c:v>25.04</c:v>
                </c:pt>
                <c:pt idx="59">
                  <c:v>58.84</c:v>
                </c:pt>
                <c:pt idx="60">
                  <c:v>102.26</c:v>
                </c:pt>
                <c:pt idx="61">
                  <c:v>83.74</c:v>
                </c:pt>
                <c:pt idx="62">
                  <c:v>62.42</c:v>
                </c:pt>
                <c:pt idx="63">
                  <c:v>52.01</c:v>
                </c:pt>
                <c:pt idx="64">
                  <c:v>65.430000000000007</c:v>
                </c:pt>
                <c:pt idx="65">
                  <c:v>71.06</c:v>
                </c:pt>
                <c:pt idx="66">
                  <c:v>77.099999999999994</c:v>
                </c:pt>
                <c:pt idx="67">
                  <c:v>48.77</c:v>
                </c:pt>
                <c:pt idx="68">
                  <c:v>34.409999999999997</c:v>
                </c:pt>
                <c:pt idx="69">
                  <c:v>28.8</c:v>
                </c:pt>
                <c:pt idx="70">
                  <c:v>22.78</c:v>
                </c:pt>
                <c:pt idx="71">
                  <c:v>17.8</c:v>
                </c:pt>
                <c:pt idx="72">
                  <c:v>17.84</c:v>
                </c:pt>
                <c:pt idx="73">
                  <c:v>16.37</c:v>
                </c:pt>
                <c:pt idx="74">
                  <c:v>13.15</c:v>
                </c:pt>
                <c:pt idx="75">
                  <c:v>10.85</c:v>
                </c:pt>
                <c:pt idx="76">
                  <c:v>8.98</c:v>
                </c:pt>
                <c:pt idx="77">
                  <c:v>9.41</c:v>
                </c:pt>
                <c:pt idx="78">
                  <c:v>8.58</c:v>
                </c:pt>
                <c:pt idx="79">
                  <c:v>6.64</c:v>
                </c:pt>
                <c:pt idx="80">
                  <c:v>6.49</c:v>
                </c:pt>
                <c:pt idx="81">
                  <c:v>6.15</c:v>
                </c:pt>
                <c:pt idx="82">
                  <c:v>5.51</c:v>
                </c:pt>
                <c:pt idx="83">
                  <c:v>5.16</c:v>
                </c:pt>
                <c:pt idx="84">
                  <c:v>5.27</c:v>
                </c:pt>
                <c:pt idx="85">
                  <c:v>5.0599999999999996</c:v>
                </c:pt>
                <c:pt idx="86">
                  <c:v>4.84</c:v>
                </c:pt>
                <c:pt idx="87">
                  <c:v>4.8899999999999997</c:v>
                </c:pt>
                <c:pt idx="88">
                  <c:v>8.4</c:v>
                </c:pt>
                <c:pt idx="89">
                  <c:v>6.42</c:v>
                </c:pt>
                <c:pt idx="90">
                  <c:v>7.98</c:v>
                </c:pt>
                <c:pt idx="91">
                  <c:v>5.32</c:v>
                </c:pt>
                <c:pt idx="92">
                  <c:v>4.95</c:v>
                </c:pt>
                <c:pt idx="93">
                  <c:v>7.39</c:v>
                </c:pt>
                <c:pt idx="94">
                  <c:v>6.18</c:v>
                </c:pt>
                <c:pt idx="95">
                  <c:v>8.7899999999999991</c:v>
                </c:pt>
                <c:pt idx="96">
                  <c:v>11.45</c:v>
                </c:pt>
                <c:pt idx="97">
                  <c:v>14.58</c:v>
                </c:pt>
                <c:pt idx="98">
                  <c:v>12.14</c:v>
                </c:pt>
                <c:pt idx="99">
                  <c:v>12.516714369142859</c:v>
                </c:pt>
                <c:pt idx="100">
                  <c:v>18.826999800000003</c:v>
                </c:pt>
                <c:pt idx="101">
                  <c:v>20.280285972857143</c:v>
                </c:pt>
                <c:pt idx="102">
                  <c:v>34.849000112857141</c:v>
                </c:pt>
                <c:pt idx="103">
                  <c:v>35.335714887142856</c:v>
                </c:pt>
                <c:pt idx="104">
                  <c:v>63.23</c:v>
                </c:pt>
                <c:pt idx="105">
                  <c:v>56.654285431428562</c:v>
                </c:pt>
                <c:pt idx="106">
                  <c:v>68.516428267142857</c:v>
                </c:pt>
                <c:pt idx="107">
                  <c:v>58.935427530000005</c:v>
                </c:pt>
                <c:pt idx="108">
                  <c:v>45.332857951428579</c:v>
                </c:pt>
                <c:pt idx="109">
                  <c:v>65.987571171428584</c:v>
                </c:pt>
                <c:pt idx="110">
                  <c:v>97.722999031428586</c:v>
                </c:pt>
                <c:pt idx="111">
                  <c:v>142.13</c:v>
                </c:pt>
                <c:pt idx="112">
                  <c:v>142.13857270714286</c:v>
                </c:pt>
                <c:pt idx="113">
                  <c:v>72.30971418</c:v>
                </c:pt>
                <c:pt idx="114">
                  <c:v>119.7894287057143</c:v>
                </c:pt>
                <c:pt idx="115">
                  <c:v>152.80443028571429</c:v>
                </c:pt>
                <c:pt idx="116">
                  <c:v>107.32928468714286</c:v>
                </c:pt>
                <c:pt idx="117">
                  <c:v>80.936570849999995</c:v>
                </c:pt>
                <c:pt idx="118">
                  <c:v>42.693143572857146</c:v>
                </c:pt>
                <c:pt idx="119">
                  <c:v>33.717142651428574</c:v>
                </c:pt>
                <c:pt idx="120">
                  <c:v>27.06</c:v>
                </c:pt>
                <c:pt idx="121">
                  <c:v>22.269714081428571</c:v>
                </c:pt>
                <c:pt idx="122">
                  <c:v>17.565999711428571</c:v>
                </c:pt>
                <c:pt idx="123">
                  <c:v>14.502285821428572</c:v>
                </c:pt>
                <c:pt idx="124">
                  <c:v>12.214999879999999</c:v>
                </c:pt>
                <c:pt idx="125">
                  <c:v>10.894571441428569</c:v>
                </c:pt>
                <c:pt idx="126">
                  <c:v>13.860571451428571</c:v>
                </c:pt>
                <c:pt idx="127">
                  <c:v>13.392856871428572</c:v>
                </c:pt>
                <c:pt idx="128">
                  <c:v>10.749428476857142</c:v>
                </c:pt>
                <c:pt idx="129">
                  <c:v>9.1145714351428584</c:v>
                </c:pt>
                <c:pt idx="130">
                  <c:v>7.6487142698571438</c:v>
                </c:pt>
                <c:pt idx="131">
                  <c:v>7.0544285774285713</c:v>
                </c:pt>
                <c:pt idx="132">
                  <c:v>6.3400000000000007</c:v>
                </c:pt>
                <c:pt idx="133">
                  <c:v>9.4385714285714304</c:v>
                </c:pt>
                <c:pt idx="134">
                  <c:v>8.5770238095238049</c:v>
                </c:pt>
                <c:pt idx="135">
                  <c:v>9.7962856299999999</c:v>
                </c:pt>
                <c:pt idx="136">
                  <c:v>8.7822855541428577</c:v>
                </c:pt>
                <c:pt idx="137">
                  <c:v>11.383714402571428</c:v>
                </c:pt>
                <c:pt idx="138">
                  <c:v>7.88</c:v>
                </c:pt>
                <c:pt idx="139">
                  <c:v>8.0857142857142854</c:v>
                </c:pt>
                <c:pt idx="140">
                  <c:v>8.6452856064285708</c:v>
                </c:pt>
                <c:pt idx="141">
                  <c:v>8.6452856064285708</c:v>
                </c:pt>
                <c:pt idx="142">
                  <c:v>7.4194285528571422</c:v>
                </c:pt>
                <c:pt idx="143">
                  <c:v>9.6005713597142837</c:v>
                </c:pt>
                <c:pt idx="144">
                  <c:v>10.943285942077617</c:v>
                </c:pt>
                <c:pt idx="145">
                  <c:v>17.972571236746628</c:v>
                </c:pt>
                <c:pt idx="146">
                  <c:v>19.552571432931028</c:v>
                </c:pt>
                <c:pt idx="147">
                  <c:v>33.081571032857141</c:v>
                </c:pt>
                <c:pt idx="148">
                  <c:v>39.80185754</c:v>
                </c:pt>
                <c:pt idx="149">
                  <c:v>37.212857142857146</c:v>
                </c:pt>
                <c:pt idx="150">
                  <c:v>35.055428368571434</c:v>
                </c:pt>
                <c:pt idx="151">
                  <c:v>28.370000294285713</c:v>
                </c:pt>
                <c:pt idx="152">
                  <c:v>22.919999999999998</c:v>
                </c:pt>
                <c:pt idx="153">
                  <c:v>17.695714271428571</c:v>
                </c:pt>
                <c:pt idx="154">
                  <c:v>33.51428571428572</c:v>
                </c:pt>
                <c:pt idx="155">
                  <c:v>52.753143308571431</c:v>
                </c:pt>
                <c:pt idx="156">
                  <c:v>64.398429325714275</c:v>
                </c:pt>
                <c:pt idx="157">
                  <c:v>70.997858864285703</c:v>
                </c:pt>
                <c:pt idx="158">
                  <c:v>68.83</c:v>
                </c:pt>
                <c:pt idx="159">
                  <c:v>70.089428494285713</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circle"/>
            <c:size val="3"/>
            <c:spPr>
              <a:solidFill>
                <a:schemeClr val="bg1"/>
              </a:solidFill>
              <a:ln w="0">
                <a:solidFill>
                  <a:srgbClr val="002060"/>
                </a:solidFill>
                <a:prstDash val="solid"/>
              </a:ln>
            </c:spPr>
          </c:marker>
          <c:val>
            <c:numRef>
              <c:f>'13.Caudales'!$X$4:$X$163</c:f>
              <c:numCache>
                <c:formatCode>0.0</c:formatCode>
                <c:ptCount val="160"/>
                <c:pt idx="0">
                  <c:v>109.19</c:v>
                </c:pt>
                <c:pt idx="1">
                  <c:v>177.91</c:v>
                </c:pt>
                <c:pt idx="2">
                  <c:v>248.28</c:v>
                </c:pt>
                <c:pt idx="3">
                  <c:v>142.55000000000001</c:v>
                </c:pt>
                <c:pt idx="4">
                  <c:v>251.59399999999999</c:v>
                </c:pt>
                <c:pt idx="5">
                  <c:v>388.05428210000002</c:v>
                </c:pt>
                <c:pt idx="6">
                  <c:v>283.21000240000001</c:v>
                </c:pt>
                <c:pt idx="7">
                  <c:v>414.29357470000002</c:v>
                </c:pt>
                <c:pt idx="8">
                  <c:v>382.60643219999997</c:v>
                </c:pt>
                <c:pt idx="9">
                  <c:v>245.78571646554084</c:v>
                </c:pt>
                <c:pt idx="10">
                  <c:v>239.62</c:v>
                </c:pt>
                <c:pt idx="11">
                  <c:v>150.27357046944684</c:v>
                </c:pt>
                <c:pt idx="12">
                  <c:v>116.33999633789</c:v>
                </c:pt>
                <c:pt idx="13">
                  <c:v>126.18428475516127</c:v>
                </c:pt>
                <c:pt idx="14">
                  <c:v>140.54571315220355</c:v>
                </c:pt>
                <c:pt idx="15">
                  <c:v>141.29</c:v>
                </c:pt>
                <c:pt idx="16">
                  <c:v>105.73500061035119</c:v>
                </c:pt>
                <c:pt idx="17">
                  <c:v>72.620000566754968</c:v>
                </c:pt>
                <c:pt idx="18">
                  <c:v>60.497857775006928</c:v>
                </c:pt>
                <c:pt idx="19">
                  <c:v>56.6</c:v>
                </c:pt>
                <c:pt idx="20">
                  <c:v>52.17071369716097</c:v>
                </c:pt>
                <c:pt idx="21">
                  <c:v>46.88</c:v>
                </c:pt>
                <c:pt idx="22">
                  <c:v>43.39</c:v>
                </c:pt>
                <c:pt idx="23">
                  <c:v>40.28</c:v>
                </c:pt>
                <c:pt idx="24">
                  <c:v>37.560714179999998</c:v>
                </c:pt>
                <c:pt idx="25">
                  <c:v>37.759999409999999</c:v>
                </c:pt>
                <c:pt idx="26">
                  <c:v>35.967143470000003</c:v>
                </c:pt>
                <c:pt idx="27">
                  <c:v>47.66357095</c:v>
                </c:pt>
                <c:pt idx="28">
                  <c:v>44.25</c:v>
                </c:pt>
                <c:pt idx="29">
                  <c:v>42.498571668352326</c:v>
                </c:pt>
                <c:pt idx="30">
                  <c:v>39.98428617204933</c:v>
                </c:pt>
                <c:pt idx="31">
                  <c:v>36.654999320000002</c:v>
                </c:pt>
                <c:pt idx="32">
                  <c:v>35.152857099999999</c:v>
                </c:pt>
                <c:pt idx="33">
                  <c:v>34.115715029999997</c:v>
                </c:pt>
                <c:pt idx="34">
                  <c:v>30.92</c:v>
                </c:pt>
                <c:pt idx="35">
                  <c:v>30.922143120000001</c:v>
                </c:pt>
                <c:pt idx="36">
                  <c:v>29.33</c:v>
                </c:pt>
                <c:pt idx="37">
                  <c:v>34.179286410000003</c:v>
                </c:pt>
                <c:pt idx="38">
                  <c:v>38.82</c:v>
                </c:pt>
                <c:pt idx="39">
                  <c:v>43.879284992857151</c:v>
                </c:pt>
                <c:pt idx="40">
                  <c:v>45.627857753208637</c:v>
                </c:pt>
                <c:pt idx="41">
                  <c:v>52.615000045714282</c:v>
                </c:pt>
                <c:pt idx="42">
                  <c:v>50.71</c:v>
                </c:pt>
                <c:pt idx="43">
                  <c:v>48.41</c:v>
                </c:pt>
                <c:pt idx="44">
                  <c:v>47.24</c:v>
                </c:pt>
                <c:pt idx="45">
                  <c:v>40.61</c:v>
                </c:pt>
                <c:pt idx="46">
                  <c:v>41.625</c:v>
                </c:pt>
                <c:pt idx="47">
                  <c:v>41.014285495714283</c:v>
                </c:pt>
                <c:pt idx="48">
                  <c:v>83.6</c:v>
                </c:pt>
                <c:pt idx="49">
                  <c:v>66.8</c:v>
                </c:pt>
                <c:pt idx="50">
                  <c:v>55.42</c:v>
                </c:pt>
                <c:pt idx="51">
                  <c:v>59.550713675714292</c:v>
                </c:pt>
                <c:pt idx="52">
                  <c:v>89.46</c:v>
                </c:pt>
                <c:pt idx="53">
                  <c:v>178.14</c:v>
                </c:pt>
                <c:pt idx="54">
                  <c:v>174.94</c:v>
                </c:pt>
                <c:pt idx="55">
                  <c:v>141.31</c:v>
                </c:pt>
                <c:pt idx="56">
                  <c:v>123.59</c:v>
                </c:pt>
                <c:pt idx="57">
                  <c:v>85.48</c:v>
                </c:pt>
                <c:pt idx="58">
                  <c:v>100.57</c:v>
                </c:pt>
                <c:pt idx="59">
                  <c:v>163.72999999999999</c:v>
                </c:pt>
                <c:pt idx="60">
                  <c:v>285.31</c:v>
                </c:pt>
                <c:pt idx="61">
                  <c:v>374.33</c:v>
                </c:pt>
                <c:pt idx="62">
                  <c:v>219.86</c:v>
                </c:pt>
                <c:pt idx="63">
                  <c:v>190.11</c:v>
                </c:pt>
                <c:pt idx="64">
                  <c:v>272.08999999999997</c:v>
                </c:pt>
                <c:pt idx="65">
                  <c:v>301.82</c:v>
                </c:pt>
                <c:pt idx="66">
                  <c:v>203.49</c:v>
                </c:pt>
                <c:pt idx="67">
                  <c:v>155.33000000000001</c:v>
                </c:pt>
                <c:pt idx="68">
                  <c:v>111.37</c:v>
                </c:pt>
                <c:pt idx="69">
                  <c:v>117.05</c:v>
                </c:pt>
                <c:pt idx="70">
                  <c:v>79.2</c:v>
                </c:pt>
                <c:pt idx="71">
                  <c:v>69.37</c:v>
                </c:pt>
                <c:pt idx="72">
                  <c:v>68.8</c:v>
                </c:pt>
                <c:pt idx="73">
                  <c:v>69.05</c:v>
                </c:pt>
                <c:pt idx="74">
                  <c:v>54.09</c:v>
                </c:pt>
                <c:pt idx="75">
                  <c:v>45.31</c:v>
                </c:pt>
                <c:pt idx="76">
                  <c:v>40.42</c:v>
                </c:pt>
                <c:pt idx="77">
                  <c:v>37.89</c:v>
                </c:pt>
                <c:pt idx="78">
                  <c:v>38.229999999999997</c:v>
                </c:pt>
                <c:pt idx="79">
                  <c:v>33.9</c:v>
                </c:pt>
                <c:pt idx="80">
                  <c:v>31.97</c:v>
                </c:pt>
                <c:pt idx="81">
                  <c:v>31.76</c:v>
                </c:pt>
                <c:pt idx="82">
                  <c:v>31.68</c:v>
                </c:pt>
                <c:pt idx="83">
                  <c:v>31.01</c:v>
                </c:pt>
                <c:pt idx="84">
                  <c:v>30.23</c:v>
                </c:pt>
                <c:pt idx="85">
                  <c:v>32.17</c:v>
                </c:pt>
                <c:pt idx="86">
                  <c:v>31.63</c:v>
                </c:pt>
                <c:pt idx="87">
                  <c:v>34.090000000000003</c:v>
                </c:pt>
                <c:pt idx="88">
                  <c:v>38.06</c:v>
                </c:pt>
                <c:pt idx="89">
                  <c:v>41.12</c:v>
                </c:pt>
                <c:pt idx="90">
                  <c:v>33.06</c:v>
                </c:pt>
                <c:pt idx="91">
                  <c:v>35.54</c:v>
                </c:pt>
                <c:pt idx="92">
                  <c:v>37.47</c:v>
                </c:pt>
                <c:pt idx="93">
                  <c:v>52.42</c:v>
                </c:pt>
                <c:pt idx="94">
                  <c:v>43.93</c:v>
                </c:pt>
                <c:pt idx="95">
                  <c:v>40.229999999999997</c:v>
                </c:pt>
                <c:pt idx="96">
                  <c:v>41.85</c:v>
                </c:pt>
                <c:pt idx="97">
                  <c:v>70.849999999999994</c:v>
                </c:pt>
                <c:pt idx="98">
                  <c:v>64.819999999999993</c:v>
                </c:pt>
                <c:pt idx="99">
                  <c:v>47.846427917142854</c:v>
                </c:pt>
                <c:pt idx="100">
                  <c:v>57.322143555714298</c:v>
                </c:pt>
                <c:pt idx="101">
                  <c:v>51.470714571428573</c:v>
                </c:pt>
                <c:pt idx="102">
                  <c:v>65.58357184285714</c:v>
                </c:pt>
                <c:pt idx="103">
                  <c:v>104.27285767571428</c:v>
                </c:pt>
                <c:pt idx="104">
                  <c:v>201.2428571428571</c:v>
                </c:pt>
                <c:pt idx="105">
                  <c:v>229.4250030571429</c:v>
                </c:pt>
                <c:pt idx="106">
                  <c:v>261.56357028571426</c:v>
                </c:pt>
                <c:pt idx="107">
                  <c:v>261.98000009999998</c:v>
                </c:pt>
                <c:pt idx="108">
                  <c:v>141.83571514285714</c:v>
                </c:pt>
                <c:pt idx="109">
                  <c:v>164.55714089999998</c:v>
                </c:pt>
                <c:pt idx="110">
                  <c:v>355.31285748571423</c:v>
                </c:pt>
                <c:pt idx="111">
                  <c:v>437.78</c:v>
                </c:pt>
                <c:pt idx="112">
                  <c:v>424.14571271428576</c:v>
                </c:pt>
                <c:pt idx="113">
                  <c:v>293.69142804285718</c:v>
                </c:pt>
                <c:pt idx="114">
                  <c:v>511.54500034285724</c:v>
                </c:pt>
                <c:pt idx="115">
                  <c:v>433.89143152857145</c:v>
                </c:pt>
                <c:pt idx="116">
                  <c:v>281.79928587142859</c:v>
                </c:pt>
                <c:pt idx="117">
                  <c:v>176.23214502857144</c:v>
                </c:pt>
                <c:pt idx="118">
                  <c:v>130.09</c:v>
                </c:pt>
                <c:pt idx="119">
                  <c:v>96.9</c:v>
                </c:pt>
                <c:pt idx="120">
                  <c:v>89.59</c:v>
                </c:pt>
                <c:pt idx="121">
                  <c:v>89.602142331428567</c:v>
                </c:pt>
                <c:pt idx="122">
                  <c:v>75.568572998571426</c:v>
                </c:pt>
                <c:pt idx="123">
                  <c:v>62.208570752857149</c:v>
                </c:pt>
                <c:pt idx="124">
                  <c:v>54.38714218285714</c:v>
                </c:pt>
                <c:pt idx="125">
                  <c:v>48.837857382857138</c:v>
                </c:pt>
                <c:pt idx="126">
                  <c:v>58.175000328571436</c:v>
                </c:pt>
                <c:pt idx="127">
                  <c:v>61.988572801428582</c:v>
                </c:pt>
                <c:pt idx="128">
                  <c:v>51.970714024285719</c:v>
                </c:pt>
                <c:pt idx="129">
                  <c:v>44.390714371428579</c:v>
                </c:pt>
                <c:pt idx="130">
                  <c:v>39.173571994285716</c:v>
                </c:pt>
                <c:pt idx="131">
                  <c:v>36.999285560000011</c:v>
                </c:pt>
                <c:pt idx="132">
                  <c:v>38.677142857142861</c:v>
                </c:pt>
                <c:pt idx="133">
                  <c:v>56.166428702857139</c:v>
                </c:pt>
                <c:pt idx="134">
                  <c:v>50.215000000000003</c:v>
                </c:pt>
                <c:pt idx="135">
                  <c:v>50.460713522857141</c:v>
                </c:pt>
                <c:pt idx="136">
                  <c:v>44.64</c:v>
                </c:pt>
                <c:pt idx="137">
                  <c:v>35.627857751428571</c:v>
                </c:pt>
                <c:pt idx="138">
                  <c:v>32.979999999999997</c:v>
                </c:pt>
                <c:pt idx="139">
                  <c:v>31.20428571428571</c:v>
                </c:pt>
                <c:pt idx="140">
                  <c:v>29.614285605714283</c:v>
                </c:pt>
                <c:pt idx="141">
                  <c:v>30.912857054285716</c:v>
                </c:pt>
                <c:pt idx="142">
                  <c:v>37.200000000000003</c:v>
                </c:pt>
                <c:pt idx="143">
                  <c:v>42.197143011428572</c:v>
                </c:pt>
                <c:pt idx="144">
                  <c:v>49.475714547293492</c:v>
                </c:pt>
                <c:pt idx="145">
                  <c:v>72.350713457379968</c:v>
                </c:pt>
                <c:pt idx="146">
                  <c:v>82.484284537179079</c:v>
                </c:pt>
                <c:pt idx="147">
                  <c:v>110.40928649571428</c:v>
                </c:pt>
                <c:pt idx="148">
                  <c:v>114.14357212285714</c:v>
                </c:pt>
                <c:pt idx="149">
                  <c:v>93.457142857142841</c:v>
                </c:pt>
                <c:pt idx="150">
                  <c:v>104.10500007571429</c:v>
                </c:pt>
                <c:pt idx="151">
                  <c:v>91.569999695714287</c:v>
                </c:pt>
                <c:pt idx="152">
                  <c:v>62.974285714285706</c:v>
                </c:pt>
                <c:pt idx="153">
                  <c:v>52.244286674285718</c:v>
                </c:pt>
                <c:pt idx="154">
                  <c:v>86.528571428571439</c:v>
                </c:pt>
                <c:pt idx="155">
                  <c:v>103.53357153142858</c:v>
                </c:pt>
                <c:pt idx="156">
                  <c:v>121.75642612857142</c:v>
                </c:pt>
                <c:pt idx="157">
                  <c:v>180.32999965714288</c:v>
                </c:pt>
                <c:pt idx="158">
                  <c:v>167.22</c:v>
                </c:pt>
                <c:pt idx="159">
                  <c:v>185.51500375714286</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91419763301439938"/>
              <c:y val="0.92770168283747612"/>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tickLblSkip val="20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0.16908948927484632"/>
          <c:y val="0.15512966001237669"/>
          <c:w val="0.6785949544844444"/>
          <c:h val="0.16299980945989467"/>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Setiembre 2018
INFSGI-MES-09-2018
11/10/2018
Versión: 01</c:oddHeader>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8.3941954186213383</c:v>
                </c:pt>
                <c:pt idx="1">
                  <c:v>8.1689595952024039</c:v>
                </c:pt>
                <c:pt idx="2">
                  <c:v>8.0676118430704147</c:v>
                </c:pt>
                <c:pt idx="3">
                  <c:v>7.9993808319630553</c:v>
                </c:pt>
                <c:pt idx="4">
                  <c:v>7.8898797540745615</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SAN JUAN 220</c:v>
                </c:pt>
                <c:pt idx="1">
                  <c:v>SANTA ROSA 220</c:v>
                </c:pt>
                <c:pt idx="2">
                  <c:v>CHAVARRIA 220</c:v>
                </c:pt>
                <c:pt idx="3">
                  <c:v>INDEPENDENCIA 220</c:v>
                </c:pt>
                <c:pt idx="4">
                  <c:v>CARABAYLLO 220</c:v>
                </c:pt>
                <c:pt idx="5">
                  <c:v>POMACOCHA 220</c:v>
                </c:pt>
                <c:pt idx="6">
                  <c:v>OROYA NUEVA 50</c:v>
                </c:pt>
              </c:strCache>
            </c:strRef>
          </c:cat>
          <c:val>
            <c:numRef>
              <c:f>'14. CMg'!$C$27:$I$27</c:f>
              <c:numCache>
                <c:formatCode>0.00</c:formatCode>
                <c:ptCount val="7"/>
                <c:pt idx="0">
                  <c:v>8.0615743583853234</c:v>
                </c:pt>
                <c:pt idx="1">
                  <c:v>8.0183972912737307</c:v>
                </c:pt>
                <c:pt idx="2">
                  <c:v>8.0129280992568361</c:v>
                </c:pt>
                <c:pt idx="3">
                  <c:v>7.9939563032999441</c:v>
                </c:pt>
                <c:pt idx="4">
                  <c:v>7.9620642630297827</c:v>
                </c:pt>
                <c:pt idx="5">
                  <c:v>7.3679580798310358</c:v>
                </c:pt>
                <c:pt idx="6">
                  <c:v>7.2656075657735517</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8.4958239829681901</c:v>
                </c:pt>
                <c:pt idx="1">
                  <c:v>8.2204914389579393</c:v>
                </c:pt>
                <c:pt idx="2">
                  <c:v>8.1988190070287406</c:v>
                </c:pt>
                <c:pt idx="3">
                  <c:v>8.1591092040673026</c:v>
                </c:pt>
                <c:pt idx="4">
                  <c:v>7.9051441363995441</c:v>
                </c:pt>
                <c:pt idx="5">
                  <c:v>7.8477133090712883</c:v>
                </c:pt>
                <c:pt idx="6">
                  <c:v>7.1942309016862644</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3.5913179272011722E-2"/>
          <c:y val="0.1175050040415628"/>
          <c:w val="0.93112961596945032"/>
          <c:h val="0.79909868940686513"/>
        </c:manualLayout>
      </c:layout>
      <c:barChart>
        <c:barDir val="col"/>
        <c:grouping val="clustered"/>
        <c:varyColors val="0"/>
        <c:ser>
          <c:idx val="2"/>
          <c:order val="0"/>
          <c:tx>
            <c:strRef>
              <c:f>'16. Congestiones'!$F$6</c:f>
              <c:strCache>
                <c:ptCount val="1"/>
                <c:pt idx="0">
                  <c:v>ENERO
 2017</c:v>
                </c:pt>
              </c:strCache>
            </c:strRef>
          </c:tx>
          <c:spPr>
            <a:solidFill>
              <a:schemeClr val="accent6"/>
            </a:solidFill>
          </c:spPr>
          <c:invertIfNegative val="0"/>
          <c:cat>
            <c:strRef>
              <c:f>'16. Congestiones'!$C$7:$C$24</c:f>
              <c:strCache>
                <c:ptCount val="18"/>
                <c:pt idx="0">
                  <c:v>ENLACE CENTRO - SUR</c:v>
                </c:pt>
                <c:pt idx="1">
                  <c:v>CERRO DEL AGUILA</c:v>
                </c:pt>
                <c:pt idx="2">
                  <c:v>LOS INDUSTRIALES</c:v>
                </c:pt>
                <c:pt idx="3">
                  <c:v>SAN JUAN - LOS INDUSTRIALES</c:v>
                </c:pt>
                <c:pt idx="4">
                  <c:v>SANTA ROSA N. - CHAVARRÍA</c:v>
                </c:pt>
                <c:pt idx="5">
                  <c:v>HUANZA-CARABAYLLO</c:v>
                </c:pt>
                <c:pt idx="6">
                  <c:v>CAMPO ARMIÑO - POMACOCHA</c:v>
                </c:pt>
                <c:pt idx="7">
                  <c:v>CAMPO ARMIÑO - HUANCAVELICA</c:v>
                </c:pt>
                <c:pt idx="8">
                  <c:v>POMACOCHA - SAN JUAN</c:v>
                </c:pt>
                <c:pt idx="9">
                  <c:v>PACHACHACA - CALLAHUANCA (REP)</c:v>
                </c:pt>
                <c:pt idx="10">
                  <c:v>PACHACHACA - POMACOCHA</c:v>
                </c:pt>
                <c:pt idx="11">
                  <c:v>LA NIÑA - PIURA OESTE</c:v>
                </c:pt>
                <c:pt idx="12">
                  <c:v>CARHUAMAYO - OROYA NUEVA</c:v>
                </c:pt>
                <c:pt idx="13">
                  <c:v>PARAGSHA II - CONOCOCHA</c:v>
                </c:pt>
                <c:pt idx="14">
                  <c:v>POMACOCHA - CARHUAMAYO</c:v>
                </c:pt>
                <c:pt idx="15">
                  <c:v>CHILINA - CONVERTIDOR</c:v>
                </c:pt>
                <c:pt idx="16">
                  <c:v>MARCONA - SAN NICOLÁS</c:v>
                </c:pt>
                <c:pt idx="17">
                  <c:v>INDEPENDENCIA</c:v>
                </c:pt>
              </c:strCache>
            </c:strRef>
          </c:cat>
          <c:val>
            <c:numRef>
              <c:f>'16. Congestiones'!$F$7:$F$24</c:f>
              <c:numCache>
                <c:formatCode>#,##0.00</c:formatCode>
                <c:ptCount val="18"/>
                <c:pt idx="0">
                  <c:v>300.60000000000002</c:v>
                </c:pt>
                <c:pt idx="1">
                  <c:v>10.5</c:v>
                </c:pt>
                <c:pt idx="2">
                  <c:v>8.4166666666666679</c:v>
                </c:pt>
                <c:pt idx="3">
                  <c:v>32.283333333333331</c:v>
                </c:pt>
                <c:pt idx="8">
                  <c:v>20.3</c:v>
                </c:pt>
                <c:pt idx="11">
                  <c:v>12.766666666666664</c:v>
                </c:pt>
                <c:pt idx="15">
                  <c:v>1.5166666666666666</c:v>
                </c:pt>
                <c:pt idx="16">
                  <c:v>5.6000000000000014</c:v>
                </c:pt>
                <c:pt idx="17">
                  <c:v>23.68333333333333</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ENERO
 2018</c:v>
                </c:pt>
              </c:strCache>
            </c:strRef>
          </c:tx>
          <c:invertIfNegative val="0"/>
          <c:cat>
            <c:strRef>
              <c:f>'16. Congestiones'!$C$7:$C$24</c:f>
              <c:strCache>
                <c:ptCount val="18"/>
                <c:pt idx="0">
                  <c:v>ENLACE CENTRO - SUR</c:v>
                </c:pt>
                <c:pt idx="1">
                  <c:v>CERRO DEL AGUILA</c:v>
                </c:pt>
                <c:pt idx="2">
                  <c:v>LOS INDUSTRIALES</c:v>
                </c:pt>
                <c:pt idx="3">
                  <c:v>SAN JUAN - LOS INDUSTRIALES</c:v>
                </c:pt>
                <c:pt idx="4">
                  <c:v>SANTA ROSA N. - CHAVARRÍA</c:v>
                </c:pt>
                <c:pt idx="5">
                  <c:v>HUANZA-CARABAYLLO</c:v>
                </c:pt>
                <c:pt idx="6">
                  <c:v>CAMPO ARMIÑO - POMACOCHA</c:v>
                </c:pt>
                <c:pt idx="7">
                  <c:v>CAMPO ARMIÑO - HUANCAVELICA</c:v>
                </c:pt>
                <c:pt idx="8">
                  <c:v>POMACOCHA - SAN JUAN</c:v>
                </c:pt>
                <c:pt idx="9">
                  <c:v>PACHACHACA - CALLAHUANCA (REP)</c:v>
                </c:pt>
                <c:pt idx="10">
                  <c:v>PACHACHACA - POMACOCHA</c:v>
                </c:pt>
                <c:pt idx="11">
                  <c:v>LA NIÑA - PIURA OESTE</c:v>
                </c:pt>
                <c:pt idx="12">
                  <c:v>CARHUAMAYO - OROYA NUEVA</c:v>
                </c:pt>
                <c:pt idx="13">
                  <c:v>PARAGSHA II - CONOCOCHA</c:v>
                </c:pt>
                <c:pt idx="14">
                  <c:v>POMACOCHA - CARHUAMAYO</c:v>
                </c:pt>
                <c:pt idx="15">
                  <c:v>CHILINA - CONVERTIDOR</c:v>
                </c:pt>
                <c:pt idx="16">
                  <c:v>MARCONA - SAN NICOLÁS</c:v>
                </c:pt>
                <c:pt idx="17">
                  <c:v>INDEPENDENCIA</c:v>
                </c:pt>
              </c:strCache>
            </c:strRef>
          </c:cat>
          <c:val>
            <c:numRef>
              <c:f>'16. Congestiones'!$E$7:$E$24</c:f>
              <c:numCache>
                <c:formatCode>#,##0.00</c:formatCode>
                <c:ptCount val="18"/>
                <c:pt idx="3">
                  <c:v>5.2333333333333334</c:v>
                </c:pt>
                <c:pt idx="4">
                  <c:v>47.066666666666663</c:v>
                </c:pt>
                <c:pt idx="8">
                  <c:v>10.283333333333333</c:v>
                </c:pt>
                <c:pt idx="12">
                  <c:v>17.633333333333333</c:v>
                </c:pt>
                <c:pt idx="13">
                  <c:v>5.1666666666666679</c:v>
                </c:pt>
                <c:pt idx="14">
                  <c:v>85.166666666666657</c:v>
                </c:pt>
                <c:pt idx="15">
                  <c:v>1.3666666666666671</c:v>
                </c:pt>
                <c:pt idx="17">
                  <c:v>2.7666666666666635</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ENERO
 2019</c:v>
                </c:pt>
              </c:strCache>
            </c:strRef>
          </c:tx>
          <c:invertIfNegative val="0"/>
          <c:cat>
            <c:strRef>
              <c:f>'16. Congestiones'!$C$7:$C$24</c:f>
              <c:strCache>
                <c:ptCount val="18"/>
                <c:pt idx="0">
                  <c:v>ENLACE CENTRO - SUR</c:v>
                </c:pt>
                <c:pt idx="1">
                  <c:v>CERRO DEL AGUILA</c:v>
                </c:pt>
                <c:pt idx="2">
                  <c:v>LOS INDUSTRIALES</c:v>
                </c:pt>
                <c:pt idx="3">
                  <c:v>SAN JUAN - LOS INDUSTRIALES</c:v>
                </c:pt>
                <c:pt idx="4">
                  <c:v>SANTA ROSA N. - CHAVARRÍA</c:v>
                </c:pt>
                <c:pt idx="5">
                  <c:v>HUANZA-CARABAYLLO</c:v>
                </c:pt>
                <c:pt idx="6">
                  <c:v>CAMPO ARMIÑO - POMACOCHA</c:v>
                </c:pt>
                <c:pt idx="7">
                  <c:v>CAMPO ARMIÑO - HUANCAVELICA</c:v>
                </c:pt>
                <c:pt idx="8">
                  <c:v>POMACOCHA - SAN JUAN</c:v>
                </c:pt>
                <c:pt idx="9">
                  <c:v>PACHACHACA - CALLAHUANCA (REP)</c:v>
                </c:pt>
                <c:pt idx="10">
                  <c:v>PACHACHACA - POMACOCHA</c:v>
                </c:pt>
                <c:pt idx="11">
                  <c:v>LA NIÑA - PIURA OESTE</c:v>
                </c:pt>
                <c:pt idx="12">
                  <c:v>CARHUAMAYO - OROYA NUEVA</c:v>
                </c:pt>
                <c:pt idx="13">
                  <c:v>PARAGSHA II - CONOCOCHA</c:v>
                </c:pt>
                <c:pt idx="14">
                  <c:v>POMACOCHA - CARHUAMAYO</c:v>
                </c:pt>
                <c:pt idx="15">
                  <c:v>CHILINA - CONVERTIDOR</c:v>
                </c:pt>
                <c:pt idx="16">
                  <c:v>MARCONA - SAN NICOLÁS</c:v>
                </c:pt>
                <c:pt idx="17">
                  <c:v>INDEPENDENCIA</c:v>
                </c:pt>
              </c:strCache>
            </c:strRef>
          </c:cat>
          <c:val>
            <c:numRef>
              <c:f>'16. Congestiones'!$D$7:$D$24</c:f>
              <c:numCache>
                <c:formatCode>#,##0.00</c:formatCode>
                <c:ptCount val="18"/>
                <c:pt idx="5">
                  <c:v>6.2333333333333325</c:v>
                </c:pt>
                <c:pt idx="6">
                  <c:v>0.99999999999999911</c:v>
                </c:pt>
                <c:pt idx="7">
                  <c:v>8.3833333333333346</c:v>
                </c:pt>
                <c:pt idx="8">
                  <c:v>70.333333333333329</c:v>
                </c:pt>
                <c:pt idx="9">
                  <c:v>1.7499999999999998</c:v>
                </c:pt>
                <c:pt idx="10">
                  <c:v>0.49999999999999956</c:v>
                </c:pt>
                <c:pt idx="11">
                  <c:v>7.9833333333333334</c:v>
                </c:pt>
                <c:pt idx="12">
                  <c:v>41.15</c:v>
                </c:pt>
                <c:pt idx="14">
                  <c:v>0.49999999999999956</c:v>
                </c:pt>
                <c:pt idx="16">
                  <c:v>195.98333333333332</c:v>
                </c:pt>
                <c:pt idx="17">
                  <c:v>3.2666666666666631</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txPr>
          <a:bodyPr/>
          <a:lstStyle/>
          <a:p>
            <a:pPr>
              <a:defRPr sz="700"/>
            </a:pPr>
            <a:endParaRPr lang="es-PE"/>
          </a:p>
        </c:txPr>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3.9859184398062441E-3"/>
              <c:y val="6.277616991279529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15906788488835297"/>
          <c:y val="1.7497032427713666E-2"/>
          <c:w val="0.6652715560880558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Agosto 2018
INFSGI-MES-08-2018
07/08/2018
Versión: 01</c:oddHeader>
    </c:headerFooter>
    <c:pageMargins b="0.75" l="0.7" r="0.7" t="0.75" header="0.3" footer="0.3"/>
    <c:pageSetup orientation="portrait"/>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359459538747166"/>
          <c:y val="0.12872505532273043"/>
          <c:w val="0.57525123234360975"/>
          <c:h val="0.80570103107869762"/>
        </c:manualLayout>
      </c:layout>
      <c:pieChart>
        <c:varyColors val="1"/>
        <c:ser>
          <c:idx val="0"/>
          <c:order val="0"/>
          <c:explosion val="6"/>
          <c:dPt>
            <c:idx val="0"/>
            <c:bubble3D val="0"/>
            <c:spPr>
              <a:solidFill>
                <a:srgbClr val="6DA6D9"/>
              </a:solidFill>
            </c:spPr>
            <c:extLst>
              <c:ext xmlns:c16="http://schemas.microsoft.com/office/drawing/2014/chart" uri="{C3380CC4-5D6E-409C-BE32-E72D297353CC}">
                <c16:uniqueId val="{00000001-E0CC-4AD3-904F-2124A98CD904}"/>
              </c:ext>
            </c:extLst>
          </c:dPt>
          <c:dPt>
            <c:idx val="1"/>
            <c:bubble3D val="0"/>
            <c:extLst>
              <c:ext xmlns:c16="http://schemas.microsoft.com/office/drawing/2014/chart" uri="{C3380CC4-5D6E-409C-BE32-E72D297353CC}">
                <c16:uniqueId val="{00000003-E0CC-4AD3-904F-2124A98CD904}"/>
              </c:ext>
            </c:extLst>
          </c:dPt>
          <c:dPt>
            <c:idx val="2"/>
            <c:bubble3D val="0"/>
            <c:spPr>
              <a:solidFill>
                <a:srgbClr val="FF0000"/>
              </a:solidFill>
            </c:spPr>
            <c:extLst>
              <c:ext xmlns:c16="http://schemas.microsoft.com/office/drawing/2014/chart" uri="{C3380CC4-5D6E-409C-BE32-E72D297353CC}">
                <c16:uniqueId val="{00000004-E0CC-4AD3-904F-2124A98CD904}"/>
              </c:ext>
            </c:extLst>
          </c:dPt>
          <c:dLbls>
            <c:dLbl>
              <c:idx val="0"/>
              <c:layout>
                <c:manualLayout>
                  <c:x val="5.290817153584286E-2"/>
                  <c:y val="-6.7116805378296271E-2"/>
                </c:manualLayout>
              </c:layout>
              <c:numFmt formatCode="General" sourceLinked="0"/>
              <c:spPr/>
              <c:txPr>
                <a:bodyPr/>
                <a:lstStyle/>
                <a:p>
                  <a:pPr>
                    <a:defRPr sz="600">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3284693861543531"/>
                      <c:h val="0.13577546691592818"/>
                    </c:manualLayout>
                  </c15:layout>
                </c:ext>
                <c:ext xmlns:c16="http://schemas.microsoft.com/office/drawing/2014/chart" uri="{C3380CC4-5D6E-409C-BE32-E72D297353CC}">
                  <c16:uniqueId val="{00000001-E0CC-4AD3-904F-2124A98CD904}"/>
                </c:ext>
              </c:extLst>
            </c:dLbl>
            <c:dLbl>
              <c:idx val="1"/>
              <c:layout>
                <c:manualLayout>
                  <c:x val="0.18638870441738087"/>
                  <c:y val="4.9447250633639521E-2"/>
                </c:manualLayout>
              </c:layout>
              <c:numFmt formatCode="General" sourceLinked="0"/>
              <c:spPr/>
              <c:txPr>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162170500478464"/>
                      <c:h val="0.13577546691592818"/>
                    </c:manualLayout>
                  </c15:layout>
                </c:ext>
                <c:ext xmlns:c16="http://schemas.microsoft.com/office/drawing/2014/chart" uri="{C3380CC4-5D6E-409C-BE32-E72D297353CC}">
                  <c16:uniqueId val="{00000003-E0CC-4AD3-904F-2124A98CD904}"/>
                </c:ext>
              </c:extLst>
            </c:dLbl>
            <c:dLbl>
              <c:idx val="2"/>
              <c:layout>
                <c:manualLayout>
                  <c:x val="0.55669666434842635"/>
                  <c:y val="-0.58428978447268609"/>
                </c:manualLayout>
              </c:layout>
              <c:numFmt formatCode="General" sourceLinked="0"/>
              <c:spPr/>
              <c:txPr>
                <a:bodyPr/>
                <a:lstStyle/>
                <a:p>
                  <a:pPr>
                    <a:defRPr sz="600">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5310191019520281"/>
                      <c:h val="0.11294646869551149"/>
                    </c:manualLayout>
                  </c15:layout>
                </c:ext>
                <c:ext xmlns:c16="http://schemas.microsoft.com/office/drawing/2014/chart" uri="{C3380CC4-5D6E-409C-BE32-E72D297353CC}">
                  <c16:uniqueId val="{00000004-E0CC-4AD3-904F-2124A98CD904}"/>
                </c:ext>
              </c:extLst>
            </c:dLbl>
            <c:dLbl>
              <c:idx val="3"/>
              <c:layout>
                <c:manualLayout>
                  <c:x val="-8.4292439921842183E-2"/>
                  <c:y val="-4.3706296848879327E-2"/>
                </c:manualLayout>
              </c:layout>
              <c:numFmt formatCode="General" sourceLinked="0"/>
              <c:spPr>
                <a:noFill/>
                <a:ln>
                  <a:noFill/>
                </a:ln>
                <a:effectLst/>
              </c:spPr>
              <c:txPr>
                <a:bodyPr wrap="square" lIns="38100" tIns="19050" rIns="38100" bIns="19050" anchor="ctr">
                  <a:noAutofit/>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4325113166733774"/>
                      <c:h val="0.15450648019988855"/>
                    </c:manualLayout>
                  </c15:layout>
                </c:ext>
                <c:ext xmlns:c16="http://schemas.microsoft.com/office/drawing/2014/chart" uri="{C3380CC4-5D6E-409C-BE32-E72D297353CC}">
                  <c16:uniqueId val="{00000005-E0CC-4AD3-904F-2124A98CD904}"/>
                </c:ext>
              </c:extLst>
            </c:dLbl>
            <c:dLbl>
              <c:idx val="4"/>
              <c:layout>
                <c:manualLayout>
                  <c:x val="0.10478490041153124"/>
                  <c:y val="-0.23225000449389732"/>
                </c:manualLayout>
              </c:layout>
              <c:numFmt formatCode="General" sourceLinked="0"/>
              <c:spPr>
                <a:noFill/>
                <a:ln>
                  <a:noFill/>
                </a:ln>
                <a:effectLst/>
              </c:spPr>
              <c:txPr>
                <a:bodyPr wrap="square" lIns="38100" tIns="19050" rIns="38100" bIns="19050" anchor="ctr">
                  <a:noAutofit/>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1624450289431439"/>
                      <c:h val="0.11294646869551149"/>
                    </c:manualLayout>
                  </c15:layout>
                </c:ext>
                <c:ext xmlns:c16="http://schemas.microsoft.com/office/drawing/2014/chart" uri="{C3380CC4-5D6E-409C-BE32-E72D297353CC}">
                  <c16:uniqueId val="{00000006-E0CC-4AD3-904F-2124A98CD904}"/>
                </c:ext>
              </c:extLst>
            </c:dLbl>
            <c:dLbl>
              <c:idx val="5"/>
              <c:layout>
                <c:manualLayout>
                  <c:x val="0.21966547617180079"/>
                  <c:y val="0.74630556703995976"/>
                </c:manualLayout>
              </c:layout>
              <c:numFmt formatCode="General" sourceLinked="0"/>
              <c:spPr/>
              <c:txPr>
                <a:bodyPr/>
                <a:lstStyle/>
                <a:p>
                  <a:pPr>
                    <a:defRPr sz="600">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4756776495482918"/>
                      <c:h val="0.14718996602613652"/>
                    </c:manualLayout>
                  </c15:layout>
                </c:ext>
                <c:ext xmlns:c16="http://schemas.microsoft.com/office/drawing/2014/chart" uri="{C3380CC4-5D6E-409C-BE32-E72D297353CC}">
                  <c16:uniqueId val="{00000007-E0CC-4AD3-904F-2124A98CD904}"/>
                </c:ext>
              </c:extLst>
            </c:dLbl>
            <c:dLbl>
              <c:idx val="6"/>
              <c:layout>
                <c:manualLayout>
                  <c:x val="0.34081423399586191"/>
                  <c:y val="0.75744773597454662"/>
                </c:manualLayout>
              </c:layout>
              <c:numFmt formatCode="General" sourceLinked="0"/>
              <c:spPr/>
              <c:txPr>
                <a:bodyPr/>
                <a:lstStyle/>
                <a:p>
                  <a:pPr>
                    <a:defRPr sz="600">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2913949706385269"/>
                      <c:h val="0.12436096780571983"/>
                    </c:manualLayout>
                  </c15:layout>
                </c:ext>
                <c:ext xmlns:c16="http://schemas.microsoft.com/office/drawing/2014/chart" uri="{C3380CC4-5D6E-409C-BE32-E72D297353CC}">
                  <c16:uniqueId val="{00000008-E0CC-4AD3-904F-2124A98CD904}"/>
                </c:ext>
              </c:extLst>
            </c:dLbl>
            <c:numFmt formatCode="General" sourceLinked="0"/>
            <c:spPr>
              <a:noFill/>
              <a:ln>
                <a:noFill/>
              </a:ln>
              <a:effectLst/>
            </c:spPr>
            <c:txPr>
              <a:bodyPr wrap="square" lIns="38100" tIns="19050" rIns="38100" bIns="19050" anchor="ctr">
                <a:spAutoFit/>
              </a:bodyPr>
              <a:lstStyle/>
              <a:p>
                <a:pPr>
                  <a:defRPr sz="600"/>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Eventos'!$B$12:$H$12</c:f>
              <c:numCache>
                <c:formatCode>General</c:formatCode>
                <c:ptCount val="7"/>
                <c:pt idx="0">
                  <c:v>28</c:v>
                </c:pt>
                <c:pt idx="1">
                  <c:v>2</c:v>
                </c:pt>
                <c:pt idx="2">
                  <c:v>5</c:v>
                </c:pt>
                <c:pt idx="3">
                  <c:v>2</c:v>
                </c:pt>
                <c:pt idx="4">
                  <c:v>30</c:v>
                </c:pt>
                <c:pt idx="5">
                  <c:v>2</c:v>
                </c:pt>
                <c:pt idx="6">
                  <c:v>0</c:v>
                </c:pt>
              </c:numCache>
            </c:numRef>
          </c:val>
          <c:extLst>
            <c:ext xmlns:c16="http://schemas.microsoft.com/office/drawing/2014/chart" uri="{C3380CC4-5D6E-409C-BE32-E72D297353CC}">
              <c16:uniqueId val="{00000009-E0CC-4AD3-904F-2124A98CD904}"/>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70059242154673118"/>
        </c:manualLayout>
      </c:layout>
      <c:barChart>
        <c:barDir val="col"/>
        <c:grouping val="clustered"/>
        <c:varyColors val="0"/>
        <c:ser>
          <c:idx val="0"/>
          <c:order val="0"/>
          <c:invertIfNegative val="0"/>
          <c:cat>
            <c:strRef>
              <c:f>'17. Eventos'!$A$7:$A$11</c:f>
              <c:strCache>
                <c:ptCount val="5"/>
                <c:pt idx="0">
                  <c:v>LINEA DE TRANSMISION</c:v>
                </c:pt>
                <c:pt idx="1">
                  <c:v>BARRA</c:v>
                </c:pt>
                <c:pt idx="2">
                  <c:v>CELDA</c:v>
                </c:pt>
                <c:pt idx="3">
                  <c:v>SUBESTACIÓN</c:v>
                </c:pt>
                <c:pt idx="4">
                  <c:v>TRANSFORMADOR </c:v>
                </c:pt>
              </c:strCache>
            </c:strRef>
          </c:cat>
          <c:val>
            <c:numRef>
              <c:f>'17. Eventos'!$J$7:$J$11</c:f>
              <c:numCache>
                <c:formatCode>#,##0.00</c:formatCode>
                <c:ptCount val="5"/>
                <c:pt idx="0">
                  <c:v>847.24</c:v>
                </c:pt>
                <c:pt idx="4">
                  <c:v>5.51</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generación'!$B$43:$C$43</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generación'!$D$42:$E$42</c:f>
              <c:strCache>
                <c:ptCount val="2"/>
                <c:pt idx="0">
                  <c:v>ENERO 2019</c:v>
                </c:pt>
                <c:pt idx="1">
                  <c:v>ENERO 2018</c:v>
                </c:pt>
              </c:strCache>
            </c:strRef>
          </c:cat>
          <c:val>
            <c:numRef>
              <c:f>'2. Oferta de generación'!$D$43:$E$43</c:f>
              <c:numCache>
                <c:formatCode>#,##0.0</c:formatCode>
                <c:ptCount val="2"/>
                <c:pt idx="0">
                  <c:v>4995.1492474999995</c:v>
                </c:pt>
                <c:pt idx="1">
                  <c:v>4882.6042474999995</c:v>
                </c:pt>
              </c:numCache>
            </c:numRef>
          </c:val>
          <c:extLst>
            <c:ext xmlns:c16="http://schemas.microsoft.com/office/drawing/2014/chart" uri="{C3380CC4-5D6E-409C-BE32-E72D297353CC}">
              <c16:uniqueId val="{00000004-54B0-402D-913D-0304413B844F}"/>
            </c:ext>
          </c:extLst>
        </c:ser>
        <c:ser>
          <c:idx val="1"/>
          <c:order val="1"/>
          <c:tx>
            <c:strRef>
              <c:f>'2. Oferta de generación'!$B$44:$C$44</c:f>
              <c:strCache>
                <c:ptCount val="2"/>
                <c:pt idx="0">
                  <c:v>TERMOELÉCTRICA</c:v>
                </c:pt>
              </c:strCache>
            </c:strRef>
          </c:tx>
          <c:spPr>
            <a:solidFill>
              <a:schemeClr val="accent2"/>
            </a:solidFill>
          </c:spPr>
          <c:invertIfNegative val="0"/>
          <c:cat>
            <c:strRef>
              <c:f>'2. Oferta de generación'!$D$42:$E$42</c:f>
              <c:strCache>
                <c:ptCount val="2"/>
                <c:pt idx="0">
                  <c:v>ENERO 2019</c:v>
                </c:pt>
                <c:pt idx="1">
                  <c:v>ENERO 2018</c:v>
                </c:pt>
              </c:strCache>
            </c:strRef>
          </c:cat>
          <c:val>
            <c:numRef>
              <c:f>'2. Oferta de generación'!$D$44:$E$44</c:f>
              <c:numCache>
                <c:formatCode>#,##0.0</c:formatCode>
                <c:ptCount val="2"/>
                <c:pt idx="0">
                  <c:v>7395.9645</c:v>
                </c:pt>
                <c:pt idx="1">
                  <c:v>7286.2885000000006</c:v>
                </c:pt>
              </c:numCache>
            </c:numRef>
          </c:val>
          <c:extLst>
            <c:ext xmlns:c16="http://schemas.microsoft.com/office/drawing/2014/chart" uri="{C3380CC4-5D6E-409C-BE32-E72D297353CC}">
              <c16:uniqueId val="{00000005-54B0-402D-913D-0304413B844F}"/>
            </c:ext>
          </c:extLst>
        </c:ser>
        <c:ser>
          <c:idx val="2"/>
          <c:order val="2"/>
          <c:tx>
            <c:strRef>
              <c:f>'2. Oferta de generación'!$B$45:$C$45</c:f>
              <c:strCache>
                <c:ptCount val="2"/>
                <c:pt idx="0">
                  <c:v>EÓLICA</c:v>
                </c:pt>
              </c:strCache>
            </c:strRef>
          </c:tx>
          <c:spPr>
            <a:solidFill>
              <a:srgbClr val="6DA6D9"/>
            </a:solidFill>
          </c:spPr>
          <c:invertIfNegative val="0"/>
          <c:cat>
            <c:strRef>
              <c:f>'2. Oferta de generación'!$D$42:$E$42</c:f>
              <c:strCache>
                <c:ptCount val="2"/>
                <c:pt idx="0">
                  <c:v>ENERO 2019</c:v>
                </c:pt>
                <c:pt idx="1">
                  <c:v>ENERO 2018</c:v>
                </c:pt>
              </c:strCache>
            </c:strRef>
          </c:cat>
          <c:val>
            <c:numRef>
              <c:f>'2. Oferta de generación'!$D$45:$E$45</c:f>
              <c:numCache>
                <c:formatCode>#,##0.0</c:formatCode>
                <c:ptCount val="2"/>
                <c:pt idx="0">
                  <c:v>375.46</c:v>
                </c:pt>
                <c:pt idx="1">
                  <c:v>243.16</c:v>
                </c:pt>
              </c:numCache>
            </c:numRef>
          </c:val>
          <c:extLst>
            <c:ext xmlns:c16="http://schemas.microsoft.com/office/drawing/2014/chart" uri="{C3380CC4-5D6E-409C-BE32-E72D297353CC}">
              <c16:uniqueId val="{00000006-54B0-402D-913D-0304413B844F}"/>
            </c:ext>
          </c:extLst>
        </c:ser>
        <c:ser>
          <c:idx val="3"/>
          <c:order val="3"/>
          <c:tx>
            <c:strRef>
              <c:f>'2. Oferta de generación'!$B$46:$C$46</c:f>
              <c:strCache>
                <c:ptCount val="2"/>
                <c:pt idx="0">
                  <c:v>SOLAR</c:v>
                </c:pt>
              </c:strCache>
            </c:strRef>
          </c:tx>
          <c:invertIfNegative val="0"/>
          <c:cat>
            <c:strRef>
              <c:f>'2. Oferta de generación'!$D$42:$E$42</c:f>
              <c:strCache>
                <c:ptCount val="2"/>
                <c:pt idx="0">
                  <c:v>ENERO 2019</c:v>
                </c:pt>
                <c:pt idx="1">
                  <c:v>ENERO 2018</c:v>
                </c:pt>
              </c:strCache>
            </c:strRef>
          </c:cat>
          <c:val>
            <c:numRef>
              <c:f>'2. Oferta de generación'!$D$46:$E$46</c:f>
              <c:numCache>
                <c:formatCode>#,##0.0</c:formatCode>
                <c:ptCount val="2"/>
                <c:pt idx="0">
                  <c:v>285.02</c:v>
                </c:pt>
                <c:pt idx="1">
                  <c:v>240.48400000000001</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74679285824352"/>
          <c:y val="0.20370370370370369"/>
          <c:w val="0.88274307198113822"/>
          <c:h val="0.64324803149606291"/>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Eventos'!$A$7:$A$11</c:f>
              <c:strCache>
                <c:ptCount val="5"/>
                <c:pt idx="0">
                  <c:v>LINEA DE TRANSMISION</c:v>
                </c:pt>
                <c:pt idx="1">
                  <c:v>BARRA</c:v>
                </c:pt>
                <c:pt idx="2">
                  <c:v>CELDA</c:v>
                </c:pt>
                <c:pt idx="3">
                  <c:v>SUBESTACIÓN</c:v>
                </c:pt>
                <c:pt idx="4">
                  <c:v>TRANSFORMADOR </c:v>
                </c:pt>
              </c:strCache>
            </c:strRef>
          </c:cat>
          <c:val>
            <c:numRef>
              <c:f>'17. Eventos'!$B$7:$B$11</c:f>
              <c:numCache>
                <c:formatCode>General</c:formatCode>
                <c:ptCount val="5"/>
                <c:pt idx="0">
                  <c:v>28</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Eventos'!$A$7:$A$11</c:f>
              <c:strCache>
                <c:ptCount val="5"/>
                <c:pt idx="0">
                  <c:v>LINEA DE TRANSMISION</c:v>
                </c:pt>
                <c:pt idx="1">
                  <c:v>BARRA</c:v>
                </c:pt>
                <c:pt idx="2">
                  <c:v>CELDA</c:v>
                </c:pt>
                <c:pt idx="3">
                  <c:v>SUBESTACIÓN</c:v>
                </c:pt>
                <c:pt idx="4">
                  <c:v>TRANSFORMADOR </c:v>
                </c:pt>
              </c:strCache>
            </c:strRef>
          </c:cat>
          <c:val>
            <c:numRef>
              <c:f>'17. Eventos'!$C$7:$C$11</c:f>
              <c:numCache>
                <c:formatCode>General</c:formatCode>
                <c:ptCount val="5"/>
                <c:pt idx="0">
                  <c:v>2</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Eventos'!$A$7:$A$11</c:f>
              <c:strCache>
                <c:ptCount val="5"/>
                <c:pt idx="0">
                  <c:v>LINEA DE TRANSMISION</c:v>
                </c:pt>
                <c:pt idx="1">
                  <c:v>BARRA</c:v>
                </c:pt>
                <c:pt idx="2">
                  <c:v>CELDA</c:v>
                </c:pt>
                <c:pt idx="3">
                  <c:v>SUBESTACIÓN</c:v>
                </c:pt>
                <c:pt idx="4">
                  <c:v>TRANSFORMADOR </c:v>
                </c:pt>
              </c:strCache>
            </c:strRef>
          </c:cat>
          <c:val>
            <c:numRef>
              <c:f>'17. Eventos'!$D$7:$D$11</c:f>
              <c:numCache>
                <c:formatCode>General</c:formatCode>
                <c:ptCount val="5"/>
                <c:pt idx="0">
                  <c:v>5</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Eventos'!$A$7:$A$11</c:f>
              <c:strCache>
                <c:ptCount val="5"/>
                <c:pt idx="0">
                  <c:v>LINEA DE TRANSMISION</c:v>
                </c:pt>
                <c:pt idx="1">
                  <c:v>BARRA</c:v>
                </c:pt>
                <c:pt idx="2">
                  <c:v>CELDA</c:v>
                </c:pt>
                <c:pt idx="3">
                  <c:v>SUBESTACIÓN</c:v>
                </c:pt>
                <c:pt idx="4">
                  <c:v>TRANSFORMADOR </c:v>
                </c:pt>
              </c:strCache>
            </c:strRef>
          </c:cat>
          <c:val>
            <c:numRef>
              <c:f>'17. Eventos'!$E$7:$E$11</c:f>
              <c:numCache>
                <c:formatCode>General</c:formatCode>
                <c:ptCount val="5"/>
                <c:pt idx="0">
                  <c:v>2</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Eventos'!$A$7:$A$11</c:f>
              <c:strCache>
                <c:ptCount val="5"/>
                <c:pt idx="0">
                  <c:v>LINEA DE TRANSMISION</c:v>
                </c:pt>
                <c:pt idx="1">
                  <c:v>BARRA</c:v>
                </c:pt>
                <c:pt idx="2">
                  <c:v>CELDA</c:v>
                </c:pt>
                <c:pt idx="3">
                  <c:v>SUBESTACIÓN</c:v>
                </c:pt>
                <c:pt idx="4">
                  <c:v>TRANSFORMADOR </c:v>
                </c:pt>
              </c:strCache>
            </c:strRef>
          </c:cat>
          <c:val>
            <c:numRef>
              <c:f>'17. Eventos'!$F$7:$F$11</c:f>
              <c:numCache>
                <c:formatCode>General</c:formatCode>
                <c:ptCount val="5"/>
                <c:pt idx="0">
                  <c:v>29</c:v>
                </c:pt>
                <c:pt idx="4">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val>
            <c:numRef>
              <c:f>'17. Eventos'!$G$7:$G$11</c:f>
              <c:numCache>
                <c:formatCode>General</c:formatCode>
                <c:ptCount val="5"/>
                <c:pt idx="0">
                  <c:v>2</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val>
            <c:numRef>
              <c:f>'17. Eventos'!$H$7:$H$11</c:f>
              <c:numCache>
                <c:formatCode>General</c:formatCode>
                <c:ptCount val="5"/>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150"/>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800">
                <a:latin typeface="Arial" panose="020B0604020202020204" pitchFamily="34" charset="0"/>
                <a:cs typeface="Arial" panose="020B0604020202020204" pitchFamily="34" charset="0"/>
              </a:rPr>
              <a:t>Ingreso de potencia efectiva en el SEIN</a:t>
            </a:r>
          </a:p>
        </c:rich>
      </c:tx>
      <c:layout>
        <c:manualLayout>
          <c:xMode val="edge"/>
          <c:yMode val="edge"/>
          <c:x val="0.35045055502834938"/>
          <c:y val="2.786483418446737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8.224621700770593E-2"/>
          <c:y val="0.17877646799271954"/>
          <c:w val="0.88604204608575698"/>
          <c:h val="0.66960073004778409"/>
        </c:manualLayout>
      </c:layout>
      <c:barChart>
        <c:barDir val="col"/>
        <c:grouping val="clustered"/>
        <c:varyColors val="0"/>
        <c:ser>
          <c:idx val="0"/>
          <c:order val="0"/>
          <c:tx>
            <c:strRef>
              <c:f>'2. Oferta de generación'!$L$23:$L$27</c:f>
              <c:strCache>
                <c:ptCount val="5"/>
                <c:pt idx="0">
                  <c:v>Central Solar</c:v>
                </c:pt>
                <c:pt idx="1">
                  <c:v>Central Hidroeléctrica</c:v>
                </c:pt>
                <c:pt idx="2">
                  <c:v>Turbina de Vapor (*)</c:v>
                </c:pt>
                <c:pt idx="3">
                  <c:v>Central Eólica</c:v>
                </c:pt>
                <c:pt idx="4">
                  <c:v>Central a Biogás</c:v>
                </c:pt>
              </c:strCache>
            </c:strRef>
          </c:tx>
          <c:spPr>
            <a:solidFill>
              <a:schemeClr val="accent1"/>
            </a:solidFill>
            <a:ln>
              <a:noFill/>
            </a:ln>
            <a:effectLst/>
          </c:spPr>
          <c:invertIfNegative val="0"/>
          <c:dLbls>
            <c:delete val="1"/>
          </c:dLbls>
          <c:cat>
            <c:multiLvlStrRef>
              <c:f>'2. Oferta de generación'!$L$23:$L$27</c:f>
            </c:multiLvlStrRef>
          </c:cat>
          <c:val>
            <c:numRef>
              <c:f>'2. Oferta de generación'!$M$23:$M$27</c:f>
            </c:numRef>
          </c:val>
          <c:extLst>
            <c:ext xmlns:c16="http://schemas.microsoft.com/office/drawing/2014/chart" uri="{C3380CC4-5D6E-409C-BE32-E72D297353CC}">
              <c16:uniqueId val="{00000000-97B6-4FBD-B93B-1DCD19285F24}"/>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2017</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2868.5575095339591</c:v>
                </c:pt>
                <c:pt idx="1">
                  <c:v>1325.3500408210468</c:v>
                </c:pt>
                <c:pt idx="2">
                  <c:v>60.372802024048376</c:v>
                </c:pt>
                <c:pt idx="3">
                  <c:v>17.646586911443002</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2018</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2939.1774245275028</c:v>
                </c:pt>
                <c:pt idx="1">
                  <c:v>1169.0374754100005</c:v>
                </c:pt>
                <c:pt idx="2">
                  <c:v>87.37300737999999</c:v>
                </c:pt>
                <c:pt idx="3">
                  <c:v>59.658878850000001</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2019</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2780.5065075125008</c:v>
                </c:pt>
                <c:pt idx="1">
                  <c:v>1550.1730163299997</c:v>
                </c:pt>
                <c:pt idx="2">
                  <c:v>110.11578868249998</c:v>
                </c:pt>
                <c:pt idx="3">
                  <c:v>56.281983437499996</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ax val="5000"/>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7326946354"/>
          <c:y val="2.7011847548981793E-3"/>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2019</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2780.5065075125008</c:v>
                </c:pt>
                <c:pt idx="1">
                  <c:v>1448.6344844124999</c:v>
                </c:pt>
                <c:pt idx="2">
                  <c:v>55.561611380000002</c:v>
                </c:pt>
                <c:pt idx="3">
                  <c:v>21.820522857499999</c:v>
                </c:pt>
                <c:pt idx="4">
                  <c:v>0</c:v>
                </c:pt>
                <c:pt idx="5">
                  <c:v>4.0722708399999998</c:v>
                </c:pt>
                <c:pt idx="6">
                  <c:v>5.8344011274999996</c:v>
                </c:pt>
                <c:pt idx="7">
                  <c:v>0</c:v>
                </c:pt>
                <c:pt idx="8">
                  <c:v>1.3454662900000001</c:v>
                </c:pt>
                <c:pt idx="9">
                  <c:v>7.1550470475000001</c:v>
                </c:pt>
                <c:pt idx="10">
                  <c:v>5.7492123750000008</c:v>
                </c:pt>
                <c:pt idx="11">
                  <c:v>56.281983437499996</c:v>
                </c:pt>
                <c:pt idx="12">
                  <c:v>110.11578868249998</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2018</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2939.1774245275028</c:v>
                </c:pt>
                <c:pt idx="1">
                  <c:v>1103.3222815800002</c:v>
                </c:pt>
                <c:pt idx="2">
                  <c:v>44.653600332499998</c:v>
                </c:pt>
                <c:pt idx="3">
                  <c:v>9.3588819924999989</c:v>
                </c:pt>
                <c:pt idx="4">
                  <c:v>0</c:v>
                </c:pt>
                <c:pt idx="5">
                  <c:v>0</c:v>
                </c:pt>
                <c:pt idx="6">
                  <c:v>8.2213869999999994E-2</c:v>
                </c:pt>
                <c:pt idx="7">
                  <c:v>0</c:v>
                </c:pt>
                <c:pt idx="8">
                  <c:v>0.84348088499999996</c:v>
                </c:pt>
                <c:pt idx="9">
                  <c:v>6.8479127750000002</c:v>
                </c:pt>
                <c:pt idx="10">
                  <c:v>3.9291039749999999</c:v>
                </c:pt>
                <c:pt idx="11">
                  <c:v>59.658878850000001</c:v>
                </c:pt>
                <c:pt idx="12">
                  <c:v>87.37300737999999</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2017</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2868.5575095339591</c:v>
                </c:pt>
                <c:pt idx="1">
                  <c:v>1200.2094914464467</c:v>
                </c:pt>
                <c:pt idx="2">
                  <c:v>29.811042691402825</c:v>
                </c:pt>
                <c:pt idx="3">
                  <c:v>0</c:v>
                </c:pt>
                <c:pt idx="4">
                  <c:v>5.954966995356</c:v>
                </c:pt>
                <c:pt idx="5">
                  <c:v>68.854987456054744</c:v>
                </c:pt>
                <c:pt idx="6">
                  <c:v>0.70138252152367497</c:v>
                </c:pt>
                <c:pt idx="7">
                  <c:v>2.9588822052000002E-2</c:v>
                </c:pt>
                <c:pt idx="8">
                  <c:v>9.1621370531398991</c:v>
                </c:pt>
                <c:pt idx="9">
                  <c:v>7.1225864350709998</c:v>
                </c:pt>
                <c:pt idx="10">
                  <c:v>3.5038573999999998</c:v>
                </c:pt>
                <c:pt idx="11">
                  <c:v>17.646586911443002</c:v>
                </c:pt>
                <c:pt idx="12">
                  <c:v>60.372802024048376</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ax val="3500"/>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2017</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124.90405737228848</c:v>
                </c:pt>
                <c:pt idx="1">
                  <c:v>60.372802024048376</c:v>
                </c:pt>
                <c:pt idx="2">
                  <c:v>17.646586911443002</c:v>
                </c:pt>
                <c:pt idx="3">
                  <c:v>7.1225864350709998</c:v>
                </c:pt>
                <c:pt idx="4">
                  <c:v>3.5038573999999998</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2018</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108.19996422</c:v>
                </c:pt>
                <c:pt idx="1">
                  <c:v>87.37300737999999</c:v>
                </c:pt>
                <c:pt idx="2">
                  <c:v>59.658878850000001</c:v>
                </c:pt>
                <c:pt idx="3">
                  <c:v>6.8479127750000002</c:v>
                </c:pt>
                <c:pt idx="4">
                  <c:v>3.9291039749999999</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2019</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148.2323815675</c:v>
                </c:pt>
                <c:pt idx="1">
                  <c:v>110.11578868249998</c:v>
                </c:pt>
                <c:pt idx="2">
                  <c:v>56.281983437499996</c:v>
                </c:pt>
                <c:pt idx="3">
                  <c:v>7.1550470475000001</c:v>
                </c:pt>
                <c:pt idx="4">
                  <c:v>5.7492123750000008</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7.3503247505281019E-2"/>
                  <c:y val="-8.7357171498368164E-2"/>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1.9884189952601595E-2"/>
                  <c:y val="-2.7671424053858397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1.4280734838135646E-2"/>
                  <c:y val="-0.14377635138399877"/>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6.2722198975415436E-3"/>
                  <c:y val="-2.6207833484720149E-3"/>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7,283%</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4169.5472959625013</c:v>
                </c:pt>
                <c:pt idx="1">
                  <c:v>148.2323815675</c:v>
                </c:pt>
                <c:pt idx="2">
                  <c:v>110.11578868249998</c:v>
                </c:pt>
                <c:pt idx="3">
                  <c:v>56.281983437499996</c:v>
                </c:pt>
                <c:pt idx="4">
                  <c:v>7.1550470475000001</c:v>
                </c:pt>
                <c:pt idx="5">
                  <c:v>5.7492123750000008</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0337761820090295E-2"/>
          <c:y val="0.15413722949669401"/>
          <c:w val="0.87180267690761371"/>
          <c:h val="0.31539921760078976"/>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RER'!$L$6:$L$30</c:f>
              <c:strCache>
                <c:ptCount val="25"/>
                <c:pt idx="0">
                  <c:v>C.H. RUNATULLO III</c:v>
                </c:pt>
                <c:pt idx="1">
                  <c:v>C.H. RUNATULLO II</c:v>
                </c:pt>
                <c:pt idx="2">
                  <c:v>C.H. YARUCAYA</c:v>
                </c:pt>
                <c:pt idx="3">
                  <c:v>C.H. POTRERO</c:v>
                </c:pt>
                <c:pt idx="4">
                  <c:v>C.H. RENOVANDES H1</c:v>
                </c:pt>
                <c:pt idx="5">
                  <c:v>C.H. CARHUAC</c:v>
                </c:pt>
                <c:pt idx="6">
                  <c:v>C.H. LAS PIZARRAS</c:v>
                </c:pt>
                <c:pt idx="7">
                  <c:v>C.H. ÁNGEL I</c:v>
                </c:pt>
                <c:pt idx="8">
                  <c:v>C.H. ÁNGEL II</c:v>
                </c:pt>
                <c:pt idx="9">
                  <c:v>C.H. HUASAHUASI II</c:v>
                </c:pt>
                <c:pt idx="10">
                  <c:v>C.H. CARHUAQUERO IV</c:v>
                </c:pt>
                <c:pt idx="11">
                  <c:v>C.H. ÁNGEL III</c:v>
                </c:pt>
                <c:pt idx="12">
                  <c:v>C.H. HUASAHUASI I</c:v>
                </c:pt>
                <c:pt idx="13">
                  <c:v>C.H. SANTA CRUZ II</c:v>
                </c:pt>
                <c:pt idx="14">
                  <c:v>C.H. LA JOYA</c:v>
                </c:pt>
                <c:pt idx="15">
                  <c:v>C.H. SANTA CRUZ I</c:v>
                </c:pt>
                <c:pt idx="16">
                  <c:v>C.H. CAÑA BRAVA</c:v>
                </c:pt>
                <c:pt idx="17">
                  <c:v>C.H. CANCHAYLLO</c:v>
                </c:pt>
                <c:pt idx="18">
                  <c:v>C.H. POECHOS II</c:v>
                </c:pt>
                <c:pt idx="19">
                  <c:v>C.H. IMPERIAL</c:v>
                </c:pt>
                <c:pt idx="20">
                  <c:v>C.H. YANAPAMPA</c:v>
                </c:pt>
                <c:pt idx="21">
                  <c:v>C.H. RONCADOR</c:v>
                </c:pt>
                <c:pt idx="22">
                  <c:v>C.H. ZAÑA</c:v>
                </c:pt>
                <c:pt idx="23">
                  <c:v>C.H. PURMACANA</c:v>
                </c:pt>
                <c:pt idx="24">
                  <c:v>C.H. HER 1</c:v>
                </c:pt>
              </c:strCache>
            </c:strRef>
          </c:cat>
          <c:val>
            <c:numRef>
              <c:f>'6. FP RER'!$O$6:$O$30</c:f>
              <c:numCache>
                <c:formatCode>0.00</c:formatCode>
                <c:ptCount val="25"/>
                <c:pt idx="0">
                  <c:v>14.528373985</c:v>
                </c:pt>
                <c:pt idx="1">
                  <c:v>12.857864144999999</c:v>
                </c:pt>
                <c:pt idx="2">
                  <c:v>12.711195619999998</c:v>
                </c:pt>
                <c:pt idx="3">
                  <c:v>12.45674105</c:v>
                </c:pt>
                <c:pt idx="4">
                  <c:v>11.887642335000001</c:v>
                </c:pt>
                <c:pt idx="5">
                  <c:v>8.5214816824999993</c:v>
                </c:pt>
                <c:pt idx="6">
                  <c:v>8.5054386950000005</c:v>
                </c:pt>
                <c:pt idx="7">
                  <c:v>6.499239675000001</c:v>
                </c:pt>
                <c:pt idx="8">
                  <c:v>6.4023982275</c:v>
                </c:pt>
                <c:pt idx="9">
                  <c:v>6.4006751299999998</c:v>
                </c:pt>
                <c:pt idx="10">
                  <c:v>6.2538891274999999</c:v>
                </c:pt>
                <c:pt idx="11">
                  <c:v>6.1684928875000002</c:v>
                </c:pt>
                <c:pt idx="12">
                  <c:v>6.0747587025000005</c:v>
                </c:pt>
                <c:pt idx="13">
                  <c:v>4.5771508824999998</c:v>
                </c:pt>
                <c:pt idx="14">
                  <c:v>4.3935131824999996</c:v>
                </c:pt>
                <c:pt idx="15">
                  <c:v>4.2405925</c:v>
                </c:pt>
                <c:pt idx="16">
                  <c:v>3.2426434349999997</c:v>
                </c:pt>
                <c:pt idx="17">
                  <c:v>2.6223807299999997</c:v>
                </c:pt>
                <c:pt idx="18">
                  <c:v>2.5477262899999999</c:v>
                </c:pt>
                <c:pt idx="19">
                  <c:v>2.4388000000000001</c:v>
                </c:pt>
                <c:pt idx="20">
                  <c:v>2.3299530325000002</c:v>
                </c:pt>
                <c:pt idx="21">
                  <c:v>1.8611704999999998</c:v>
                </c:pt>
                <c:pt idx="22">
                  <c:v>0.3694605225</c:v>
                </c:pt>
                <c:pt idx="23">
                  <c:v>0.2705425025</c:v>
                </c:pt>
                <c:pt idx="24">
                  <c:v>7.0256727499999991E-2</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RER'!$L$6:$L$30</c:f>
              <c:strCache>
                <c:ptCount val="25"/>
                <c:pt idx="0">
                  <c:v>C.H. RUNATULLO III</c:v>
                </c:pt>
                <c:pt idx="1">
                  <c:v>C.H. RUNATULLO II</c:v>
                </c:pt>
                <c:pt idx="2">
                  <c:v>C.H. YARUCAYA</c:v>
                </c:pt>
                <c:pt idx="3">
                  <c:v>C.H. POTRERO</c:v>
                </c:pt>
                <c:pt idx="4">
                  <c:v>C.H. RENOVANDES H1</c:v>
                </c:pt>
                <c:pt idx="5">
                  <c:v>C.H. CARHUAC</c:v>
                </c:pt>
                <c:pt idx="6">
                  <c:v>C.H. LAS PIZARRAS</c:v>
                </c:pt>
                <c:pt idx="7">
                  <c:v>C.H. ÁNGEL I</c:v>
                </c:pt>
                <c:pt idx="8">
                  <c:v>C.H. ÁNGEL II</c:v>
                </c:pt>
                <c:pt idx="9">
                  <c:v>C.H. HUASAHUASI II</c:v>
                </c:pt>
                <c:pt idx="10">
                  <c:v>C.H. CARHUAQUERO IV</c:v>
                </c:pt>
                <c:pt idx="11">
                  <c:v>C.H. ÁNGEL III</c:v>
                </c:pt>
                <c:pt idx="12">
                  <c:v>C.H. HUASAHUASI I</c:v>
                </c:pt>
                <c:pt idx="13">
                  <c:v>C.H. SANTA CRUZ II</c:v>
                </c:pt>
                <c:pt idx="14">
                  <c:v>C.H. LA JOYA</c:v>
                </c:pt>
                <c:pt idx="15">
                  <c:v>C.H. SANTA CRUZ I</c:v>
                </c:pt>
                <c:pt idx="16">
                  <c:v>C.H. CAÑA BRAVA</c:v>
                </c:pt>
                <c:pt idx="17">
                  <c:v>C.H. CANCHAYLLO</c:v>
                </c:pt>
                <c:pt idx="18">
                  <c:v>C.H. POECHOS II</c:v>
                </c:pt>
                <c:pt idx="19">
                  <c:v>C.H. IMPERIAL</c:v>
                </c:pt>
                <c:pt idx="20">
                  <c:v>C.H. YANAPAMPA</c:v>
                </c:pt>
                <c:pt idx="21">
                  <c:v>C.H. RONCADOR</c:v>
                </c:pt>
                <c:pt idx="22">
                  <c:v>C.H. ZAÑA</c:v>
                </c:pt>
                <c:pt idx="23">
                  <c:v>C.H. PURMACANA</c:v>
                </c:pt>
                <c:pt idx="24">
                  <c:v>C.H. HER 1</c:v>
                </c:pt>
              </c:strCache>
            </c:strRef>
          </c:cat>
          <c:val>
            <c:numRef>
              <c:f>'6. FP RER'!$P$6:$P$30</c:f>
              <c:numCache>
                <c:formatCode>0.00</c:formatCode>
                <c:ptCount val="25"/>
                <c:pt idx="0">
                  <c:v>0.97803187360717514</c:v>
                </c:pt>
                <c:pt idx="1">
                  <c:v>0.86553190082183995</c:v>
                </c:pt>
                <c:pt idx="2">
                  <c:v>1.1389960232974909</c:v>
                </c:pt>
                <c:pt idx="3">
                  <c:v>0.84135334265413098</c:v>
                </c:pt>
                <c:pt idx="4">
                  <c:v>0.79890069455645163</c:v>
                </c:pt>
                <c:pt idx="5">
                  <c:v>0.57268022059811829</c:v>
                </c:pt>
                <c:pt idx="6">
                  <c:v>0.59543432155631304</c:v>
                </c:pt>
                <c:pt idx="7">
                  <c:v>0.43331037686411933</c:v>
                </c:pt>
                <c:pt idx="8">
                  <c:v>0.4268538671474974</c:v>
                </c:pt>
                <c:pt idx="9">
                  <c:v>0.84162179323323294</c:v>
                </c:pt>
                <c:pt idx="10">
                  <c:v>0.8420079090771514</c:v>
                </c:pt>
                <c:pt idx="11">
                  <c:v>0.41125917975417092</c:v>
                </c:pt>
                <c:pt idx="12">
                  <c:v>0.82893383310135915</c:v>
                </c:pt>
                <c:pt idx="13">
                  <c:v>0.82867517773292665</c:v>
                </c:pt>
                <c:pt idx="14">
                  <c:v>0.76246089785640403</c:v>
                </c:pt>
                <c:pt idx="15">
                  <c:v>0.819160836756329</c:v>
                </c:pt>
                <c:pt idx="16">
                  <c:v>0.7686757872503841</c:v>
                </c:pt>
                <c:pt idx="17">
                  <c:v>0.67926484529929931</c:v>
                </c:pt>
                <c:pt idx="18">
                  <c:v>0.35797232835153175</c:v>
                </c:pt>
                <c:pt idx="19">
                  <c:v>0.82693163199982644</c:v>
                </c:pt>
                <c:pt idx="20">
                  <c:v>0.79966531461471979</c:v>
                </c:pt>
                <c:pt idx="21">
                  <c:v>0.71884288870349777</c:v>
                </c:pt>
                <c:pt idx="22">
                  <c:v>7.5240412695503425E-2</c:v>
                </c:pt>
                <c:pt idx="23">
                  <c:v>0.21215425661221318</c:v>
                </c:pt>
                <c:pt idx="24">
                  <c:v>0.13490155049923194</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1082676</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78675" cy="1087120"/>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13 de febrero  de 2019</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Enero </a:t>
          </a:r>
          <a:r>
            <a:rPr lang="es-PE" sz="2800" b="1">
              <a:solidFill>
                <a:srgbClr val="1F2532"/>
              </a:solidFill>
              <a:effectLst/>
              <a:ea typeface="Calibri" panose="020F0502020204030204" pitchFamily="34" charset="0"/>
              <a:cs typeface="Arial" panose="020B0604020202020204" pitchFamily="34" charset="0"/>
            </a:rPr>
            <a:t>2019</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INFSGI-MES-01-2019</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63</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66262</xdr:colOff>
      <xdr:row>35</xdr:row>
      <xdr:rowOff>112797</xdr:rowOff>
    </xdr:from>
    <xdr:to>
      <xdr:col>8</xdr:col>
      <xdr:colOff>472109</xdr:colOff>
      <xdr:row>59</xdr:row>
      <xdr:rowOff>65171</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16</xdr:row>
      <xdr:rowOff>57978</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36635</xdr:colOff>
      <xdr:row>42</xdr:row>
      <xdr:rowOff>137220</xdr:rowOff>
    </xdr:from>
    <xdr:to>
      <xdr:col>11</xdr:col>
      <xdr:colOff>478478</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5720"/>
          <a:ext cx="6507493" cy="8801886"/>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(7,89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(8,17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103904</xdr:colOff>
      <xdr:row>14</xdr:row>
      <xdr:rowOff>95106</xdr:rowOff>
    </xdr:from>
    <xdr:to>
      <xdr:col>4</xdr:col>
      <xdr:colOff>97972</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48933" y="2266806"/>
          <a:ext cx="1039096"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3A878E5-8AAA-4FE5-B31D-9C6268F2A1DF}" type="TxLink">
            <a:rPr lang="en-US" sz="500" b="1" i="0" u="none" strike="noStrike">
              <a:solidFill>
                <a:srgbClr val="000000"/>
              </a:solidFill>
              <a:latin typeface="Arial"/>
              <a:cs typeface="Arial"/>
            </a:rPr>
            <a:pPr algn="ctr"/>
            <a:t>PIURA OESTE 220
 (8,39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(7,85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(7,91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(8,07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(8,16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(7,96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(8,22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(7,19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3</xdr:col>
      <xdr:colOff>59871</xdr:colOff>
      <xdr:row>42</xdr:row>
      <xdr:rowOff>43597</xdr:rowOff>
    </xdr:from>
    <xdr:to>
      <xdr:col>4</xdr:col>
      <xdr:colOff>508135</xdr:colOff>
      <xdr:row>45</xdr:row>
      <xdr:rowOff>10885</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627414" y="6177697"/>
          <a:ext cx="970778" cy="391831"/>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(8,01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(7,99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(7,27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(8,5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(7,37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(8,06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(8,02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(8,2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126628</xdr:colOff>
      <xdr:row>27</xdr:row>
      <xdr:rowOff>124238</xdr:rowOff>
    </xdr:from>
    <xdr:to>
      <xdr:col>7</xdr:col>
      <xdr:colOff>430696</xdr:colOff>
      <xdr:row>55</xdr:row>
      <xdr:rowOff>99391</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0.83869</cdr:x>
      <cdr:y>0.47132</cdr:y>
    </cdr:from>
    <cdr:to>
      <cdr:x>0.94028</cdr:x>
      <cdr:y>0.55719</cdr:y>
    </cdr:to>
    <cdr:sp macro="" textlink="">
      <cdr:nvSpPr>
        <cdr:cNvPr id="7" name="TextBox 1"/>
        <cdr:cNvSpPr txBox="1"/>
      </cdr:nvSpPr>
      <cdr:spPr>
        <a:xfrm xmlns:a="http://schemas.openxmlformats.org/drawingml/2006/main">
          <a:off x="5256554" y="2703853"/>
          <a:ext cx="636720" cy="492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39,4%</a:t>
          </a:r>
        </a:p>
      </cdr:txBody>
    </cdr:sp>
  </cdr:relSizeAnchor>
</c:userShapes>
</file>

<file path=xl/drawings/drawing19.xml><?xml version="1.0" encoding="utf-8"?>
<xdr:wsDr xmlns:xdr="http://schemas.openxmlformats.org/drawingml/2006/spreadsheetDrawing" xmlns:a="http://schemas.openxmlformats.org/drawingml/2006/main">
  <xdr:twoCellAnchor>
    <xdr:from>
      <xdr:col>0</xdr:col>
      <xdr:colOff>392237</xdr:colOff>
      <xdr:row>16</xdr:row>
      <xdr:rowOff>24419</xdr:rowOff>
    </xdr:from>
    <xdr:to>
      <xdr:col>3</xdr:col>
      <xdr:colOff>348529</xdr:colOff>
      <xdr:row>31</xdr:row>
      <xdr:rowOff>81901</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773906</xdr:colOff>
      <xdr:row>38</xdr:row>
      <xdr:rowOff>5953</xdr:rowOff>
    </xdr:from>
    <xdr:to>
      <xdr:col>8</xdr:col>
      <xdr:colOff>71437</xdr:colOff>
      <xdr:row>51</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299358</xdr:colOff>
      <xdr:row>17</xdr:row>
      <xdr:rowOff>54429</xdr:rowOff>
    </xdr:from>
    <xdr:to>
      <xdr:col>9</xdr:col>
      <xdr:colOff>527957</xdr:colOff>
      <xdr:row>31</xdr:row>
      <xdr:rowOff>103414</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36635</xdr:colOff>
      <xdr:row>20</xdr:row>
      <xdr:rowOff>87923</xdr:rowOff>
    </xdr:from>
    <xdr:to>
      <xdr:col>12</xdr:col>
      <xdr:colOff>504265</xdr:colOff>
      <xdr:row>45</xdr:row>
      <xdr:rowOff>95250</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cdr:x>
      <cdr:y>0.02413</cdr:y>
    </cdr:from>
    <cdr:to>
      <cdr:x>0.20733</cdr:x>
      <cdr:y>0.15135</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0" y="48985"/>
          <a:ext cx="769624" cy="258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7</xdr:row>
      <xdr:rowOff>52137</xdr:rowOff>
    </xdr:from>
    <xdr:to>
      <xdr:col>10</xdr:col>
      <xdr:colOff>485775</xdr:colOff>
      <xdr:row>50</xdr:row>
      <xdr:rowOff>130550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1052262"/>
          <a:ext cx="5695950" cy="62410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 (e) </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Edgar Egúsquiza</a:t>
          </a: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17</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2000"/>
            </a:lnSpc>
            <a:spcAft>
              <a:spcPts val="0"/>
            </a:spcAft>
          </a:pPr>
          <a:endParaRPr lang="en-GB" sz="100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u="sng">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r>
            <a:rPr lang="en-GB" sz="1050" b="1" baseline="0">
              <a:solidFill>
                <a:sysClr val="windowText" lastClr="000000"/>
              </a:solidFill>
              <a:effectLst/>
              <a:latin typeface="Arial" panose="020B0604020202020204" pitchFamily="34" charset="0"/>
              <a:ea typeface="Wingdings-Regular"/>
              <a:cs typeface="Arial" panose="020B0604020202020204" pitchFamily="34" charset="0"/>
            </a:rPr>
            <a:t> </a:t>
          </a:r>
          <a:r>
            <a:rPr lang="en-GB" sz="900">
              <a:solidFill>
                <a:sysClr val="windowText" lastClr="000000"/>
              </a:solidFill>
              <a:effectLst/>
              <a:latin typeface="Arial" panose="020B0604020202020204" pitchFamily="34" charset="0"/>
              <a:ea typeface="Wingdings-Regular"/>
              <a:cs typeface="Arial" panose="020B0604020202020204" pitchFamily="34" charset="0"/>
            </a:rPr>
            <a:t>http://www.coes.org.pe/Portal/PostOperacion/Informes/EvaluacionMensual </a:t>
          </a:r>
          <a:endParaRPr lang="en-GB" sz="900">
            <a:effectLst/>
            <a:latin typeface="Arial" panose="020B0604020202020204" pitchFamily="34" charset="0"/>
            <a:ea typeface="+mn-ea"/>
            <a:cs typeface="Arial" panose="020B0604020202020204" pitchFamily="34" charset="0"/>
          </a:endParaRPr>
        </a:p>
        <a:p>
          <a:pPr lvl="0" algn="ctr">
            <a:lnSpc>
              <a:spcPts val="1400"/>
            </a:lnSpc>
            <a:spcAft>
              <a:spcPts val="1000"/>
            </a:spcAft>
          </a:pPr>
          <a:r>
            <a:rPr lang="en-GB" sz="1000">
              <a:effectLst/>
              <a:latin typeface="Garamond" panose="02020404030301010803" pitchFamily="18" charset="0"/>
              <a:ea typeface="Calibri"/>
              <a:cs typeface="Times New Roman"/>
            </a:rPr>
            <a:t> </a:t>
          </a:r>
        </a:p>
        <a:p>
          <a:pPr lvl="0" algn="ctr">
            <a:lnSpc>
              <a:spcPts val="1400"/>
            </a:lnSpc>
            <a:spcAft>
              <a:spcPts val="1000"/>
            </a:spcAft>
          </a:pPr>
          <a:endParaRPr lang="en-GB" sz="1000">
            <a:effectLst/>
            <a:latin typeface="Garamond" panose="02020404030301010803" pitchFamily="18" charset="0"/>
            <a:ea typeface="Calibri"/>
            <a:cs typeface="Times New Roman"/>
          </a:endParaRPr>
        </a:p>
      </xdr:txBody>
    </xdr:sp>
    <xdr:clientData/>
  </xdr:twoCellAnchor>
  <xdr:twoCellAnchor editAs="oneCell">
    <xdr:from>
      <xdr:col>3</xdr:col>
      <xdr:colOff>253778</xdr:colOff>
      <xdr:row>52</xdr:row>
      <xdr:rowOff>96557</xdr:rowOff>
    </xdr:from>
    <xdr:to>
      <xdr:col>7</xdr:col>
      <xdr:colOff>344365</xdr:colOff>
      <xdr:row>67</xdr:row>
      <xdr:rowOff>93918</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858374" y="7731211"/>
          <a:ext cx="2230049" cy="21954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50</xdr:row>
      <xdr:rowOff>43543</xdr:rowOff>
    </xdr:from>
    <xdr:to>
      <xdr:col>9</xdr:col>
      <xdr:colOff>581525</xdr:colOff>
      <xdr:row>62</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19707</xdr:colOff>
      <xdr:row>25</xdr:row>
      <xdr:rowOff>70757</xdr:rowOff>
    </xdr:from>
    <xdr:to>
      <xdr:col>8</xdr:col>
      <xdr:colOff>429240</xdr:colOff>
      <xdr:row>35</xdr:row>
      <xdr:rowOff>138633</xdr:rowOff>
    </xdr:to>
    <xdr:graphicFrame macro="">
      <xdr:nvGraphicFramePr>
        <xdr:cNvPr id="6" name="Chart 5">
          <a:extLst>
            <a:ext uri="{FF2B5EF4-FFF2-40B4-BE49-F238E27FC236}">
              <a16:creationId xmlns:a16="http://schemas.microsoft.com/office/drawing/2014/main" id="{504A3D1A-9E3E-4FE7-89D7-C712B9B00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49891</xdr:colOff>
      <xdr:row>25</xdr:row>
      <xdr:rowOff>46561</xdr:rowOff>
    </xdr:from>
    <xdr:to>
      <xdr:col>1</xdr:col>
      <xdr:colOff>568389</xdr:colOff>
      <xdr:row>26</xdr:row>
      <xdr:rowOff>80234</xdr:rowOff>
    </xdr:to>
    <xdr:sp macro="" textlink="">
      <xdr:nvSpPr>
        <xdr:cNvPr id="7" name="Rectangle 6">
          <a:extLst>
            <a:ext uri="{FF2B5EF4-FFF2-40B4-BE49-F238E27FC236}">
              <a16:creationId xmlns:a16="http://schemas.microsoft.com/office/drawing/2014/main" id="{844F8771-1BB7-4887-885E-C502B78E1000}"/>
            </a:ext>
          </a:extLst>
        </xdr:cNvPr>
        <xdr:cNvSpPr/>
      </xdr:nvSpPr>
      <xdr:spPr>
        <a:xfrm>
          <a:off x="735691" y="4313761"/>
          <a:ext cx="518498" cy="17518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700" b="1">
              <a:solidFill>
                <a:schemeClr val="tx1"/>
              </a:solidFill>
              <a:latin typeface="Arial" panose="020B0604020202020204" pitchFamily="34" charset="0"/>
              <a:cs typeface="Arial" panose="020B0604020202020204" pitchFamily="34" charset="0"/>
            </a:rPr>
            <a:t>MW</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75543</xdr:colOff>
      <xdr:row>15</xdr:row>
      <xdr:rowOff>65690</xdr:rowOff>
    </xdr:from>
    <xdr:to>
      <xdr:col>10</xdr:col>
      <xdr:colOff>425370</xdr:colOff>
      <xdr:row>32</xdr:row>
      <xdr:rowOff>97272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106368</xdr:colOff>
      <xdr:row>36</xdr:row>
      <xdr:rowOff>80597</xdr:rowOff>
    </xdr:from>
    <xdr:to>
      <xdr:col>10</xdr:col>
      <xdr:colOff>377464</xdr:colOff>
      <xdr:row>58</xdr:row>
      <xdr:rowOff>43965</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549258</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4</xdr:row>
      <xdr:rowOff>26277</xdr:rowOff>
    </xdr:from>
    <xdr:to>
      <xdr:col>9</xdr:col>
      <xdr:colOff>479534</xdr:colOff>
      <xdr:row>59</xdr:row>
      <xdr:rowOff>87924</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266140</xdr:colOff>
      <xdr:row>23</xdr:row>
      <xdr:rowOff>139412</xdr:rowOff>
    </xdr:from>
    <xdr:to>
      <xdr:col>10</xdr:col>
      <xdr:colOff>546652</xdr:colOff>
      <xdr:row>56</xdr:row>
      <xdr:rowOff>43962</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I11:I15"/>
  <sheetViews>
    <sheetView showGridLines="0" tabSelected="1" view="pageBreakPreview" zoomScale="115" zoomScaleNormal="70" zoomScaleSheetLayoutView="115" zoomScalePageLayoutView="85" workbookViewId="0">
      <selection activeCell="M24" sqref="M24"/>
    </sheetView>
  </sheetViews>
  <sheetFormatPr defaultColWidth="9.33203125" defaultRowHeight="11.25"/>
  <cols>
    <col min="9" max="9" width="14.6640625" customWidth="1"/>
    <col min="12" max="12" width="20.5" customWidth="1"/>
  </cols>
  <sheetData>
    <row r="11" spans="9:9" ht="15.75">
      <c r="I11" s="606"/>
    </row>
    <row r="12" spans="9:9" ht="15.75">
      <c r="I12" s="606"/>
    </row>
    <row r="13" spans="9:9" ht="15.75">
      <c r="I13" s="606"/>
    </row>
    <row r="14" spans="9:9" ht="15.75">
      <c r="I14" s="606"/>
    </row>
    <row r="15" spans="9:9" ht="15.75">
      <c r="I15" s="606"/>
    </row>
  </sheetData>
  <pageMargins left="0.26960784313725489" right="0.22058823529411764" top="0.90264705882352947" bottom="0.26960784313725489" header="0.3" footer="0.3"/>
  <pageSetup paperSize="9" scale="96"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sheetPr>
  <dimension ref="A1:L62"/>
  <sheetViews>
    <sheetView showGridLines="0" view="pageBreakPreview" zoomScale="130" zoomScaleNormal="100" zoomScaleSheetLayoutView="130" zoomScalePageLayoutView="145" workbookViewId="0">
      <selection activeCell="M24" sqref="M24"/>
    </sheetView>
  </sheetViews>
  <sheetFormatPr defaultColWidth="9.33203125" defaultRowHeight="11.25"/>
  <cols>
    <col min="1" max="1" width="15" customWidth="1"/>
    <col min="2" max="4" width="10" customWidth="1"/>
    <col min="5" max="5" width="11" customWidth="1"/>
    <col min="6" max="6" width="9.33203125" customWidth="1"/>
    <col min="7" max="8" width="10" customWidth="1"/>
    <col min="9" max="9" width="9.6640625" customWidth="1"/>
    <col min="10" max="10" width="10.33203125" customWidth="1"/>
    <col min="11" max="11" width="10.6640625" customWidth="1"/>
  </cols>
  <sheetData>
    <row r="1" spans="1:12" ht="11.25" customHeight="1"/>
    <row r="2" spans="1:12" ht="11.25" customHeight="1">
      <c r="A2" s="856" t="s">
        <v>273</v>
      </c>
      <c r="B2" s="856"/>
      <c r="C2" s="856"/>
      <c r="D2" s="856"/>
      <c r="E2" s="856"/>
      <c r="F2" s="856"/>
      <c r="G2" s="856"/>
      <c r="H2" s="856"/>
      <c r="I2" s="856"/>
      <c r="J2" s="856"/>
      <c r="K2" s="856"/>
    </row>
    <row r="3" spans="1:12" ht="11.25" customHeight="1">
      <c r="A3" s="17"/>
      <c r="B3" s="17"/>
      <c r="C3" s="17"/>
      <c r="D3" s="17"/>
      <c r="E3" s="17"/>
      <c r="F3" s="17"/>
      <c r="G3" s="17"/>
      <c r="H3" s="17"/>
      <c r="I3" s="17"/>
      <c r="J3" s="17"/>
      <c r="K3" s="17"/>
      <c r="L3" s="36"/>
    </row>
    <row r="4" spans="1:12" ht="11.25" customHeight="1">
      <c r="A4" s="857" t="s">
        <v>468</v>
      </c>
      <c r="B4" s="857"/>
      <c r="C4" s="857"/>
      <c r="D4" s="857"/>
      <c r="E4" s="857"/>
      <c r="F4" s="857"/>
      <c r="G4" s="857"/>
      <c r="H4" s="857"/>
      <c r="I4" s="857"/>
      <c r="J4" s="857"/>
      <c r="K4" s="857"/>
      <c r="L4" s="36"/>
    </row>
    <row r="5" spans="1:12" ht="11.25" customHeight="1">
      <c r="A5" s="17"/>
      <c r="B5" s="67"/>
      <c r="C5" s="68"/>
      <c r="D5" s="69"/>
      <c r="E5" s="69"/>
      <c r="F5" s="69"/>
      <c r="G5" s="69"/>
      <c r="H5" s="70"/>
      <c r="I5" s="66"/>
      <c r="J5" s="66"/>
      <c r="K5" s="71"/>
      <c r="L5" s="8"/>
    </row>
    <row r="6" spans="1:12" ht="12.75" customHeight="1">
      <c r="A6" s="839" t="s">
        <v>223</v>
      </c>
      <c r="B6" s="836" t="s">
        <v>276</v>
      </c>
      <c r="C6" s="837"/>
      <c r="D6" s="837"/>
      <c r="E6" s="837" t="s">
        <v>34</v>
      </c>
      <c r="F6" s="837"/>
      <c r="G6" s="838" t="s">
        <v>275</v>
      </c>
      <c r="H6" s="838"/>
      <c r="I6" s="838"/>
      <c r="J6" s="838"/>
      <c r="K6" s="838"/>
      <c r="L6" s="15"/>
    </row>
    <row r="7" spans="1:12" ht="12.75" customHeight="1">
      <c r="A7" s="839"/>
      <c r="B7" s="630">
        <f>+'5. RER'!B5</f>
        <v>43408</v>
      </c>
      <c r="C7" s="630">
        <f>+'5. RER'!C5</f>
        <v>43438</v>
      </c>
      <c r="D7" s="630">
        <f>+'5. RER'!D5</f>
        <v>43466</v>
      </c>
      <c r="E7" s="630">
        <f>+'5. RER'!E5</f>
        <v>43101</v>
      </c>
      <c r="F7" s="858" t="s">
        <v>127</v>
      </c>
      <c r="G7" s="631">
        <v>2019</v>
      </c>
      <c r="H7" s="631">
        <v>2018</v>
      </c>
      <c r="I7" s="858" t="s">
        <v>43</v>
      </c>
      <c r="J7" s="631">
        <v>2017</v>
      </c>
      <c r="K7" s="858" t="s">
        <v>36</v>
      </c>
      <c r="L7" s="13"/>
    </row>
    <row r="8" spans="1:12" ht="12.75" customHeight="1">
      <c r="A8" s="839"/>
      <c r="B8" s="632">
        <v>43421.822916666664</v>
      </c>
      <c r="C8" s="632">
        <v>43451.822916666664</v>
      </c>
      <c r="D8" s="632">
        <v>43494.833333333336</v>
      </c>
      <c r="E8" s="632">
        <v>43126.822916666664</v>
      </c>
      <c r="F8" s="859"/>
      <c r="G8" s="633">
        <v>43494.833333333336</v>
      </c>
      <c r="H8" s="633">
        <v>43126.822916666664</v>
      </c>
      <c r="I8" s="859"/>
      <c r="J8" s="633">
        <v>42760.802083333336</v>
      </c>
      <c r="K8" s="859"/>
      <c r="L8" s="14"/>
    </row>
    <row r="9" spans="1:12" ht="12.75" customHeight="1">
      <c r="A9" s="839"/>
      <c r="B9" s="634">
        <f>+B8</f>
        <v>43421.822916666664</v>
      </c>
      <c r="C9" s="634">
        <f t="shared" ref="C9:E9" si="0">+C8</f>
        <v>43451.822916666664</v>
      </c>
      <c r="D9" s="634">
        <f t="shared" si="0"/>
        <v>43494.833333333336</v>
      </c>
      <c r="E9" s="634">
        <f t="shared" si="0"/>
        <v>43126.822916666664</v>
      </c>
      <c r="F9" s="859"/>
      <c r="G9" s="635">
        <f>+G8</f>
        <v>43494.833333333336</v>
      </c>
      <c r="H9" s="635">
        <f>+H8</f>
        <v>43126.822916666664</v>
      </c>
      <c r="I9" s="859"/>
      <c r="J9" s="635">
        <f>+J8</f>
        <v>42760.802083333336</v>
      </c>
      <c r="K9" s="859"/>
      <c r="L9" s="14"/>
    </row>
    <row r="10" spans="1:12" ht="12.75" customHeight="1">
      <c r="A10" s="283" t="s">
        <v>37</v>
      </c>
      <c r="B10" s="347">
        <v>4258.4138400000011</v>
      </c>
      <c r="C10" s="348">
        <v>3972.194399999999</v>
      </c>
      <c r="D10" s="349">
        <v>4587.9101300000002</v>
      </c>
      <c r="E10" s="347">
        <v>4391.9133999999995</v>
      </c>
      <c r="F10" s="785">
        <f>+IF(E10=0,"",D10/E10-1)</f>
        <v>4.4626729206454829E-2</v>
      </c>
      <c r="G10" s="347">
        <v>4587.9101300000002</v>
      </c>
      <c r="H10" s="348">
        <v>4391.9133999999995</v>
      </c>
      <c r="I10" s="785">
        <f>+IF(H10=0,"",G10/H10-1)</f>
        <v>4.4626729206454829E-2</v>
      </c>
      <c r="J10" s="347">
        <v>4236.5890400000008</v>
      </c>
      <c r="K10" s="785">
        <f t="shared" ref="K10:K18" si="1">+IF(J10=0,"",H10/J10-1)</f>
        <v>3.6662597795890761E-2</v>
      </c>
      <c r="L10" s="14"/>
    </row>
    <row r="11" spans="1:12" ht="12.75" customHeight="1">
      <c r="A11" s="159" t="s">
        <v>38</v>
      </c>
      <c r="B11" s="350">
        <v>2281.6140699999992</v>
      </c>
      <c r="C11" s="260">
        <v>2665.2945000000009</v>
      </c>
      <c r="D11" s="351">
        <v>2159.8880899999999</v>
      </c>
      <c r="E11" s="350">
        <v>1916.70587</v>
      </c>
      <c r="F11" s="786">
        <f>+IF(E11=0,"",D11/E11-1)</f>
        <v>0.12687508490804578</v>
      </c>
      <c r="G11" s="350">
        <v>2159.8880899999999</v>
      </c>
      <c r="H11" s="260">
        <v>1916.70587</v>
      </c>
      <c r="I11" s="786">
        <f>+IF(H11=0,"",G11/H11-1)</f>
        <v>0.12687508490804578</v>
      </c>
      <c r="J11" s="350">
        <v>2291.3775700000001</v>
      </c>
      <c r="K11" s="786">
        <f t="shared" si="1"/>
        <v>-0.16351373292006177</v>
      </c>
      <c r="L11" s="14"/>
    </row>
    <row r="12" spans="1:12" ht="12.75" customHeight="1">
      <c r="A12" s="160" t="s">
        <v>39</v>
      </c>
      <c r="B12" s="352">
        <v>245.76401999999999</v>
      </c>
      <c r="C12" s="261">
        <v>247.10244</v>
      </c>
      <c r="D12" s="353">
        <v>128.49421999999998</v>
      </c>
      <c r="E12" s="352">
        <v>180.41578000000001</v>
      </c>
      <c r="F12" s="787">
        <f>+IF(E12=0,"",D12/E12-1)</f>
        <v>-0.28778835199448749</v>
      </c>
      <c r="G12" s="352">
        <v>128.49421999999998</v>
      </c>
      <c r="H12" s="261">
        <v>180.41578000000001</v>
      </c>
      <c r="I12" s="787">
        <f>+IF(H12=0,"",G12/H12-1)</f>
        <v>-0.28778835199448749</v>
      </c>
      <c r="J12" s="352">
        <v>45.283239999999999</v>
      </c>
      <c r="K12" s="787">
        <f t="shared" si="1"/>
        <v>2.9841623523405132</v>
      </c>
      <c r="L12" s="13"/>
    </row>
    <row r="13" spans="1:12" ht="12.75" customHeight="1">
      <c r="A13" s="161" t="s">
        <v>30</v>
      </c>
      <c r="B13" s="354">
        <v>0</v>
      </c>
      <c r="C13" s="355">
        <v>0</v>
      </c>
      <c r="D13" s="356">
        <v>0</v>
      </c>
      <c r="E13" s="354">
        <v>0</v>
      </c>
      <c r="F13" s="788" t="str">
        <f>+IF(E13=0,"",D13/E13-1)</f>
        <v/>
      </c>
      <c r="G13" s="354">
        <v>0</v>
      </c>
      <c r="H13" s="355">
        <v>0</v>
      </c>
      <c r="I13" s="788" t="str">
        <f>+IF(H13=0,"",G13/H13-1)</f>
        <v/>
      </c>
      <c r="J13" s="354">
        <v>0</v>
      </c>
      <c r="K13" s="788" t="str">
        <f t="shared" si="1"/>
        <v/>
      </c>
      <c r="L13" s="14"/>
    </row>
    <row r="14" spans="1:12" ht="12.75" customHeight="1">
      <c r="A14" s="162" t="s">
        <v>44</v>
      </c>
      <c r="B14" s="357">
        <f>+SUM(B10:B13)</f>
        <v>6785.7919300000003</v>
      </c>
      <c r="C14" s="358">
        <f t="shared" ref="C14:J14" si="2">+SUM(C10:C13)</f>
        <v>6884.5913399999999</v>
      </c>
      <c r="D14" s="359">
        <f t="shared" si="2"/>
        <v>6876.2924400000002</v>
      </c>
      <c r="E14" s="357">
        <f t="shared" si="2"/>
        <v>6489.0350499999995</v>
      </c>
      <c r="F14" s="497">
        <f>+IF(E14=0,"",D14/E14-1)</f>
        <v>5.9678732972786364E-2</v>
      </c>
      <c r="G14" s="357">
        <f t="shared" si="2"/>
        <v>6876.2924400000002</v>
      </c>
      <c r="H14" s="358">
        <f t="shared" si="2"/>
        <v>6489.0350499999995</v>
      </c>
      <c r="I14" s="497">
        <f>+IF(H14=0,"",G14/H14-1)</f>
        <v>5.9678732972786364E-2</v>
      </c>
      <c r="J14" s="357">
        <f t="shared" si="2"/>
        <v>6573.2498500000011</v>
      </c>
      <c r="K14" s="497">
        <f>+IF(J14=0,"",H14/J14-1)</f>
        <v>-1.2811744863159502E-2</v>
      </c>
      <c r="L14" s="14"/>
    </row>
    <row r="15" spans="1:12" ht="6.75" customHeight="1">
      <c r="A15" s="264"/>
      <c r="B15" s="264"/>
      <c r="C15" s="264"/>
      <c r="D15" s="264"/>
      <c r="E15" s="264"/>
      <c r="F15" s="789"/>
      <c r="G15" s="264"/>
      <c r="H15" s="264"/>
      <c r="I15" s="789"/>
      <c r="J15" s="264"/>
      <c r="K15" s="789"/>
      <c r="L15" s="14"/>
    </row>
    <row r="16" spans="1:12" ht="12.75" customHeight="1">
      <c r="A16" s="284" t="s">
        <v>40</v>
      </c>
      <c r="B16" s="285">
        <v>0</v>
      </c>
      <c r="C16" s="286">
        <v>0</v>
      </c>
      <c r="D16" s="287">
        <v>0</v>
      </c>
      <c r="E16" s="285">
        <v>0</v>
      </c>
      <c r="F16" s="287">
        <v>0</v>
      </c>
      <c r="G16" s="285">
        <v>0</v>
      </c>
      <c r="H16" s="286">
        <v>0</v>
      </c>
      <c r="I16" s="287">
        <v>0</v>
      </c>
      <c r="J16" s="285">
        <v>0</v>
      </c>
      <c r="K16" s="790" t="str">
        <f t="shared" si="1"/>
        <v/>
      </c>
      <c r="L16" s="15"/>
    </row>
    <row r="17" spans="1:12" ht="12.75" customHeight="1">
      <c r="A17" s="288" t="s">
        <v>41</v>
      </c>
      <c r="B17" s="262">
        <v>0</v>
      </c>
      <c r="C17" s="246">
        <v>0</v>
      </c>
      <c r="D17" s="263">
        <v>0</v>
      </c>
      <c r="E17" s="262">
        <v>0</v>
      </c>
      <c r="F17" s="263">
        <v>0</v>
      </c>
      <c r="G17" s="262">
        <v>0</v>
      </c>
      <c r="H17" s="246">
        <v>0</v>
      </c>
      <c r="I17" s="263">
        <v>0</v>
      </c>
      <c r="J17" s="262">
        <v>0</v>
      </c>
      <c r="K17" s="501" t="str">
        <f t="shared" si="1"/>
        <v/>
      </c>
      <c r="L17" s="15"/>
    </row>
    <row r="18" spans="1:12" ht="24" customHeight="1">
      <c r="A18" s="289" t="s">
        <v>42</v>
      </c>
      <c r="B18" s="290">
        <f t="shared" ref="B18:J18" si="3">+B17-B16</f>
        <v>0</v>
      </c>
      <c r="C18" s="291">
        <f t="shared" si="3"/>
        <v>0</v>
      </c>
      <c r="D18" s="292">
        <f t="shared" si="3"/>
        <v>0</v>
      </c>
      <c r="E18" s="290">
        <f t="shared" si="3"/>
        <v>0</v>
      </c>
      <c r="F18" s="292">
        <f t="shared" si="3"/>
        <v>0</v>
      </c>
      <c r="G18" s="290">
        <f t="shared" si="3"/>
        <v>0</v>
      </c>
      <c r="H18" s="291">
        <f t="shared" si="3"/>
        <v>0</v>
      </c>
      <c r="I18" s="292">
        <f t="shared" si="3"/>
        <v>0</v>
      </c>
      <c r="J18" s="290">
        <f t="shared" si="3"/>
        <v>0</v>
      </c>
      <c r="K18" s="791" t="str">
        <f t="shared" si="1"/>
        <v/>
      </c>
      <c r="L18" s="15"/>
    </row>
    <row r="19" spans="1:12" ht="6" customHeight="1">
      <c r="A19" s="22"/>
      <c r="B19" s="22"/>
      <c r="C19" s="22"/>
      <c r="D19" s="22"/>
      <c r="E19" s="22"/>
      <c r="F19" s="792"/>
      <c r="G19" s="22"/>
      <c r="H19" s="22"/>
      <c r="I19" s="792"/>
      <c r="J19" s="22"/>
      <c r="K19" s="792"/>
      <c r="L19" s="15"/>
    </row>
    <row r="20" spans="1:12" ht="24" customHeight="1">
      <c r="A20" s="293" t="s">
        <v>274</v>
      </c>
      <c r="B20" s="360">
        <f>+B14-B18</f>
        <v>6785.7919300000003</v>
      </c>
      <c r="C20" s="361">
        <f t="shared" ref="C20:E20" si="4">+C14-C18</f>
        <v>6884.5913399999999</v>
      </c>
      <c r="D20" s="362">
        <f t="shared" si="4"/>
        <v>6876.2924400000002</v>
      </c>
      <c r="E20" s="360">
        <f t="shared" si="4"/>
        <v>6489.0350499999995</v>
      </c>
      <c r="F20" s="497">
        <f>+IF(E20=0,"",D20/E20-1)</f>
        <v>5.9678732972786364E-2</v>
      </c>
      <c r="G20" s="360">
        <f>+G14-G18</f>
        <v>6876.2924400000002</v>
      </c>
      <c r="H20" s="360">
        <f>+H14-H18</f>
        <v>6489.0350499999995</v>
      </c>
      <c r="I20" s="497">
        <f>+IF(H20=0,"",G20/H20-1)</f>
        <v>5.9678732972786364E-2</v>
      </c>
      <c r="J20" s="360">
        <f>+J14-J18</f>
        <v>6573.2498500000011</v>
      </c>
      <c r="K20" s="497">
        <f>+IF(J20=0,"",H20/J20-1)</f>
        <v>-1.2811744863159502E-2</v>
      </c>
      <c r="L20" s="15"/>
    </row>
    <row r="21" spans="1:12" ht="11.25" customHeight="1">
      <c r="A21" s="280" t="s">
        <v>497</v>
      </c>
      <c r="B21" s="138"/>
      <c r="C21" s="138"/>
      <c r="D21" s="138"/>
      <c r="E21" s="138"/>
      <c r="F21" s="138"/>
      <c r="G21" s="138"/>
      <c r="H21" s="138"/>
      <c r="I21" s="138"/>
      <c r="J21" s="138"/>
      <c r="K21" s="138"/>
      <c r="L21" s="16"/>
    </row>
    <row r="22" spans="1:12" ht="17.25" customHeight="1">
      <c r="A22" s="854"/>
      <c r="B22" s="854"/>
      <c r="C22" s="854"/>
      <c r="D22" s="854"/>
      <c r="E22" s="854"/>
      <c r="F22" s="854"/>
      <c r="G22" s="854"/>
      <c r="H22" s="854"/>
      <c r="I22" s="854"/>
      <c r="J22" s="854"/>
      <c r="K22" s="854"/>
      <c r="L22" s="15"/>
    </row>
    <row r="23" spans="1:12" ht="11.25" customHeight="1">
      <c r="A23" s="153"/>
      <c r="B23" s="153"/>
      <c r="C23" s="153"/>
      <c r="D23" s="153"/>
      <c r="E23" s="153"/>
      <c r="F23" s="153"/>
      <c r="G23" s="153"/>
      <c r="H23" s="153"/>
      <c r="I23" s="153"/>
      <c r="J23" s="153"/>
      <c r="K23" s="153"/>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4"/>
      <c r="B52" s="154"/>
      <c r="C52" s="154"/>
      <c r="D52" s="154"/>
      <c r="E52" s="154"/>
      <c r="F52" s="154"/>
      <c r="G52" s="154"/>
      <c r="H52" s="154"/>
      <c r="I52" s="154"/>
      <c r="J52" s="154"/>
      <c r="K52" s="154"/>
      <c r="L52" s="15"/>
    </row>
    <row r="53" spans="1:12" ht="11.25" customHeight="1">
      <c r="L53" s="11"/>
    </row>
    <row r="54" spans="1:12" ht="11.25" customHeight="1">
      <c r="A54" s="155"/>
      <c r="B54" s="138"/>
      <c r="C54" s="138"/>
      <c r="D54" s="138"/>
      <c r="E54" s="138"/>
      <c r="F54" s="138"/>
      <c r="G54" s="138"/>
      <c r="H54" s="138"/>
      <c r="I54" s="138"/>
      <c r="J54" s="138"/>
      <c r="K54" s="138"/>
      <c r="L54" s="11"/>
    </row>
    <row r="55" spans="1:12" ht="11.25" customHeight="1">
      <c r="A55" s="155"/>
      <c r="B55" s="156"/>
      <c r="C55" s="156"/>
      <c r="D55" s="156"/>
      <c r="E55" s="156"/>
      <c r="F55" s="156"/>
      <c r="G55" s="138"/>
      <c r="H55" s="138"/>
      <c r="I55" s="138"/>
      <c r="J55" s="138"/>
      <c r="K55" s="138"/>
      <c r="L55" s="11"/>
    </row>
    <row r="56" spans="1:12" ht="11.25" customHeight="1">
      <c r="A56" s="132"/>
      <c r="B56" s="157"/>
      <c r="C56" s="157"/>
      <c r="D56" s="158"/>
      <c r="E56" s="158"/>
      <c r="F56" s="158"/>
      <c r="G56" s="138"/>
      <c r="H56" s="138"/>
      <c r="I56" s="138"/>
      <c r="J56" s="138"/>
      <c r="K56" s="138"/>
      <c r="L56" s="11"/>
    </row>
    <row r="57" spans="1:12" ht="11.25" customHeight="1">
      <c r="L57" s="11"/>
    </row>
    <row r="58" spans="1:12" ht="12">
      <c r="A58" s="855" t="str">
        <f>"Gráfico N° 11: Comparación de la máxima potencia coincidente de potencia (MW) por tipo de generación en el SEIN en "&amp;'1. Resumen'!Q4</f>
        <v>Gráfico N° 11: Comparación de la máxima potencia coincidente de potencia (MW) por tipo de generación en el SEIN en enero</v>
      </c>
      <c r="B58" s="855"/>
      <c r="C58" s="855"/>
      <c r="D58" s="855"/>
      <c r="E58" s="855"/>
      <c r="F58" s="855"/>
      <c r="G58" s="855"/>
      <c r="H58" s="855"/>
      <c r="I58" s="855"/>
      <c r="J58" s="855"/>
      <c r="K58" s="855"/>
      <c r="L58" s="11"/>
    </row>
    <row r="59" spans="1:12" ht="12">
      <c r="A59" s="132"/>
      <c r="B59" s="157"/>
      <c r="C59" s="157"/>
      <c r="D59" s="158"/>
      <c r="E59" s="158"/>
      <c r="F59" s="158"/>
      <c r="G59" s="138"/>
      <c r="H59" s="138"/>
      <c r="I59" s="138"/>
      <c r="J59" s="138"/>
      <c r="K59" s="138"/>
      <c r="L59" s="11"/>
    </row>
    <row r="60" spans="1:12" ht="12">
      <c r="A60" s="132"/>
      <c r="B60" s="157"/>
      <c r="C60" s="157"/>
      <c r="D60" s="158"/>
      <c r="E60" s="158"/>
      <c r="F60" s="158"/>
      <c r="G60" s="138"/>
      <c r="H60" s="138"/>
      <c r="I60" s="138"/>
      <c r="J60" s="138"/>
      <c r="K60" s="138"/>
      <c r="L60" s="11"/>
    </row>
    <row r="61" spans="1:12" ht="12.75">
      <c r="A61" s="17"/>
      <c r="B61" s="151"/>
      <c r="C61" s="151"/>
      <c r="D61" s="152"/>
      <c r="E61" s="152"/>
      <c r="F61" s="152"/>
      <c r="G61" s="73"/>
      <c r="H61" s="73"/>
      <c r="I61" s="73"/>
      <c r="J61" s="73"/>
      <c r="K61" s="73"/>
      <c r="L61" s="11"/>
    </row>
    <row r="62" spans="1:12" ht="12.75">
      <c r="A62" s="17"/>
      <c r="B62" s="151"/>
      <c r="C62" s="151"/>
      <c r="D62" s="152"/>
      <c r="E62" s="152"/>
      <c r="F62" s="152"/>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4311417322834645" bottom="0.62992125984251968" header="0.31496062992125984" footer="0.31496062992125984"/>
  <pageSetup paperSize="9" scale="95" orientation="portrait" r:id="rId1"/>
  <headerFooter>
    <oddHeader>&amp;R&amp;7Informe de la Operación Mensual - Enero 2019
INFSGI-MES-01-2019
13/02/2019
Versión: 01</oddHeader>
    <oddFooter>&amp;L&amp;7COES, 2019&amp;C8&amp;R&amp;7Dirección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sheetPr>
  <dimension ref="A1:O74"/>
  <sheetViews>
    <sheetView showGridLines="0" view="pageBreakPreview" topLeftCell="B1" zoomScale="145" zoomScaleNormal="100" zoomScaleSheetLayoutView="145" zoomScalePageLayoutView="145" workbookViewId="0">
      <selection activeCell="M24" sqref="M24"/>
    </sheetView>
  </sheetViews>
  <sheetFormatPr defaultColWidth="9.33203125" defaultRowHeight="11.25"/>
  <cols>
    <col min="1" max="1" width="26.5" customWidth="1"/>
    <col min="2" max="2" width="11.33203125" customWidth="1"/>
    <col min="3" max="3" width="10.83203125" customWidth="1"/>
    <col min="4" max="4" width="8.6640625" customWidth="1"/>
    <col min="10" max="10" width="11.83203125" customWidth="1"/>
    <col min="11" max="11" width="9.33203125" customWidth="1"/>
    <col min="12" max="12" width="27.83203125" style="527" customWidth="1"/>
  </cols>
  <sheetData>
    <row r="1" spans="1:15" ht="11.25" customHeight="1">
      <c r="A1" s="860" t="s">
        <v>278</v>
      </c>
      <c r="B1" s="860"/>
      <c r="C1" s="860"/>
      <c r="D1" s="860"/>
      <c r="E1" s="860"/>
      <c r="F1" s="860"/>
      <c r="G1" s="860"/>
      <c r="H1" s="860"/>
      <c r="I1" s="860"/>
      <c r="J1" s="860"/>
    </row>
    <row r="2" spans="1:15" ht="7.5" customHeight="1">
      <c r="A2" s="74"/>
      <c r="B2" s="73"/>
      <c r="C2" s="73"/>
      <c r="D2" s="73"/>
      <c r="E2" s="73"/>
      <c r="F2" s="73"/>
      <c r="G2" s="73"/>
      <c r="H2" s="73"/>
      <c r="I2" s="73"/>
      <c r="J2" s="73"/>
      <c r="K2" s="36"/>
      <c r="L2" s="705"/>
    </row>
    <row r="3" spans="1:15" ht="11.25" customHeight="1">
      <c r="A3" s="861" t="s">
        <v>128</v>
      </c>
      <c r="B3" s="863" t="str">
        <f>+'1. Resumen'!Q4</f>
        <v>enero</v>
      </c>
      <c r="C3" s="864"/>
      <c r="D3" s="865"/>
      <c r="E3" s="138"/>
      <c r="F3" s="138"/>
      <c r="G3" s="866" t="s">
        <v>652</v>
      </c>
      <c r="H3" s="866"/>
      <c r="I3" s="866"/>
      <c r="J3" s="138"/>
      <c r="K3" s="148"/>
      <c r="L3" s="705"/>
    </row>
    <row r="4" spans="1:15" ht="11.25" customHeight="1">
      <c r="A4" s="861"/>
      <c r="B4" s="636">
        <v>2019</v>
      </c>
      <c r="C4" s="637">
        <v>2018</v>
      </c>
      <c r="D4" s="865" t="s">
        <v>35</v>
      </c>
      <c r="E4" s="138"/>
      <c r="F4" s="138"/>
      <c r="G4" s="138"/>
      <c r="H4" s="138"/>
      <c r="I4" s="138"/>
      <c r="J4" s="138"/>
      <c r="K4" s="24"/>
      <c r="L4" s="709"/>
    </row>
    <row r="5" spans="1:15" ht="11.25" customHeight="1">
      <c r="A5" s="861"/>
      <c r="B5" s="638">
        <f>+'8. Max Potencia'!D8</f>
        <v>43494.833333333336</v>
      </c>
      <c r="C5" s="638">
        <f>+'8. Max Potencia'!E8</f>
        <v>43126.822916666664</v>
      </c>
      <c r="D5" s="865"/>
      <c r="E5" s="138"/>
      <c r="F5" s="138"/>
      <c r="G5" s="138"/>
      <c r="H5" s="138"/>
      <c r="I5" s="138"/>
      <c r="J5" s="138"/>
      <c r="K5" s="24"/>
      <c r="L5" s="710"/>
    </row>
    <row r="6" spans="1:15" ht="11.25" customHeight="1" thickBot="1">
      <c r="A6" s="862"/>
      <c r="B6" s="639">
        <f>+'8. Max Potencia'!D9</f>
        <v>43494.833333333336</v>
      </c>
      <c r="C6" s="639">
        <f>+'8. Max Potencia'!E9</f>
        <v>43126.822916666664</v>
      </c>
      <c r="D6" s="867"/>
      <c r="E6" s="138"/>
      <c r="F6" s="138"/>
      <c r="G6" s="138"/>
      <c r="H6" s="138"/>
      <c r="I6" s="138"/>
      <c r="J6" s="138"/>
      <c r="K6" s="25"/>
      <c r="L6" s="709" t="s">
        <v>277</v>
      </c>
      <c r="M6">
        <v>2019</v>
      </c>
      <c r="N6">
        <v>2018</v>
      </c>
    </row>
    <row r="7" spans="1:15" ht="9.75" customHeight="1">
      <c r="A7" s="450" t="s">
        <v>531</v>
      </c>
      <c r="B7" s="451">
        <v>872.17794000000004</v>
      </c>
      <c r="C7" s="451">
        <v>1361.3133600000001</v>
      </c>
      <c r="D7" s="452">
        <f>IF(C7=0,"",B7/C7-1)</f>
        <v>-0.35931140791860006</v>
      </c>
      <c r="E7" s="138"/>
      <c r="F7" s="138"/>
      <c r="G7" s="138"/>
      <c r="H7" s="138"/>
      <c r="I7" s="138"/>
      <c r="J7" s="138"/>
      <c r="K7" s="23"/>
      <c r="L7" s="793" t="s">
        <v>125</v>
      </c>
      <c r="M7">
        <v>0</v>
      </c>
      <c r="N7">
        <v>0</v>
      </c>
      <c r="O7" s="294"/>
    </row>
    <row r="8" spans="1:15" ht="9.75" customHeight="1">
      <c r="A8" s="453" t="s">
        <v>90</v>
      </c>
      <c r="B8" s="454">
        <v>858.55745000000002</v>
      </c>
      <c r="C8" s="454">
        <v>360.22037999999998</v>
      </c>
      <c r="D8" s="455">
        <f t="shared" ref="D8:D61" si="0">IF(C8=0,"",B8/C8-1)</f>
        <v>1.3834227535932313</v>
      </c>
      <c r="E8" s="138"/>
      <c r="F8" s="138"/>
      <c r="G8" s="138"/>
      <c r="H8" s="138"/>
      <c r="I8" s="138"/>
      <c r="J8" s="138"/>
      <c r="K8" s="26"/>
      <c r="L8" s="793" t="s">
        <v>261</v>
      </c>
      <c r="M8">
        <v>0</v>
      </c>
      <c r="N8">
        <v>0</v>
      </c>
      <c r="O8" s="294"/>
    </row>
    <row r="9" spans="1:15" ht="9.75" customHeight="1">
      <c r="A9" s="456" t="s">
        <v>92</v>
      </c>
      <c r="B9" s="457">
        <v>852.33215999999993</v>
      </c>
      <c r="C9" s="457">
        <v>848.33568000000002</v>
      </c>
      <c r="D9" s="458">
        <f t="shared" si="0"/>
        <v>4.7109653574866073E-3</v>
      </c>
      <c r="E9" s="500"/>
      <c r="F9" s="138"/>
      <c r="G9" s="138"/>
      <c r="H9" s="138"/>
      <c r="I9" s="138"/>
      <c r="J9" s="138"/>
      <c r="K9" s="25"/>
      <c r="L9" s="793" t="s">
        <v>122</v>
      </c>
      <c r="M9">
        <v>0</v>
      </c>
      <c r="N9">
        <v>0.97128000000000003</v>
      </c>
      <c r="O9" s="294"/>
    </row>
    <row r="10" spans="1:15" ht="9.75" customHeight="1">
      <c r="A10" s="453" t="s">
        <v>91</v>
      </c>
      <c r="B10" s="454">
        <v>721.43719999999996</v>
      </c>
      <c r="C10" s="454">
        <v>1079.3460399999999</v>
      </c>
      <c r="D10" s="455">
        <f t="shared" si="0"/>
        <v>-0.33159786272065261</v>
      </c>
      <c r="E10" s="138"/>
      <c r="F10" s="138"/>
      <c r="G10" s="138"/>
      <c r="H10" s="138"/>
      <c r="I10" s="138"/>
      <c r="J10" s="138"/>
      <c r="K10" s="25"/>
      <c r="L10" s="793" t="s">
        <v>114</v>
      </c>
      <c r="M10" s="295">
        <v>0</v>
      </c>
      <c r="N10" s="295">
        <v>0</v>
      </c>
      <c r="O10" s="294"/>
    </row>
    <row r="11" spans="1:15" ht="9.75" customHeight="1">
      <c r="A11" s="456" t="s">
        <v>265</v>
      </c>
      <c r="B11" s="457">
        <v>543.99379999999996</v>
      </c>
      <c r="C11" s="457">
        <v>0</v>
      </c>
      <c r="D11" s="458" t="str">
        <f t="shared" si="0"/>
        <v/>
      </c>
      <c r="E11" s="138"/>
      <c r="F11" s="138"/>
      <c r="G11" s="138"/>
      <c r="H11" s="138"/>
      <c r="I11" s="138"/>
      <c r="J11" s="138"/>
      <c r="K11" s="25"/>
      <c r="L11" s="794" t="s">
        <v>115</v>
      </c>
      <c r="M11" s="295">
        <v>0</v>
      </c>
      <c r="N11" s="295">
        <v>0</v>
      </c>
      <c r="O11" s="294"/>
    </row>
    <row r="12" spans="1:15" ht="9.75" customHeight="1">
      <c r="A12" s="453" t="s">
        <v>262</v>
      </c>
      <c r="B12" s="454">
        <v>460.85723999999999</v>
      </c>
      <c r="C12" s="454">
        <v>456.50977</v>
      </c>
      <c r="D12" s="455">
        <f t="shared" si="0"/>
        <v>9.5232792060506721E-3</v>
      </c>
      <c r="E12" s="138"/>
      <c r="F12" s="138"/>
      <c r="G12" s="138"/>
      <c r="H12" s="138"/>
      <c r="I12" s="138"/>
      <c r="J12" s="138"/>
      <c r="K12" s="23"/>
      <c r="L12" s="793" t="s">
        <v>121</v>
      </c>
      <c r="M12" s="282">
        <v>0</v>
      </c>
      <c r="N12">
        <v>0</v>
      </c>
      <c r="O12" s="294"/>
    </row>
    <row r="13" spans="1:15" ht="9.75" customHeight="1">
      <c r="A13" s="456" t="s">
        <v>93</v>
      </c>
      <c r="B13" s="457">
        <v>379.85884999999996</v>
      </c>
      <c r="C13" s="457">
        <v>352.60912000000002</v>
      </c>
      <c r="D13" s="458">
        <f t="shared" si="0"/>
        <v>7.7280275677497956E-2</v>
      </c>
      <c r="E13" s="138"/>
      <c r="F13" s="138"/>
      <c r="G13" s="138"/>
      <c r="H13" s="138"/>
      <c r="I13" s="138"/>
      <c r="J13" s="138"/>
      <c r="K13" s="26"/>
      <c r="L13" s="794" t="s">
        <v>113</v>
      </c>
      <c r="M13" s="295">
        <v>0</v>
      </c>
      <c r="N13" s="295">
        <v>0</v>
      </c>
      <c r="O13" s="294"/>
    </row>
    <row r="14" spans="1:15" ht="9.75" customHeight="1">
      <c r="A14" s="453" t="s">
        <v>267</v>
      </c>
      <c r="B14" s="454">
        <v>347.52594000000005</v>
      </c>
      <c r="C14" s="454">
        <v>345.87764000000004</v>
      </c>
      <c r="D14" s="455">
        <f t="shared" si="0"/>
        <v>4.7655581320609208E-3</v>
      </c>
      <c r="E14" s="138"/>
      <c r="F14" s="138"/>
      <c r="G14" s="138"/>
      <c r="H14" s="138"/>
      <c r="I14" s="138"/>
      <c r="J14" s="138"/>
      <c r="K14" s="26"/>
      <c r="L14" s="794" t="s">
        <v>110</v>
      </c>
      <c r="M14" s="295">
        <v>0</v>
      </c>
      <c r="N14" s="295">
        <v>0</v>
      </c>
      <c r="O14" s="294"/>
    </row>
    <row r="15" spans="1:15" ht="9.75" customHeight="1">
      <c r="A15" s="456" t="s">
        <v>103</v>
      </c>
      <c r="B15" s="457">
        <v>284.49849</v>
      </c>
      <c r="C15" s="457">
        <v>150.69122999999999</v>
      </c>
      <c r="D15" s="458">
        <f t="shared" si="0"/>
        <v>0.88795651877020321</v>
      </c>
      <c r="E15" s="138"/>
      <c r="F15" s="138"/>
      <c r="G15" s="138"/>
      <c r="H15" s="138"/>
      <c r="I15" s="138"/>
      <c r="J15" s="138"/>
      <c r="K15" s="26"/>
      <c r="L15" s="794" t="s">
        <v>269</v>
      </c>
      <c r="M15" s="295">
        <v>0</v>
      </c>
      <c r="N15" s="295">
        <v>0</v>
      </c>
      <c r="O15" s="294"/>
    </row>
    <row r="16" spans="1:15" ht="9.75" customHeight="1">
      <c r="A16" s="453" t="s">
        <v>97</v>
      </c>
      <c r="B16" s="454">
        <v>212.94022000000001</v>
      </c>
      <c r="C16" s="454">
        <v>213.76758000000001</v>
      </c>
      <c r="D16" s="455">
        <f t="shared" si="0"/>
        <v>-3.8703717373794744E-3</v>
      </c>
      <c r="E16" s="138"/>
      <c r="F16" s="138"/>
      <c r="G16" s="138"/>
      <c r="H16" s="138"/>
      <c r="I16" s="138"/>
      <c r="J16" s="138"/>
      <c r="K16" s="26"/>
      <c r="L16" s="793" t="s">
        <v>270</v>
      </c>
      <c r="M16" s="295">
        <v>0</v>
      </c>
      <c r="N16" s="295">
        <v>0</v>
      </c>
      <c r="O16" s="294"/>
    </row>
    <row r="17" spans="1:15" ht="9.75" customHeight="1">
      <c r="A17" s="456" t="s">
        <v>96</v>
      </c>
      <c r="B17" s="457">
        <v>194.35128</v>
      </c>
      <c r="C17" s="457">
        <v>192.37171999999998</v>
      </c>
      <c r="D17" s="458">
        <f t="shared" si="0"/>
        <v>1.0290285911047636E-2</v>
      </c>
      <c r="E17" s="138"/>
      <c r="F17" s="138"/>
      <c r="G17" s="138"/>
      <c r="H17" s="138"/>
      <c r="I17" s="138"/>
      <c r="J17" s="138"/>
      <c r="K17" s="26"/>
      <c r="L17" s="793" t="s">
        <v>123</v>
      </c>
      <c r="M17">
        <v>0</v>
      </c>
      <c r="N17">
        <v>0</v>
      </c>
      <c r="O17" s="294"/>
    </row>
    <row r="18" spans="1:15" ht="9.75" customHeight="1">
      <c r="A18" s="453" t="s">
        <v>95</v>
      </c>
      <c r="B18" s="454">
        <v>168.82474999999999</v>
      </c>
      <c r="C18" s="454">
        <v>166.59073000000001</v>
      </c>
      <c r="D18" s="455">
        <f t="shared" si="0"/>
        <v>1.3410229968978449E-2</v>
      </c>
      <c r="E18" s="138"/>
      <c r="F18" s="138"/>
      <c r="G18" s="138"/>
      <c r="H18" s="138"/>
      <c r="I18" s="138"/>
      <c r="J18" s="138"/>
      <c r="K18" s="26"/>
      <c r="L18" s="793" t="s">
        <v>112</v>
      </c>
      <c r="M18" s="295">
        <v>0</v>
      </c>
      <c r="N18" s="295">
        <v>0</v>
      </c>
      <c r="O18" s="294"/>
    </row>
    <row r="19" spans="1:15" ht="9.75" customHeight="1">
      <c r="A19" s="456" t="s">
        <v>94</v>
      </c>
      <c r="B19" s="457">
        <v>150.20472999999998</v>
      </c>
      <c r="C19" s="457">
        <v>206.26281</v>
      </c>
      <c r="D19" s="458">
        <f t="shared" si="0"/>
        <v>-0.27177987151440441</v>
      </c>
      <c r="E19" s="138"/>
      <c r="F19" s="138"/>
      <c r="G19" s="138"/>
      <c r="H19" s="138"/>
      <c r="I19" s="138"/>
      <c r="J19" s="138"/>
      <c r="K19" s="26"/>
      <c r="L19" s="793" t="s">
        <v>108</v>
      </c>
      <c r="M19" s="295">
        <v>0</v>
      </c>
      <c r="N19" s="295">
        <v>0</v>
      </c>
      <c r="O19" s="294"/>
    </row>
    <row r="20" spans="1:15" ht="9.75" customHeight="1">
      <c r="A20" s="453" t="s">
        <v>98</v>
      </c>
      <c r="B20" s="454">
        <v>111.13015</v>
      </c>
      <c r="C20" s="454">
        <v>110.91433000000001</v>
      </c>
      <c r="D20" s="455">
        <f t="shared" si="0"/>
        <v>1.9458261164269075E-3</v>
      </c>
      <c r="E20" s="138"/>
      <c r="F20" s="138"/>
      <c r="G20" s="138"/>
      <c r="H20" s="138"/>
      <c r="I20" s="138"/>
      <c r="J20" s="138"/>
      <c r="K20" s="29"/>
      <c r="L20" s="793" t="s">
        <v>593</v>
      </c>
      <c r="M20" s="295">
        <v>0.41988999999999999</v>
      </c>
      <c r="N20" s="295"/>
      <c r="O20" s="294"/>
    </row>
    <row r="21" spans="1:15" ht="9.75" customHeight="1">
      <c r="A21" s="456" t="s">
        <v>650</v>
      </c>
      <c r="B21" s="457">
        <v>91.450299999999999</v>
      </c>
      <c r="C21" s="457">
        <v>90.838310000000007</v>
      </c>
      <c r="D21" s="458">
        <f t="shared" si="0"/>
        <v>6.7371354663026128E-3</v>
      </c>
      <c r="E21" s="138"/>
      <c r="F21" s="138"/>
      <c r="G21" s="138"/>
      <c r="H21" s="138"/>
      <c r="I21" s="138"/>
      <c r="J21" s="138"/>
      <c r="K21" s="26"/>
      <c r="L21" s="793" t="s">
        <v>538</v>
      </c>
      <c r="M21">
        <v>1.0049999999999999</v>
      </c>
      <c r="O21" s="294"/>
    </row>
    <row r="22" spans="1:15" ht="9.75" customHeight="1">
      <c r="A22" s="453" t="s">
        <v>99</v>
      </c>
      <c r="B22" s="454">
        <v>88.451549999999997</v>
      </c>
      <c r="C22" s="454">
        <v>51.151209999999999</v>
      </c>
      <c r="D22" s="455">
        <f t="shared" si="0"/>
        <v>0.72921715830378209</v>
      </c>
      <c r="E22" s="138"/>
      <c r="F22" s="138"/>
      <c r="G22" s="138"/>
      <c r="H22" s="138"/>
      <c r="I22" s="138"/>
      <c r="J22" s="138"/>
      <c r="K22" s="26"/>
      <c r="L22" s="793" t="s">
        <v>120</v>
      </c>
      <c r="M22">
        <v>2.6109999999999998</v>
      </c>
      <c r="N22">
        <v>3.6429999999999998</v>
      </c>
      <c r="O22" s="294"/>
    </row>
    <row r="23" spans="1:15" ht="9.75" customHeight="1">
      <c r="A23" s="456" t="s">
        <v>263</v>
      </c>
      <c r="B23" s="457">
        <v>66.759289999999993</v>
      </c>
      <c r="C23" s="457">
        <v>48.26858</v>
      </c>
      <c r="D23" s="458">
        <f t="shared" si="0"/>
        <v>0.38307963482663032</v>
      </c>
      <c r="E23" s="138"/>
      <c r="F23" s="138"/>
      <c r="G23" s="138"/>
      <c r="H23" s="138"/>
      <c r="I23" s="138"/>
      <c r="J23" s="138"/>
      <c r="K23" s="26"/>
      <c r="L23" s="793" t="s">
        <v>118</v>
      </c>
      <c r="M23" s="295">
        <v>3.3381699999999999</v>
      </c>
      <c r="N23" s="295">
        <v>3.5395599999999998</v>
      </c>
      <c r="O23" s="294"/>
    </row>
    <row r="24" spans="1:15" ht="9.75" customHeight="1">
      <c r="A24" s="453" t="s">
        <v>101</v>
      </c>
      <c r="B24" s="454">
        <v>57.290199999999999</v>
      </c>
      <c r="C24" s="454">
        <v>0</v>
      </c>
      <c r="D24" s="455" t="str">
        <f t="shared" si="0"/>
        <v/>
      </c>
      <c r="E24" s="138"/>
      <c r="F24" s="138"/>
      <c r="G24" s="138"/>
      <c r="H24" s="138"/>
      <c r="I24" s="138"/>
      <c r="J24" s="138"/>
      <c r="K24" s="29"/>
      <c r="L24" s="793" t="s">
        <v>119</v>
      </c>
      <c r="M24" s="295">
        <v>3.6</v>
      </c>
      <c r="N24" s="295">
        <v>3.2</v>
      </c>
      <c r="O24" s="294"/>
    </row>
    <row r="25" spans="1:15" ht="9.75" customHeight="1">
      <c r="A25" s="456" t="s">
        <v>104</v>
      </c>
      <c r="B25" s="457">
        <v>46.684920000000005</v>
      </c>
      <c r="C25" s="457">
        <v>45.917529999999999</v>
      </c>
      <c r="D25" s="458">
        <f t="shared" si="0"/>
        <v>1.6712353647942324E-2</v>
      </c>
      <c r="E25" s="138"/>
      <c r="F25" s="138"/>
      <c r="G25" s="138"/>
      <c r="H25" s="138"/>
      <c r="I25" s="138"/>
      <c r="J25" s="138"/>
      <c r="K25" s="26"/>
      <c r="L25" s="793" t="s">
        <v>117</v>
      </c>
      <c r="M25" s="282">
        <v>4.5327000000000002</v>
      </c>
      <c r="N25">
        <v>4.1099999999999994</v>
      </c>
      <c r="O25" s="294"/>
    </row>
    <row r="26" spans="1:15" ht="9.75" customHeight="1">
      <c r="A26" s="453" t="s">
        <v>100</v>
      </c>
      <c r="B26" s="454">
        <v>42.532390000000007</v>
      </c>
      <c r="C26" s="454">
        <v>84.628889999999998</v>
      </c>
      <c r="D26" s="455">
        <f t="shared" si="0"/>
        <v>-0.49742469740534223</v>
      </c>
      <c r="E26" s="138"/>
      <c r="F26" s="138"/>
      <c r="G26" s="138"/>
      <c r="H26" s="138"/>
      <c r="I26" s="138"/>
      <c r="J26" s="138"/>
      <c r="K26" s="26"/>
      <c r="L26" s="793" t="s">
        <v>116</v>
      </c>
      <c r="M26" s="295">
        <v>4.9726499999999998</v>
      </c>
      <c r="N26" s="295">
        <v>7.7857099999999999</v>
      </c>
      <c r="O26" s="294"/>
    </row>
    <row r="27" spans="1:15" ht="9.75" customHeight="1">
      <c r="A27" s="456" t="s">
        <v>264</v>
      </c>
      <c r="B27" s="457">
        <v>37.080680000000001</v>
      </c>
      <c r="C27" s="457">
        <v>37.175160000000005</v>
      </c>
      <c r="D27" s="458">
        <f t="shared" si="0"/>
        <v>-2.5414820003465399E-3</v>
      </c>
      <c r="E27" s="138"/>
      <c r="F27" s="138"/>
      <c r="G27" s="138"/>
      <c r="H27" s="138"/>
      <c r="I27" s="138"/>
      <c r="J27" s="138"/>
      <c r="K27" s="26"/>
      <c r="L27" s="793" t="s">
        <v>268</v>
      </c>
      <c r="M27" s="295">
        <v>6.7167700000000004</v>
      </c>
      <c r="N27" s="295">
        <v>21.974740000000001</v>
      </c>
      <c r="O27" s="294"/>
    </row>
    <row r="28" spans="1:15" ht="9.75" customHeight="1">
      <c r="A28" s="453" t="s">
        <v>271</v>
      </c>
      <c r="B28" s="454">
        <v>32.709769999999999</v>
      </c>
      <c r="C28" s="454">
        <v>31.571490000000004</v>
      </c>
      <c r="D28" s="455">
        <f t="shared" si="0"/>
        <v>3.6054047496649533E-2</v>
      </c>
      <c r="E28" s="138"/>
      <c r="F28" s="138"/>
      <c r="G28" s="138"/>
      <c r="H28" s="138"/>
      <c r="I28" s="138"/>
      <c r="J28" s="138"/>
      <c r="K28" s="26"/>
      <c r="L28" s="793" t="s">
        <v>532</v>
      </c>
      <c r="M28" s="295">
        <v>8.2147000000000006</v>
      </c>
      <c r="N28" s="295">
        <v>4.4153000000000002</v>
      </c>
      <c r="O28" s="294"/>
    </row>
    <row r="29" spans="1:15" ht="9.75" customHeight="1">
      <c r="A29" s="459" t="s">
        <v>111</v>
      </c>
      <c r="B29" s="460">
        <v>29.358319999999999</v>
      </c>
      <c r="C29" s="460">
        <v>4.6769999999999996</v>
      </c>
      <c r="D29" s="461">
        <f t="shared" si="0"/>
        <v>5.2771691255078048</v>
      </c>
      <c r="E29" s="138"/>
      <c r="F29" s="138"/>
      <c r="G29" s="138"/>
      <c r="H29" s="138"/>
      <c r="I29" s="138"/>
      <c r="J29" s="138"/>
      <c r="K29" s="26"/>
      <c r="L29" s="794" t="s">
        <v>109</v>
      </c>
      <c r="M29" s="295">
        <v>11.549289999999999</v>
      </c>
      <c r="N29" s="295">
        <v>12.68676</v>
      </c>
      <c r="O29" s="294"/>
    </row>
    <row r="30" spans="1:15" ht="9.75" customHeight="1">
      <c r="A30" s="462" t="s">
        <v>105</v>
      </c>
      <c r="B30" s="463">
        <v>26.653569999999998</v>
      </c>
      <c r="C30" s="463">
        <v>26.922409999999999</v>
      </c>
      <c r="D30" s="464">
        <f t="shared" si="0"/>
        <v>-9.9857330751593754E-3</v>
      </c>
      <c r="E30" s="138"/>
      <c r="F30" s="138"/>
      <c r="G30" s="138"/>
      <c r="H30" s="138"/>
      <c r="I30" s="138"/>
      <c r="J30" s="138"/>
      <c r="K30" s="26"/>
      <c r="L30" s="794" t="s">
        <v>107</v>
      </c>
      <c r="M30" s="295">
        <v>16.018940000000001</v>
      </c>
      <c r="N30" s="295">
        <v>19.14423</v>
      </c>
      <c r="O30" s="294"/>
    </row>
    <row r="31" spans="1:15" ht="9.75" customHeight="1">
      <c r="A31" s="465" t="s">
        <v>102</v>
      </c>
      <c r="B31" s="466">
        <v>21.95486</v>
      </c>
      <c r="C31" s="466">
        <v>73.812150000000003</v>
      </c>
      <c r="D31" s="467">
        <f t="shared" si="0"/>
        <v>-0.70255764125553855</v>
      </c>
      <c r="E31" s="138"/>
      <c r="F31" s="138"/>
      <c r="G31" s="138"/>
      <c r="H31" s="138"/>
      <c r="I31" s="138"/>
      <c r="J31" s="138"/>
      <c r="K31" s="26"/>
      <c r="L31" s="794" t="s">
        <v>106</v>
      </c>
      <c r="M31" s="295">
        <v>17.059999999999999</v>
      </c>
      <c r="N31" s="295">
        <v>19.22</v>
      </c>
      <c r="O31" s="294"/>
    </row>
    <row r="32" spans="1:15" ht="9.75" customHeight="1">
      <c r="A32" s="462" t="s">
        <v>493</v>
      </c>
      <c r="B32" s="463">
        <v>20.086600000000001</v>
      </c>
      <c r="C32" s="463"/>
      <c r="D32" s="464" t="str">
        <f t="shared" si="0"/>
        <v/>
      </c>
      <c r="E32" s="138"/>
      <c r="F32" s="138"/>
      <c r="G32" s="138"/>
      <c r="H32" s="138"/>
      <c r="I32" s="138"/>
      <c r="J32" s="138"/>
      <c r="K32" s="26"/>
      <c r="L32" s="793" t="s">
        <v>266</v>
      </c>
      <c r="M32" s="295">
        <v>18.464480000000002</v>
      </c>
      <c r="N32" s="295">
        <v>18.950340000000001</v>
      </c>
      <c r="O32" s="294"/>
    </row>
    <row r="33" spans="1:15" ht="9.75" customHeight="1">
      <c r="A33" s="465" t="s">
        <v>566</v>
      </c>
      <c r="B33" s="466">
        <v>19.862850000000002</v>
      </c>
      <c r="C33" s="466"/>
      <c r="D33" s="467" t="str">
        <f t="shared" si="0"/>
        <v/>
      </c>
      <c r="E33" s="138"/>
      <c r="F33" s="138"/>
      <c r="G33" s="138"/>
      <c r="H33" s="138"/>
      <c r="I33" s="138"/>
      <c r="J33" s="138"/>
      <c r="K33" s="26"/>
      <c r="L33" s="794" t="s">
        <v>649</v>
      </c>
      <c r="M33" s="295">
        <v>18.974550000000001</v>
      </c>
      <c r="N33" s="295">
        <v>19.520969999999998</v>
      </c>
      <c r="O33" s="294"/>
    </row>
    <row r="34" spans="1:15" ht="9.75" customHeight="1">
      <c r="A34" s="462" t="s">
        <v>124</v>
      </c>
      <c r="B34" s="463">
        <v>19.248800000000003</v>
      </c>
      <c r="C34" s="463">
        <v>10.10004</v>
      </c>
      <c r="D34" s="464">
        <f t="shared" si="0"/>
        <v>0.90581423439907205</v>
      </c>
      <c r="E34" s="138"/>
      <c r="F34" s="138"/>
      <c r="G34" s="138"/>
      <c r="H34" s="138"/>
      <c r="I34" s="138"/>
      <c r="J34" s="138"/>
      <c r="K34" s="26"/>
      <c r="L34" s="793" t="s">
        <v>124</v>
      </c>
      <c r="M34" s="295">
        <v>19.248800000000003</v>
      </c>
      <c r="N34" s="295">
        <v>10.10004</v>
      </c>
      <c r="O34" s="294"/>
    </row>
    <row r="35" spans="1:15" ht="20.25" customHeight="1">
      <c r="A35" s="744" t="s">
        <v>649</v>
      </c>
      <c r="B35" s="466">
        <v>18.974550000000001</v>
      </c>
      <c r="C35" s="466">
        <v>19.520969999999998</v>
      </c>
      <c r="D35" s="467">
        <f t="shared" si="0"/>
        <v>-2.7991436900932531E-2</v>
      </c>
      <c r="E35" s="138"/>
      <c r="F35" s="138"/>
      <c r="G35" s="138"/>
      <c r="H35" s="138"/>
      <c r="I35" s="138"/>
      <c r="J35" s="138"/>
      <c r="K35" s="26"/>
      <c r="L35" s="794" t="s">
        <v>566</v>
      </c>
      <c r="M35" s="295">
        <v>19.862850000000002</v>
      </c>
      <c r="N35" s="295"/>
      <c r="O35" s="294"/>
    </row>
    <row r="36" spans="1:15" ht="9.75" customHeight="1">
      <c r="A36" s="462" t="s">
        <v>266</v>
      </c>
      <c r="B36" s="463">
        <v>18.464480000000002</v>
      </c>
      <c r="C36" s="463">
        <v>18.950340000000001</v>
      </c>
      <c r="D36" s="464">
        <f t="shared" si="0"/>
        <v>-2.563859012555969E-2</v>
      </c>
      <c r="E36" s="138"/>
      <c r="F36" s="138"/>
      <c r="G36" s="138"/>
      <c r="H36" s="138"/>
      <c r="I36" s="138"/>
      <c r="J36" s="138"/>
      <c r="K36" s="34"/>
      <c r="L36" s="794" t="s">
        <v>493</v>
      </c>
      <c r="M36" s="295">
        <v>20.086600000000001</v>
      </c>
      <c r="N36" s="295"/>
      <c r="O36" s="294"/>
    </row>
    <row r="37" spans="1:15" ht="9.75" customHeight="1">
      <c r="A37" s="465" t="s">
        <v>106</v>
      </c>
      <c r="B37" s="466">
        <v>17.059999999999999</v>
      </c>
      <c r="C37" s="466">
        <v>19.22</v>
      </c>
      <c r="D37" s="467">
        <f t="shared" si="0"/>
        <v>-0.11238293444328828</v>
      </c>
      <c r="E37" s="138"/>
      <c r="F37" s="138"/>
      <c r="G37" s="138"/>
      <c r="H37" s="138"/>
      <c r="I37" s="138"/>
      <c r="J37" s="138"/>
      <c r="K37" s="34"/>
      <c r="L37" s="793" t="s">
        <v>102</v>
      </c>
      <c r="M37" s="282">
        <v>21.95486</v>
      </c>
      <c r="N37">
        <v>73.812150000000003</v>
      </c>
      <c r="O37" s="294"/>
    </row>
    <row r="38" spans="1:15" ht="9.75" customHeight="1">
      <c r="A38" s="462" t="s">
        <v>107</v>
      </c>
      <c r="B38" s="463">
        <v>16.018940000000001</v>
      </c>
      <c r="C38" s="463">
        <v>19.14423</v>
      </c>
      <c r="D38" s="464">
        <f t="shared" si="0"/>
        <v>-0.16324971022600543</v>
      </c>
      <c r="E38" s="138"/>
      <c r="F38" s="138"/>
      <c r="G38" s="138"/>
      <c r="H38" s="138"/>
      <c r="I38" s="138"/>
      <c r="J38" s="138"/>
      <c r="K38" s="29"/>
      <c r="L38" s="794" t="s">
        <v>105</v>
      </c>
      <c r="M38" s="295">
        <v>26.653569999999998</v>
      </c>
      <c r="N38" s="295">
        <v>26.922409999999999</v>
      </c>
      <c r="O38" s="294"/>
    </row>
    <row r="39" spans="1:15" ht="9.75" customHeight="1">
      <c r="A39" s="465" t="s">
        <v>109</v>
      </c>
      <c r="B39" s="466">
        <v>11.549289999999999</v>
      </c>
      <c r="C39" s="466">
        <v>12.68676</v>
      </c>
      <c r="D39" s="467">
        <f t="shared" si="0"/>
        <v>-8.9658037197834606E-2</v>
      </c>
      <c r="E39" s="138"/>
      <c r="F39" s="138"/>
      <c r="G39" s="138"/>
      <c r="H39" s="138"/>
      <c r="I39" s="138"/>
      <c r="J39" s="138"/>
      <c r="K39" s="29"/>
      <c r="L39" s="794" t="s">
        <v>111</v>
      </c>
      <c r="M39" s="295">
        <v>29.358319999999999</v>
      </c>
      <c r="N39" s="295">
        <v>4.6769999999999996</v>
      </c>
      <c r="O39" s="294"/>
    </row>
    <row r="40" spans="1:15" ht="9.75" customHeight="1">
      <c r="A40" s="462" t="s">
        <v>532</v>
      </c>
      <c r="B40" s="463">
        <v>8.2147000000000006</v>
      </c>
      <c r="C40" s="463">
        <v>4.4153000000000002</v>
      </c>
      <c r="D40" s="464">
        <f t="shared" si="0"/>
        <v>0.86050777976581427</v>
      </c>
      <c r="E40" s="138"/>
      <c r="F40" s="138"/>
      <c r="G40" s="138"/>
      <c r="H40" s="138"/>
      <c r="I40" s="138"/>
      <c r="J40" s="138"/>
      <c r="K40" s="29"/>
      <c r="L40" s="794" t="s">
        <v>271</v>
      </c>
      <c r="M40" s="295">
        <v>32.709769999999999</v>
      </c>
      <c r="N40" s="295">
        <v>31.571490000000004</v>
      </c>
      <c r="O40" s="294"/>
    </row>
    <row r="41" spans="1:15" ht="9.75" customHeight="1">
      <c r="A41" s="465" t="s">
        <v>268</v>
      </c>
      <c r="B41" s="466">
        <v>6.7167700000000004</v>
      </c>
      <c r="C41" s="466">
        <v>21.974740000000001</v>
      </c>
      <c r="D41" s="467">
        <f t="shared" si="0"/>
        <v>-0.69434132098946333</v>
      </c>
      <c r="E41" s="138"/>
      <c r="F41" s="138"/>
      <c r="G41" s="138"/>
      <c r="H41" s="138"/>
      <c r="I41" s="138"/>
      <c r="J41" s="138"/>
      <c r="K41" s="34"/>
      <c r="L41" s="794" t="s">
        <v>264</v>
      </c>
      <c r="M41" s="295">
        <v>37.080680000000001</v>
      </c>
      <c r="N41" s="295">
        <v>37.175160000000005</v>
      </c>
      <c r="O41" s="294"/>
    </row>
    <row r="42" spans="1:15" ht="9.75" customHeight="1">
      <c r="A42" s="462" t="s">
        <v>116</v>
      </c>
      <c r="B42" s="463">
        <v>4.9726499999999998</v>
      </c>
      <c r="C42" s="463">
        <v>7.7857099999999999</v>
      </c>
      <c r="D42" s="464">
        <f t="shared" si="0"/>
        <v>-0.36131065760219683</v>
      </c>
      <c r="E42" s="138"/>
      <c r="F42" s="138"/>
      <c r="G42" s="138"/>
      <c r="H42" s="138"/>
      <c r="I42" s="138"/>
      <c r="J42" s="138"/>
      <c r="K42" s="34"/>
      <c r="L42" s="793" t="s">
        <v>100</v>
      </c>
      <c r="M42" s="295">
        <v>42.532390000000007</v>
      </c>
      <c r="N42" s="295">
        <v>84.628889999999998</v>
      </c>
      <c r="O42" s="294"/>
    </row>
    <row r="43" spans="1:15" ht="9.75" customHeight="1">
      <c r="A43" s="465" t="s">
        <v>117</v>
      </c>
      <c r="B43" s="466">
        <v>4.5327000000000002</v>
      </c>
      <c r="C43" s="466">
        <v>4.1099999999999994</v>
      </c>
      <c r="D43" s="467">
        <f t="shared" si="0"/>
        <v>0.10284671532846734</v>
      </c>
      <c r="E43" s="138"/>
      <c r="F43" s="138"/>
      <c r="G43" s="138"/>
      <c r="H43" s="138"/>
      <c r="I43" s="138"/>
      <c r="J43" s="138"/>
      <c r="K43" s="34"/>
      <c r="L43" s="794" t="s">
        <v>104</v>
      </c>
      <c r="M43" s="295">
        <v>46.684920000000005</v>
      </c>
      <c r="N43" s="295">
        <v>45.917529999999999</v>
      </c>
      <c r="O43" s="294"/>
    </row>
    <row r="44" spans="1:15" ht="9.75" customHeight="1">
      <c r="A44" s="462" t="s">
        <v>119</v>
      </c>
      <c r="B44" s="463">
        <v>3.6</v>
      </c>
      <c r="C44" s="463">
        <v>3.2</v>
      </c>
      <c r="D44" s="464">
        <f t="shared" si="0"/>
        <v>0.125</v>
      </c>
      <c r="E44" s="138"/>
      <c r="F44" s="138"/>
      <c r="G44" s="138"/>
      <c r="H44" s="138"/>
      <c r="I44" s="138"/>
      <c r="J44" s="138"/>
      <c r="L44" s="794" t="s">
        <v>101</v>
      </c>
      <c r="M44" s="295">
        <v>57.290199999999999</v>
      </c>
      <c r="N44" s="295">
        <v>0</v>
      </c>
      <c r="O44" s="294"/>
    </row>
    <row r="45" spans="1:15" ht="9.75" customHeight="1">
      <c r="A45" s="465" t="s">
        <v>118</v>
      </c>
      <c r="B45" s="466">
        <v>3.3381699999999999</v>
      </c>
      <c r="C45" s="466">
        <v>3.5395599999999998</v>
      </c>
      <c r="D45" s="467">
        <f t="shared" si="0"/>
        <v>-5.6896902439851238E-2</v>
      </c>
      <c r="E45" s="138"/>
      <c r="F45" s="138"/>
      <c r="G45" s="138"/>
      <c r="H45" s="138"/>
      <c r="I45" s="138"/>
      <c r="J45" s="138"/>
      <c r="L45" s="793" t="s">
        <v>263</v>
      </c>
      <c r="M45" s="295">
        <v>66.759289999999993</v>
      </c>
      <c r="N45" s="295">
        <v>48.26858</v>
      </c>
      <c r="O45" s="294"/>
    </row>
    <row r="46" spans="1:15" ht="9.75" customHeight="1">
      <c r="A46" s="462" t="s">
        <v>120</v>
      </c>
      <c r="B46" s="463">
        <v>2.6109999999999998</v>
      </c>
      <c r="C46" s="463">
        <v>3.6429999999999998</v>
      </c>
      <c r="D46" s="464">
        <f t="shared" si="0"/>
        <v>-0.28328300850947019</v>
      </c>
      <c r="E46" s="138"/>
      <c r="F46" s="138"/>
      <c r="G46" s="138"/>
      <c r="H46" s="138"/>
      <c r="I46" s="138"/>
      <c r="J46" s="138"/>
      <c r="L46" s="793" t="s">
        <v>99</v>
      </c>
      <c r="M46" s="295">
        <v>88.451549999999997</v>
      </c>
      <c r="N46" s="295">
        <v>51.151209999999999</v>
      </c>
      <c r="O46" s="294"/>
    </row>
    <row r="47" spans="1:15" ht="9.75" customHeight="1">
      <c r="A47" s="465" t="s">
        <v>538</v>
      </c>
      <c r="B47" s="466">
        <v>1.0049999999999999</v>
      </c>
      <c r="C47" s="466"/>
      <c r="D47" s="467" t="str">
        <f t="shared" si="0"/>
        <v/>
      </c>
      <c r="E47" s="138"/>
      <c r="F47" s="138"/>
      <c r="G47" s="138"/>
      <c r="H47" s="138"/>
      <c r="I47" s="138"/>
      <c r="J47" s="138"/>
      <c r="L47" s="793" t="s">
        <v>650</v>
      </c>
      <c r="M47" s="295">
        <v>91.450299999999999</v>
      </c>
      <c r="N47" s="295">
        <v>90.838310000000007</v>
      </c>
      <c r="O47" s="294"/>
    </row>
    <row r="48" spans="1:15" ht="9.75" customHeight="1">
      <c r="A48" s="462" t="s">
        <v>593</v>
      </c>
      <c r="B48" s="463">
        <v>0.41988999999999999</v>
      </c>
      <c r="C48" s="463"/>
      <c r="D48" s="464" t="str">
        <f t="shared" si="0"/>
        <v/>
      </c>
      <c r="E48" s="138"/>
      <c r="F48" s="138"/>
      <c r="G48" s="138"/>
      <c r="H48" s="138"/>
      <c r="I48" s="138"/>
      <c r="J48" s="138"/>
      <c r="L48" s="793" t="s">
        <v>98</v>
      </c>
      <c r="M48" s="295">
        <v>111.13015</v>
      </c>
      <c r="N48" s="295">
        <v>110.91433000000001</v>
      </c>
      <c r="O48" s="294"/>
    </row>
    <row r="49" spans="1:15" ht="9.75" customHeight="1">
      <c r="A49" s="465" t="s">
        <v>125</v>
      </c>
      <c r="B49" s="466">
        <v>0</v>
      </c>
      <c r="C49" s="466">
        <v>0</v>
      </c>
      <c r="D49" s="467" t="str">
        <f t="shared" si="0"/>
        <v/>
      </c>
      <c r="E49" s="138"/>
      <c r="F49" s="138"/>
      <c r="G49" s="138"/>
      <c r="H49" s="138"/>
      <c r="I49" s="138"/>
      <c r="J49" s="138"/>
      <c r="L49" s="794" t="s">
        <v>94</v>
      </c>
      <c r="M49" s="295">
        <v>150.20472999999998</v>
      </c>
      <c r="N49" s="295">
        <v>206.26281</v>
      </c>
      <c r="O49" s="294"/>
    </row>
    <row r="50" spans="1:15" ht="9.75" customHeight="1">
      <c r="A50" s="462" t="s">
        <v>261</v>
      </c>
      <c r="B50" s="463">
        <v>0</v>
      </c>
      <c r="C50" s="463">
        <v>0</v>
      </c>
      <c r="D50" s="464" t="str">
        <f t="shared" si="0"/>
        <v/>
      </c>
      <c r="E50" s="138"/>
      <c r="F50" s="138"/>
      <c r="G50" s="138"/>
      <c r="H50" s="138"/>
      <c r="I50" s="138"/>
      <c r="J50" s="138"/>
      <c r="L50" s="794" t="s">
        <v>95</v>
      </c>
      <c r="M50" s="295">
        <v>168.82474999999999</v>
      </c>
      <c r="N50" s="295">
        <v>166.59073000000001</v>
      </c>
      <c r="O50" s="294"/>
    </row>
    <row r="51" spans="1:15" ht="9.75" customHeight="1">
      <c r="A51" s="465" t="s">
        <v>122</v>
      </c>
      <c r="B51" s="466">
        <v>0</v>
      </c>
      <c r="C51" s="466">
        <v>0.97128000000000003</v>
      </c>
      <c r="D51" s="467">
        <f t="shared" si="0"/>
        <v>-1</v>
      </c>
      <c r="E51" s="138"/>
      <c r="F51" s="138"/>
      <c r="G51" s="138"/>
      <c r="H51" s="138"/>
      <c r="I51" s="138"/>
      <c r="J51" s="138"/>
      <c r="L51" s="794" t="s">
        <v>96</v>
      </c>
      <c r="M51" s="295">
        <v>194.35128</v>
      </c>
      <c r="N51" s="295">
        <v>192.37171999999998</v>
      </c>
      <c r="O51" s="294"/>
    </row>
    <row r="52" spans="1:15" ht="9.75" customHeight="1">
      <c r="A52" s="462" t="s">
        <v>114</v>
      </c>
      <c r="B52" s="463">
        <v>0</v>
      </c>
      <c r="C52" s="463">
        <v>0</v>
      </c>
      <c r="D52" s="464" t="str">
        <f t="shared" si="0"/>
        <v/>
      </c>
      <c r="E52" s="138"/>
      <c r="F52" s="138"/>
      <c r="G52" s="138"/>
      <c r="H52" s="138"/>
      <c r="I52" s="138"/>
      <c r="J52" s="138"/>
      <c r="L52" s="794" t="s">
        <v>97</v>
      </c>
      <c r="M52" s="295">
        <v>212.94022000000001</v>
      </c>
      <c r="N52" s="295">
        <v>213.76758000000001</v>
      </c>
      <c r="O52" s="294"/>
    </row>
    <row r="53" spans="1:15" ht="9.75" customHeight="1">
      <c r="A53" s="465" t="s">
        <v>115</v>
      </c>
      <c r="B53" s="466">
        <v>0</v>
      </c>
      <c r="C53" s="466">
        <v>0</v>
      </c>
      <c r="D53" s="467" t="str">
        <f t="shared" si="0"/>
        <v/>
      </c>
      <c r="E53" s="138"/>
      <c r="F53" s="138"/>
      <c r="G53" s="138"/>
      <c r="H53" s="138"/>
      <c r="I53" s="138"/>
      <c r="J53" s="138"/>
      <c r="L53" s="794" t="s">
        <v>103</v>
      </c>
      <c r="M53" s="295">
        <v>284.49849</v>
      </c>
      <c r="N53" s="295">
        <v>150.69122999999999</v>
      </c>
      <c r="O53" s="294"/>
    </row>
    <row r="54" spans="1:15" ht="9.75" customHeight="1">
      <c r="A54" s="462" t="s">
        <v>121</v>
      </c>
      <c r="B54" s="463">
        <v>0</v>
      </c>
      <c r="C54" s="463">
        <v>0</v>
      </c>
      <c r="D54" s="464" t="str">
        <f t="shared" si="0"/>
        <v/>
      </c>
      <c r="E54" s="138"/>
      <c r="F54" s="138"/>
      <c r="G54" s="138"/>
      <c r="H54" s="138"/>
      <c r="I54" s="138"/>
      <c r="J54" s="138"/>
      <c r="L54" s="794" t="s">
        <v>267</v>
      </c>
      <c r="M54" s="295">
        <v>347.52594000000005</v>
      </c>
      <c r="N54" s="295">
        <v>345.87764000000004</v>
      </c>
      <c r="O54" s="294"/>
    </row>
    <row r="55" spans="1:15" ht="9.75" customHeight="1">
      <c r="A55" s="465" t="s">
        <v>113</v>
      </c>
      <c r="B55" s="466">
        <v>0</v>
      </c>
      <c r="C55" s="466">
        <v>0</v>
      </c>
      <c r="D55" s="467" t="str">
        <f t="shared" si="0"/>
        <v/>
      </c>
      <c r="E55" s="138"/>
      <c r="F55" s="138"/>
      <c r="G55" s="138"/>
      <c r="H55" s="138"/>
      <c r="I55" s="138"/>
      <c r="J55" s="138"/>
      <c r="L55" s="794" t="s">
        <v>93</v>
      </c>
      <c r="M55" s="295">
        <v>379.85884999999996</v>
      </c>
      <c r="N55" s="295">
        <v>352.60912000000002</v>
      </c>
      <c r="O55" s="294"/>
    </row>
    <row r="56" spans="1:15" ht="9.75" customHeight="1">
      <c r="A56" s="462" t="s">
        <v>110</v>
      </c>
      <c r="B56" s="463">
        <v>0</v>
      </c>
      <c r="C56" s="463">
        <v>0</v>
      </c>
      <c r="D56" s="464" t="str">
        <f t="shared" si="0"/>
        <v/>
      </c>
      <c r="E56" s="138"/>
      <c r="F56" s="138"/>
      <c r="G56" s="138"/>
      <c r="H56" s="138"/>
      <c r="I56" s="138"/>
      <c r="J56" s="138"/>
      <c r="L56" s="794" t="s">
        <v>262</v>
      </c>
      <c r="M56" s="295">
        <v>460.85723999999999</v>
      </c>
      <c r="N56" s="295">
        <v>456.50977</v>
      </c>
      <c r="O56" s="294"/>
    </row>
    <row r="57" spans="1:15" ht="9.75" customHeight="1">
      <c r="A57" s="465" t="s">
        <v>269</v>
      </c>
      <c r="B57" s="466">
        <v>0</v>
      </c>
      <c r="C57" s="466">
        <v>0</v>
      </c>
      <c r="D57" s="467" t="str">
        <f t="shared" si="0"/>
        <v/>
      </c>
      <c r="E57" s="138"/>
      <c r="F57" s="138"/>
      <c r="G57" s="138"/>
      <c r="H57" s="138"/>
      <c r="I57" s="138"/>
      <c r="J57" s="138"/>
      <c r="L57" s="794" t="s">
        <v>265</v>
      </c>
      <c r="M57" s="295">
        <v>543.99379999999996</v>
      </c>
      <c r="N57" s="295">
        <v>0</v>
      </c>
      <c r="O57" s="294"/>
    </row>
    <row r="58" spans="1:15" ht="9.75" customHeight="1">
      <c r="A58" s="462" t="s">
        <v>270</v>
      </c>
      <c r="B58" s="463">
        <v>0</v>
      </c>
      <c r="C58" s="463">
        <v>0</v>
      </c>
      <c r="D58" s="464" t="str">
        <f t="shared" si="0"/>
        <v/>
      </c>
      <c r="E58" s="138"/>
      <c r="F58" s="138"/>
      <c r="G58" s="138"/>
      <c r="H58" s="138"/>
      <c r="I58" s="138"/>
      <c r="J58" s="138"/>
      <c r="L58" s="794" t="s">
        <v>91</v>
      </c>
      <c r="M58" s="295">
        <v>721.43719999999996</v>
      </c>
      <c r="N58" s="295">
        <v>1079.3460399999999</v>
      </c>
      <c r="O58" s="294"/>
    </row>
    <row r="59" spans="1:15" ht="9.75" customHeight="1">
      <c r="A59" s="445" t="s">
        <v>123</v>
      </c>
      <c r="B59" s="446">
        <v>0</v>
      </c>
      <c r="C59" s="446">
        <v>0</v>
      </c>
      <c r="D59" s="467" t="str">
        <f t="shared" si="0"/>
        <v/>
      </c>
      <c r="E59" s="138"/>
      <c r="F59" s="138"/>
      <c r="G59" s="138"/>
      <c r="H59" s="138"/>
      <c r="I59" s="138"/>
      <c r="J59" s="138"/>
      <c r="L59" s="793" t="s">
        <v>92</v>
      </c>
      <c r="M59" s="295">
        <v>852.33215999999993</v>
      </c>
      <c r="N59" s="295">
        <v>848.33568000000002</v>
      </c>
      <c r="O59" s="294"/>
    </row>
    <row r="60" spans="1:15" ht="9.75" customHeight="1">
      <c r="A60" s="468" t="s">
        <v>112</v>
      </c>
      <c r="B60" s="469">
        <v>0</v>
      </c>
      <c r="C60" s="469">
        <v>0</v>
      </c>
      <c r="D60" s="470" t="str">
        <f t="shared" si="0"/>
        <v/>
      </c>
      <c r="E60" s="138"/>
      <c r="F60" s="138"/>
      <c r="G60" s="138"/>
      <c r="H60" s="138"/>
      <c r="I60" s="138"/>
      <c r="J60" s="138"/>
      <c r="L60" s="794" t="s">
        <v>90</v>
      </c>
      <c r="M60" s="295">
        <v>858.55745000000002</v>
      </c>
      <c r="N60" s="295">
        <v>360.22037999999998</v>
      </c>
      <c r="O60" s="294"/>
    </row>
    <row r="61" spans="1:15" ht="9.75" customHeight="1">
      <c r="A61" s="445" t="s">
        <v>108</v>
      </c>
      <c r="B61" s="446">
        <v>0</v>
      </c>
      <c r="C61" s="446">
        <v>0</v>
      </c>
      <c r="D61" s="458" t="str">
        <f t="shared" si="0"/>
        <v/>
      </c>
      <c r="E61" s="138"/>
      <c r="F61" s="138"/>
      <c r="G61" s="138"/>
      <c r="H61" s="138"/>
      <c r="I61" s="138"/>
      <c r="J61" s="138"/>
      <c r="L61" s="794" t="s">
        <v>531</v>
      </c>
      <c r="M61" s="295">
        <v>872.17794000000004</v>
      </c>
      <c r="N61" s="295">
        <v>1361.3133600000001</v>
      </c>
      <c r="O61" s="294"/>
    </row>
    <row r="62" spans="1:15" ht="9.75" hidden="1" customHeight="1">
      <c r="A62" s="468"/>
      <c r="B62" s="469"/>
      <c r="C62" s="469"/>
      <c r="D62" s="470"/>
      <c r="E62" s="138"/>
      <c r="F62" s="138"/>
      <c r="G62" s="138"/>
      <c r="H62" s="138"/>
      <c r="I62" s="138"/>
      <c r="J62" s="138"/>
      <c r="L62" s="794"/>
      <c r="M62" s="295"/>
      <c r="N62" s="295"/>
      <c r="O62" s="294"/>
    </row>
    <row r="63" spans="1:15" ht="9.75" hidden="1" customHeight="1">
      <c r="A63" s="445"/>
      <c r="B63" s="446"/>
      <c r="C63" s="446"/>
      <c r="D63" s="458"/>
      <c r="E63" s="138"/>
      <c r="F63" s="138"/>
      <c r="G63" s="138"/>
      <c r="H63" s="138"/>
      <c r="I63" s="138"/>
      <c r="J63" s="138"/>
      <c r="L63" s="794"/>
      <c r="M63" s="295"/>
      <c r="N63" s="295"/>
      <c r="O63" s="294"/>
    </row>
    <row r="64" spans="1:15" ht="9.75" customHeight="1">
      <c r="A64" s="447" t="s">
        <v>44</v>
      </c>
      <c r="B64" s="448">
        <f>SUM(B7:B63)</f>
        <v>6876.292440000002</v>
      </c>
      <c r="C64" s="448">
        <f>SUM(C7:C63)</f>
        <v>6489.0350499999977</v>
      </c>
      <c r="D64" s="449">
        <f>IF(C64=0,"",B64/C64-1)</f>
        <v>5.9678732972786808E-2</v>
      </c>
      <c r="E64" s="132"/>
      <c r="F64" s="132"/>
      <c r="G64" s="132"/>
      <c r="H64" s="163"/>
      <c r="I64" s="163"/>
      <c r="J64" s="163"/>
      <c r="L64" s="794"/>
      <c r="M64" s="295"/>
      <c r="N64" s="295"/>
    </row>
    <row r="65" spans="1:10" ht="32.25" customHeight="1">
      <c r="A65" s="851" t="str">
        <f>"Cuadro N° 8: Participación de las empresas generadoras del COES en la máxima potencia coincidente (MW) en "&amp;'1. Resumen'!Q4</f>
        <v>Cuadro N° 8: Participación de las empresas generadoras del COES en la máxima potencia coincidente (MW) en enero</v>
      </c>
      <c r="B65" s="851"/>
      <c r="C65" s="851"/>
      <c r="D65" s="851"/>
      <c r="E65" s="150"/>
      <c r="F65" s="851" t="str">
        <f>"Gráfico N° 12: Comparación de la máxima potencia coincidente  (MW) de las empresas generadoras del COES en "&amp;'1. Resumen'!Q4</f>
        <v>Gráfico N° 12: Comparación de la máxima potencia coincidente  (MW) de las empresas generadoras del COES en enero</v>
      </c>
      <c r="G65" s="851"/>
      <c r="H65" s="851"/>
      <c r="I65" s="851"/>
      <c r="J65" s="851"/>
    </row>
    <row r="66" spans="1:10" ht="7.5" customHeight="1">
      <c r="A66" s="442"/>
      <c r="B66" s="442"/>
      <c r="C66" s="442"/>
      <c r="D66" s="442"/>
      <c r="E66" s="150"/>
      <c r="F66" s="442"/>
      <c r="G66" s="442"/>
      <c r="H66" s="442"/>
      <c r="I66" s="442"/>
      <c r="J66" s="442"/>
    </row>
    <row r="67" spans="1:10" ht="12.75" customHeight="1">
      <c r="A67" s="853"/>
      <c r="B67" s="853"/>
      <c r="C67" s="853"/>
      <c r="D67" s="853"/>
      <c r="E67" s="853"/>
      <c r="F67" s="853"/>
      <c r="G67" s="853"/>
      <c r="H67" s="853"/>
      <c r="I67" s="853"/>
      <c r="J67" s="853"/>
    </row>
    <row r="68" spans="1:10" ht="12.75" customHeight="1">
      <c r="A68" s="853"/>
      <c r="B68" s="853"/>
      <c r="C68" s="853"/>
      <c r="D68" s="853"/>
      <c r="E68" s="853"/>
      <c r="F68" s="853"/>
      <c r="G68" s="853"/>
      <c r="H68" s="853"/>
      <c r="I68" s="853"/>
      <c r="J68" s="853"/>
    </row>
    <row r="69" spans="1:10" ht="12.75" customHeight="1">
      <c r="A69" s="853"/>
      <c r="B69" s="853"/>
      <c r="C69" s="853"/>
      <c r="D69" s="853"/>
      <c r="E69" s="853"/>
      <c r="F69" s="853"/>
      <c r="G69" s="853"/>
      <c r="H69" s="853"/>
      <c r="I69" s="853"/>
      <c r="J69" s="853"/>
    </row>
    <row r="70" spans="1:10">
      <c r="A70" s="853"/>
      <c r="B70" s="853"/>
      <c r="C70" s="853"/>
      <c r="D70" s="853"/>
      <c r="E70" s="853"/>
      <c r="F70" s="853"/>
      <c r="G70" s="853"/>
      <c r="H70" s="853"/>
      <c r="I70" s="853"/>
      <c r="J70" s="853"/>
    </row>
    <row r="71" spans="1:10">
      <c r="A71" s="846"/>
      <c r="B71" s="846"/>
      <c r="C71" s="846"/>
      <c r="D71" s="846"/>
      <c r="E71" s="846"/>
      <c r="F71" s="846"/>
      <c r="G71" s="846"/>
      <c r="H71" s="846"/>
      <c r="I71" s="846"/>
      <c r="J71" s="846"/>
    </row>
    <row r="72" spans="1:10">
      <c r="A72" s="845"/>
      <c r="B72" s="845"/>
      <c r="C72" s="845"/>
      <c r="D72" s="845"/>
      <c r="E72" s="845"/>
      <c r="F72" s="845"/>
      <c r="G72" s="845"/>
      <c r="H72" s="845"/>
      <c r="I72" s="845"/>
      <c r="J72" s="845"/>
    </row>
    <row r="73" spans="1:10">
      <c r="A73" s="868"/>
      <c r="B73" s="868"/>
      <c r="C73" s="868"/>
      <c r="D73" s="868"/>
      <c r="E73" s="868"/>
      <c r="F73" s="868"/>
      <c r="G73" s="868"/>
      <c r="H73" s="868"/>
      <c r="I73" s="868"/>
      <c r="J73" s="868"/>
    </row>
    <row r="74" spans="1:10">
      <c r="A74" s="869"/>
      <c r="B74" s="869"/>
      <c r="C74" s="869"/>
      <c r="D74" s="869"/>
      <c r="E74" s="869"/>
      <c r="F74" s="869"/>
      <c r="G74" s="869"/>
      <c r="H74" s="869"/>
      <c r="I74" s="869"/>
      <c r="J74" s="869"/>
    </row>
  </sheetData>
  <mergeCells count="15">
    <mergeCell ref="A70:J70"/>
    <mergeCell ref="A71:J71"/>
    <mergeCell ref="A72:J72"/>
    <mergeCell ref="A73:J73"/>
    <mergeCell ref="A74:J74"/>
    <mergeCell ref="A69:J69"/>
    <mergeCell ref="A67:J67"/>
    <mergeCell ref="A65:D65"/>
    <mergeCell ref="F65:J65"/>
    <mergeCell ref="A1:J1"/>
    <mergeCell ref="A3:A6"/>
    <mergeCell ref="B3:D3"/>
    <mergeCell ref="G3:I3"/>
    <mergeCell ref="D4:D6"/>
    <mergeCell ref="A68:J68"/>
  </mergeCells>
  <pageMargins left="0.70866141732283472" right="0.59055118110236227" top="1.4311417322834645" bottom="0.62992125984251968" header="0.31496062992125984" footer="0.31496062992125984"/>
  <pageSetup paperSize="9" scale="95" orientation="portrait" r:id="rId1"/>
  <headerFooter>
    <oddHeader>&amp;R&amp;7Informe de la Operación Mensual - Enero 2019
INFSGI-MES-01-2019
13/02/2019
Versión: 01</oddHeader>
    <oddFooter>&amp;L&amp;7COES, 2019&amp;C9&amp;R&amp;7Dirección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sheetPr>
  <dimension ref="A1:AL65"/>
  <sheetViews>
    <sheetView showGridLines="0" view="pageBreakPreview" zoomScaleNormal="100" zoomScaleSheetLayoutView="100" zoomScalePageLayoutView="130" workbookViewId="0">
      <selection activeCell="M24" sqref="M24"/>
    </sheetView>
  </sheetViews>
  <sheetFormatPr defaultColWidth="9.33203125" defaultRowHeight="11.25"/>
  <cols>
    <col min="1" max="1" width="7.6640625" style="46" customWidth="1"/>
    <col min="2" max="2" width="9.83203125" style="46" customWidth="1"/>
    <col min="3" max="3" width="29.6640625" style="46" customWidth="1"/>
    <col min="4" max="5" width="12.6640625" style="46" customWidth="1"/>
    <col min="6" max="6" width="12.1640625" style="46" customWidth="1"/>
    <col min="7" max="8" width="9.33203125" style="46"/>
    <col min="9" max="9" width="9.33203125" style="46" customWidth="1"/>
    <col min="10" max="11" width="9.33203125" style="373" customWidth="1"/>
    <col min="12" max="31" width="9.33203125" style="373"/>
    <col min="32" max="16384" width="9.33203125" style="46"/>
  </cols>
  <sheetData>
    <row r="1" spans="1:38" ht="11.25" customHeight="1"/>
    <row r="2" spans="1:38" ht="17.25" customHeight="1">
      <c r="A2" s="856" t="s">
        <v>279</v>
      </c>
      <c r="B2" s="856"/>
      <c r="C2" s="856"/>
      <c r="D2" s="856"/>
      <c r="E2" s="856"/>
      <c r="F2" s="856"/>
      <c r="G2" s="856"/>
      <c r="H2" s="856"/>
    </row>
    <row r="3" spans="1:38" ht="11.25" customHeight="1">
      <c r="A3" s="77"/>
      <c r="B3" s="77"/>
      <c r="C3" s="77"/>
      <c r="D3" s="77"/>
      <c r="E3" s="77"/>
      <c r="F3" s="82"/>
      <c r="G3" s="82"/>
      <c r="H3" s="82"/>
      <c r="I3" s="36"/>
      <c r="J3" s="384"/>
    </row>
    <row r="4" spans="1:38" ht="11.25" customHeight="1">
      <c r="A4" s="870" t="s">
        <v>280</v>
      </c>
      <c r="B4" s="870"/>
      <c r="C4" s="870"/>
      <c r="D4" s="870"/>
      <c r="E4" s="870"/>
      <c r="F4" s="870"/>
      <c r="G4" s="870"/>
      <c r="H4" s="870"/>
      <c r="I4" s="36"/>
      <c r="J4" s="384"/>
    </row>
    <row r="5" spans="1:38" ht="11.25" customHeight="1">
      <c r="A5" s="77"/>
      <c r="B5" s="169"/>
      <c r="C5" s="79"/>
      <c r="D5" s="79"/>
      <c r="E5" s="80"/>
      <c r="F5" s="76"/>
      <c r="G5" s="76"/>
      <c r="H5" s="81"/>
      <c r="I5" s="170"/>
      <c r="J5" s="385"/>
    </row>
    <row r="6" spans="1:38" ht="42.75" customHeight="1">
      <c r="A6" s="77"/>
      <c r="C6" s="640" t="s">
        <v>129</v>
      </c>
      <c r="D6" s="641" t="s">
        <v>653</v>
      </c>
      <c r="E6" s="641" t="s">
        <v>837</v>
      </c>
      <c r="F6" s="642" t="s">
        <v>130</v>
      </c>
      <c r="G6" s="174"/>
      <c r="H6" s="175"/>
    </row>
    <row r="7" spans="1:38" ht="11.25" customHeight="1">
      <c r="A7" s="77"/>
      <c r="C7" s="757" t="s">
        <v>131</v>
      </c>
      <c r="D7" s="758">
        <v>16.087</v>
      </c>
      <c r="E7" s="759">
        <v>25.509000780000001</v>
      </c>
      <c r="F7" s="760">
        <f>IF(E7=0,"",(D7-E7)/E7)</f>
        <v>-0.36935985306751795</v>
      </c>
      <c r="G7" s="137"/>
      <c r="H7" s="298"/>
    </row>
    <row r="8" spans="1:38" ht="11.25" customHeight="1">
      <c r="A8" s="77"/>
      <c r="C8" s="761" t="s">
        <v>132</v>
      </c>
      <c r="D8" s="762">
        <v>81.811999999999998</v>
      </c>
      <c r="E8" s="763">
        <v>83.100997919999998</v>
      </c>
      <c r="F8" s="764">
        <f t="shared" ref="F8:F20" si="0">IF(E8=0,"",(D8-E8)/E8)</f>
        <v>-1.5511220710500945E-2</v>
      </c>
      <c r="G8" s="137"/>
      <c r="H8" s="298"/>
    </row>
    <row r="9" spans="1:38" ht="11.25" customHeight="1">
      <c r="A9" s="77"/>
      <c r="C9" s="765" t="s">
        <v>133</v>
      </c>
      <c r="D9" s="766">
        <v>70.747</v>
      </c>
      <c r="E9" s="767">
        <v>76.947998049999995</v>
      </c>
      <c r="F9" s="768">
        <f t="shared" si="0"/>
        <v>-8.0586866548115421E-2</v>
      </c>
      <c r="G9" s="137"/>
      <c r="H9" s="298"/>
      <c r="M9" s="386" t="s">
        <v>286</v>
      </c>
      <c r="N9" s="387"/>
      <c r="O9" s="387"/>
      <c r="P9" s="387"/>
      <c r="Q9" s="387"/>
      <c r="R9" s="387"/>
      <c r="S9" s="387"/>
      <c r="T9" s="387"/>
      <c r="U9" s="387"/>
      <c r="V9" s="387"/>
      <c r="W9" s="387"/>
      <c r="X9" s="387"/>
      <c r="Y9" s="387"/>
      <c r="Z9" s="387"/>
      <c r="AA9" s="387"/>
      <c r="AB9" s="387"/>
      <c r="AC9" s="387"/>
      <c r="AD9" s="387"/>
      <c r="AE9" s="387"/>
      <c r="AF9" s="224"/>
      <c r="AG9" s="224"/>
      <c r="AH9" s="224"/>
      <c r="AI9" s="224"/>
      <c r="AJ9" s="224"/>
      <c r="AK9" s="224"/>
      <c r="AL9" s="224"/>
    </row>
    <row r="10" spans="1:38" ht="11.25" customHeight="1">
      <c r="A10" s="77"/>
      <c r="C10" s="761" t="s">
        <v>134</v>
      </c>
      <c r="D10" s="762">
        <v>31.54</v>
      </c>
      <c r="E10" s="763">
        <v>34.347000119999997</v>
      </c>
      <c r="F10" s="764">
        <f t="shared" si="0"/>
        <v>-8.1724753550325435E-2</v>
      </c>
      <c r="G10" s="137"/>
      <c r="H10" s="298"/>
      <c r="M10" s="386" t="s">
        <v>287</v>
      </c>
      <c r="N10" s="387"/>
      <c r="O10" s="387"/>
      <c r="P10" s="387"/>
      <c r="Q10" s="387"/>
      <c r="R10" s="387"/>
      <c r="S10" s="387"/>
      <c r="T10" s="387"/>
      <c r="AD10" s="387"/>
      <c r="AE10" s="387"/>
      <c r="AF10" s="224"/>
      <c r="AG10" s="224"/>
      <c r="AH10" s="224"/>
      <c r="AI10" s="224"/>
      <c r="AJ10" s="224"/>
      <c r="AK10" s="224"/>
      <c r="AL10" s="224"/>
    </row>
    <row r="11" spans="1:38" ht="11.25" customHeight="1">
      <c r="A11" s="77"/>
      <c r="C11" s="765" t="s">
        <v>135</v>
      </c>
      <c r="D11" s="766">
        <v>7.7304399999999998</v>
      </c>
      <c r="E11" s="767">
        <v>37.241001130000001</v>
      </c>
      <c r="F11" s="768">
        <f>IF(E11=0,"",(D11-E11)/E11)</f>
        <v>-0.79242126244096489</v>
      </c>
      <c r="G11" s="137"/>
      <c r="H11" s="298"/>
      <c r="M11" s="387"/>
      <c r="N11" s="388">
        <v>2016</v>
      </c>
      <c r="O11" s="388">
        <v>2017</v>
      </c>
      <c r="P11" s="388">
        <v>2018</v>
      </c>
      <c r="Q11" s="388">
        <v>2019</v>
      </c>
      <c r="R11" s="387"/>
      <c r="S11" s="387"/>
      <c r="T11" s="387"/>
      <c r="AD11" s="387"/>
      <c r="AE11" s="387"/>
      <c r="AF11" s="224"/>
      <c r="AG11" s="224"/>
      <c r="AH11" s="224"/>
      <c r="AI11" s="224"/>
      <c r="AJ11" s="224"/>
      <c r="AK11" s="224"/>
      <c r="AL11" s="224"/>
    </row>
    <row r="12" spans="1:38" ht="11.25" customHeight="1">
      <c r="A12" s="77"/>
      <c r="C12" s="761" t="s">
        <v>136</v>
      </c>
      <c r="D12" s="762">
        <v>3.7124999999999999</v>
      </c>
      <c r="E12" s="763">
        <v>13.17500019</v>
      </c>
      <c r="F12" s="764">
        <f t="shared" si="0"/>
        <v>-0.7182163228492523</v>
      </c>
      <c r="G12" s="137"/>
      <c r="H12" s="298"/>
      <c r="M12" s="389">
        <v>1</v>
      </c>
      <c r="N12" s="390">
        <v>138.54</v>
      </c>
      <c r="O12" s="390">
        <v>93.1</v>
      </c>
      <c r="P12" s="390">
        <v>104.46</v>
      </c>
      <c r="Q12" s="796">
        <v>117.2900009</v>
      </c>
      <c r="R12" s="387"/>
      <c r="S12" s="387"/>
      <c r="T12" s="387"/>
      <c r="AD12" s="387"/>
      <c r="AE12" s="387"/>
      <c r="AF12" s="224"/>
      <c r="AG12" s="224"/>
      <c r="AH12" s="224"/>
      <c r="AI12" s="224"/>
      <c r="AJ12" s="224"/>
      <c r="AK12" s="224"/>
      <c r="AL12" s="224"/>
    </row>
    <row r="13" spans="1:38" ht="11.25" customHeight="1">
      <c r="A13" s="77"/>
      <c r="C13" s="765" t="s">
        <v>137</v>
      </c>
      <c r="D13" s="766">
        <v>76.430000000000007</v>
      </c>
      <c r="E13" s="767">
        <v>70.161003109999996</v>
      </c>
      <c r="F13" s="768">
        <f t="shared" si="0"/>
        <v>8.9351585811441966E-2</v>
      </c>
      <c r="G13" s="137"/>
      <c r="H13" s="298"/>
      <c r="M13" s="389">
        <v>2</v>
      </c>
      <c r="N13" s="390">
        <v>140.53</v>
      </c>
      <c r="O13" s="390">
        <v>93.1</v>
      </c>
      <c r="P13" s="390">
        <v>103.4720001</v>
      </c>
      <c r="Q13" s="796">
        <v>116.0110016</v>
      </c>
      <c r="R13" s="387"/>
      <c r="S13" s="387"/>
      <c r="T13" s="387"/>
      <c r="AD13" s="387"/>
      <c r="AE13" s="387"/>
      <c r="AF13" s="224"/>
      <c r="AG13" s="224"/>
      <c r="AH13" s="224"/>
      <c r="AI13" s="224"/>
      <c r="AJ13" s="224"/>
      <c r="AK13" s="224"/>
      <c r="AL13" s="224"/>
    </row>
    <row r="14" spans="1:38" ht="11.25" customHeight="1">
      <c r="A14" s="77"/>
      <c r="C14" s="761" t="s">
        <v>138</v>
      </c>
      <c r="D14" s="762">
        <v>208.19200000000001</v>
      </c>
      <c r="E14" s="763">
        <v>216.1380005</v>
      </c>
      <c r="F14" s="764">
        <f t="shared" si="0"/>
        <v>-3.6763551442218496E-2</v>
      </c>
      <c r="G14" s="137"/>
      <c r="H14" s="298"/>
      <c r="M14" s="389">
        <v>3</v>
      </c>
      <c r="N14" s="390">
        <v>140.53</v>
      </c>
      <c r="O14" s="390">
        <v>98.74</v>
      </c>
      <c r="P14" s="390">
        <v>106.08699799999999</v>
      </c>
      <c r="Q14" s="796">
        <v>117.6</v>
      </c>
      <c r="R14" s="387"/>
      <c r="S14" s="387"/>
      <c r="T14" s="387"/>
      <c r="AD14" s="387"/>
      <c r="AE14" s="387"/>
      <c r="AF14" s="224"/>
      <c r="AG14" s="224"/>
      <c r="AH14" s="224"/>
      <c r="AI14" s="224"/>
      <c r="AJ14" s="224"/>
      <c r="AK14" s="224"/>
      <c r="AL14" s="224"/>
    </row>
    <row r="15" spans="1:38" ht="11.25" customHeight="1">
      <c r="A15" s="77"/>
      <c r="C15" s="765" t="s">
        <v>139</v>
      </c>
      <c r="D15" s="766">
        <v>17.37</v>
      </c>
      <c r="E15" s="767">
        <v>12.02999973</v>
      </c>
      <c r="F15" s="768">
        <f t="shared" si="0"/>
        <v>0.44389030672073015</v>
      </c>
      <c r="G15" s="137"/>
      <c r="H15" s="298"/>
      <c r="M15" s="389">
        <v>4</v>
      </c>
      <c r="N15" s="390">
        <v>137.43800000000002</v>
      </c>
      <c r="O15" s="390">
        <v>98.74</v>
      </c>
      <c r="P15" s="390">
        <v>112.7200012</v>
      </c>
      <c r="Q15" s="796">
        <v>128.32000729999999</v>
      </c>
      <c r="R15" s="387"/>
      <c r="S15" s="387"/>
      <c r="T15" s="387"/>
      <c r="AD15" s="387"/>
      <c r="AE15" s="387"/>
      <c r="AF15" s="224"/>
      <c r="AG15" s="224"/>
      <c r="AH15" s="224"/>
      <c r="AI15" s="224"/>
      <c r="AJ15" s="224"/>
      <c r="AK15" s="224"/>
      <c r="AL15" s="224"/>
    </row>
    <row r="16" spans="1:38" ht="11.25" customHeight="1">
      <c r="A16" s="77"/>
      <c r="C16" s="761" t="s">
        <v>140</v>
      </c>
      <c r="D16" s="762">
        <v>186.18299999999999</v>
      </c>
      <c r="E16" s="763">
        <v>100.1760025</v>
      </c>
      <c r="F16" s="764">
        <f t="shared" si="0"/>
        <v>0.85855888988982165</v>
      </c>
      <c r="G16" s="137"/>
      <c r="H16" s="298"/>
      <c r="M16" s="389">
        <v>5</v>
      </c>
      <c r="N16" s="390">
        <v>137.43800000000002</v>
      </c>
      <c r="O16" s="390">
        <v>125.15</v>
      </c>
      <c r="P16" s="390">
        <v>122.3190002</v>
      </c>
      <c r="Q16" s="387"/>
      <c r="R16" s="387"/>
      <c r="S16" s="387"/>
      <c r="T16" s="387"/>
      <c r="AD16" s="387"/>
      <c r="AE16" s="387"/>
      <c r="AF16" s="224"/>
      <c r="AG16" s="224"/>
      <c r="AH16" s="224"/>
      <c r="AI16" s="224"/>
      <c r="AJ16" s="224"/>
      <c r="AK16" s="224"/>
      <c r="AL16" s="224"/>
    </row>
    <row r="17" spans="1:38" ht="11.25" customHeight="1">
      <c r="A17" s="77"/>
      <c r="C17" s="765" t="s">
        <v>141</v>
      </c>
      <c r="D17" s="766">
        <v>90.95</v>
      </c>
      <c r="E17" s="767">
        <v>99.08000183</v>
      </c>
      <c r="F17" s="768">
        <f t="shared" si="0"/>
        <v>-8.205492208154512E-2</v>
      </c>
      <c r="G17" s="137"/>
      <c r="H17" s="298"/>
      <c r="M17" s="389">
        <v>6</v>
      </c>
      <c r="N17" s="390">
        <v>137.43800000000002</v>
      </c>
      <c r="O17" s="390">
        <v>125.15</v>
      </c>
      <c r="P17" s="390">
        <v>126.1559982</v>
      </c>
      <c r="Q17" s="387"/>
      <c r="R17" s="387"/>
      <c r="S17" s="387"/>
      <c r="T17" s="387"/>
      <c r="AD17" s="387"/>
      <c r="AE17" s="387"/>
      <c r="AF17" s="224"/>
      <c r="AG17" s="224"/>
      <c r="AH17" s="224"/>
      <c r="AI17" s="224"/>
      <c r="AJ17" s="224"/>
      <c r="AK17" s="224"/>
      <c r="AL17" s="224"/>
    </row>
    <row r="18" spans="1:38" ht="11.25" customHeight="1">
      <c r="A18" s="77"/>
      <c r="C18" s="761" t="s">
        <v>142</v>
      </c>
      <c r="D18" s="762">
        <v>9.3550000000000004</v>
      </c>
      <c r="E18" s="763">
        <v>11.243000029999999</v>
      </c>
      <c r="F18" s="764">
        <f t="shared" si="0"/>
        <v>-0.16792671217310304</v>
      </c>
      <c r="G18" s="137"/>
      <c r="H18" s="298"/>
      <c r="M18" s="389">
        <v>7</v>
      </c>
      <c r="N18" s="390">
        <v>151.05499267578099</v>
      </c>
      <c r="O18" s="390">
        <v>142.99</v>
      </c>
      <c r="P18" s="390">
        <v>142.9900055</v>
      </c>
      <c r="Q18" s="387"/>
      <c r="R18" s="387"/>
      <c r="S18" s="387"/>
      <c r="T18" s="387"/>
      <c r="AD18" s="387"/>
      <c r="AE18" s="387"/>
      <c r="AF18" s="224"/>
      <c r="AG18" s="224"/>
      <c r="AH18" s="224"/>
      <c r="AI18" s="224"/>
      <c r="AJ18" s="224"/>
      <c r="AK18" s="224"/>
      <c r="AL18" s="224"/>
    </row>
    <row r="19" spans="1:38" ht="12.75" customHeight="1">
      <c r="A19" s="77"/>
      <c r="C19" s="765" t="s">
        <v>143</v>
      </c>
      <c r="D19" s="766">
        <v>49.589660000000002</v>
      </c>
      <c r="E19" s="767">
        <v>27.90518951</v>
      </c>
      <c r="F19" s="768">
        <f t="shared" si="0"/>
        <v>0.7770766252000989</v>
      </c>
      <c r="G19" s="137"/>
      <c r="H19" s="298"/>
      <c r="M19" s="389">
        <v>8</v>
      </c>
      <c r="N19" s="390">
        <v>151.05499267578099</v>
      </c>
      <c r="O19" s="390">
        <v>142.99</v>
      </c>
      <c r="P19" s="390">
        <v>134.13600159999999</v>
      </c>
      <c r="Q19" s="387"/>
      <c r="R19" s="387"/>
      <c r="S19" s="387"/>
      <c r="T19" s="387"/>
      <c r="AD19" s="387"/>
      <c r="AE19" s="387"/>
      <c r="AF19" s="224"/>
      <c r="AG19" s="224"/>
      <c r="AH19" s="224"/>
      <c r="AI19" s="224"/>
      <c r="AJ19" s="224"/>
      <c r="AK19" s="224"/>
      <c r="AL19" s="224"/>
    </row>
    <row r="20" spans="1:38" ht="13.5" customHeight="1">
      <c r="A20" s="77"/>
      <c r="C20" s="761" t="s">
        <v>144</v>
      </c>
      <c r="D20" s="762">
        <v>9.2843599999999995</v>
      </c>
      <c r="E20" s="763">
        <v>8.1736001970000007</v>
      </c>
      <c r="F20" s="764">
        <f t="shared" si="0"/>
        <v>0.13589602821626715</v>
      </c>
      <c r="G20" s="137"/>
      <c r="H20" s="298"/>
      <c r="M20" s="389">
        <v>9</v>
      </c>
      <c r="N20" s="390">
        <v>165.00500489999999</v>
      </c>
      <c r="O20" s="390">
        <v>159.53</v>
      </c>
      <c r="P20" s="390">
        <v>153.34500120000001</v>
      </c>
      <c r="Q20" s="387"/>
      <c r="R20" s="387"/>
      <c r="S20" s="387"/>
      <c r="T20" s="387"/>
      <c r="AD20" s="387"/>
      <c r="AE20" s="387"/>
      <c r="AF20" s="224"/>
      <c r="AG20" s="224"/>
      <c r="AH20" s="224"/>
      <c r="AI20" s="224"/>
      <c r="AJ20" s="224"/>
      <c r="AK20" s="224"/>
      <c r="AL20" s="224"/>
    </row>
    <row r="21" spans="1:38" ht="11.25" customHeight="1">
      <c r="A21" s="77"/>
      <c r="C21" s="761" t="s">
        <v>145</v>
      </c>
      <c r="D21" s="762">
        <v>3.581</v>
      </c>
      <c r="E21" s="763">
        <v>3.635999918</v>
      </c>
      <c r="F21" s="764">
        <f t="shared" ref="F21:F27" si="1">IF(E21=0,"",(D21-E21)/E21)</f>
        <v>-1.5126490440146384E-2</v>
      </c>
      <c r="M21" s="389">
        <v>10</v>
      </c>
      <c r="N21" s="390">
        <v>165.00500489999999</v>
      </c>
      <c r="O21" s="390">
        <v>159.53</v>
      </c>
      <c r="P21" s="390">
        <v>153.0590057</v>
      </c>
      <c r="Q21" s="387"/>
      <c r="R21" s="387"/>
      <c r="S21" s="387"/>
      <c r="T21" s="387"/>
      <c r="AD21" s="387"/>
      <c r="AE21" s="387"/>
      <c r="AF21" s="224"/>
      <c r="AG21" s="224"/>
      <c r="AH21" s="224"/>
      <c r="AI21" s="224"/>
      <c r="AJ21" s="224"/>
      <c r="AK21" s="224"/>
      <c r="AL21" s="224"/>
    </row>
    <row r="22" spans="1:38" ht="11.25" customHeight="1">
      <c r="A22" s="77"/>
      <c r="C22" s="765" t="s">
        <v>146</v>
      </c>
      <c r="D22" s="766">
        <v>5.298</v>
      </c>
      <c r="E22" s="767">
        <v>8.2819995879999997</v>
      </c>
      <c r="F22" s="768">
        <f t="shared" si="1"/>
        <v>-0.36029941275577854</v>
      </c>
      <c r="G22" s="137"/>
      <c r="H22" s="298"/>
      <c r="M22" s="389">
        <v>11</v>
      </c>
      <c r="N22" s="390">
        <v>186.45199584960901</v>
      </c>
      <c r="O22" s="390">
        <v>184.94</v>
      </c>
      <c r="P22" s="390">
        <v>162.93200680000001</v>
      </c>
      <c r="AF22" s="299"/>
      <c r="AG22" s="299"/>
      <c r="AH22" s="299"/>
      <c r="AI22" s="299"/>
      <c r="AJ22" s="299"/>
      <c r="AK22" s="299"/>
      <c r="AL22" s="299"/>
    </row>
    <row r="23" spans="1:38" ht="11.25" customHeight="1">
      <c r="A23" s="77"/>
      <c r="C23" s="761" t="s">
        <v>544</v>
      </c>
      <c r="D23" s="762">
        <v>0.53400000000000003</v>
      </c>
      <c r="E23" s="763">
        <v>0.30000001199999998</v>
      </c>
      <c r="F23" s="764">
        <f t="shared" si="1"/>
        <v>0.77999992880000302</v>
      </c>
      <c r="G23" s="137"/>
      <c r="H23" s="298"/>
      <c r="M23" s="389">
        <v>12</v>
      </c>
      <c r="N23" s="390">
        <v>186.45199584960901</v>
      </c>
      <c r="O23" s="390">
        <v>184.94</v>
      </c>
      <c r="P23" s="390">
        <v>172.76199339999999</v>
      </c>
      <c r="AF23" s="299"/>
      <c r="AG23" s="299"/>
      <c r="AH23" s="299"/>
      <c r="AI23" s="299"/>
      <c r="AJ23" s="299"/>
      <c r="AK23" s="299"/>
      <c r="AL23" s="299"/>
    </row>
    <row r="24" spans="1:38" ht="11.25" customHeight="1">
      <c r="A24" s="77"/>
      <c r="C24" s="765" t="s">
        <v>147</v>
      </c>
      <c r="D24" s="766">
        <v>141.25299999999999</v>
      </c>
      <c r="E24" s="767">
        <v>118.91799930000001</v>
      </c>
      <c r="F24" s="768">
        <f t="shared" si="1"/>
        <v>0.18781850377127879</v>
      </c>
      <c r="G24" s="137"/>
      <c r="H24" s="298"/>
      <c r="M24" s="389">
        <v>13</v>
      </c>
      <c r="N24" s="390">
        <v>195.64999389648401</v>
      </c>
      <c r="O24" s="390">
        <v>203.73</v>
      </c>
      <c r="P24" s="390">
        <v>182.13900760000001</v>
      </c>
      <c r="AF24" s="299"/>
      <c r="AG24" s="299"/>
      <c r="AH24" s="299"/>
      <c r="AI24" s="299"/>
      <c r="AJ24" s="299"/>
      <c r="AK24" s="299"/>
      <c r="AL24" s="299"/>
    </row>
    <row r="25" spans="1:38" ht="11.25" customHeight="1">
      <c r="A25" s="77"/>
      <c r="C25" s="761" t="s">
        <v>148</v>
      </c>
      <c r="D25" s="762">
        <v>18.355</v>
      </c>
      <c r="E25" s="763">
        <v>28.580999370000001</v>
      </c>
      <c r="F25" s="764">
        <f t="shared" si="1"/>
        <v>-0.35779012614701305</v>
      </c>
      <c r="G25" s="137"/>
      <c r="H25" s="298"/>
      <c r="M25" s="389">
        <v>14</v>
      </c>
      <c r="N25" s="390">
        <v>195.64999389648401</v>
      </c>
      <c r="O25" s="390">
        <v>203.73</v>
      </c>
      <c r="P25" s="390">
        <v>191.4750061</v>
      </c>
      <c r="AF25" s="299"/>
      <c r="AG25" s="299"/>
      <c r="AH25" s="299"/>
      <c r="AI25" s="299"/>
      <c r="AJ25" s="299"/>
      <c r="AK25" s="299"/>
      <c r="AL25" s="299"/>
    </row>
    <row r="26" spans="1:38" ht="11.25" customHeight="1">
      <c r="A26" s="77"/>
      <c r="C26" s="765" t="s">
        <v>149</v>
      </c>
      <c r="D26" s="766">
        <v>23.969000000000001</v>
      </c>
      <c r="E26" s="767">
        <v>24.187999999999999</v>
      </c>
      <c r="F26" s="768">
        <f t="shared" si="1"/>
        <v>-9.0540764015213191E-3</v>
      </c>
      <c r="G26" s="137"/>
      <c r="H26" s="137"/>
      <c r="M26" s="389">
        <v>15</v>
      </c>
      <c r="N26" s="390">
        <v>201.93600463867099</v>
      </c>
      <c r="O26" s="390">
        <v>203.73</v>
      </c>
      <c r="P26" s="390">
        <v>198.43899540000001</v>
      </c>
      <c r="AF26" s="299"/>
      <c r="AG26" s="299"/>
      <c r="AH26" s="299"/>
      <c r="AI26" s="299"/>
      <c r="AJ26" s="299"/>
      <c r="AK26" s="299"/>
      <c r="AL26" s="299"/>
    </row>
    <row r="27" spans="1:38" ht="11.25" customHeight="1">
      <c r="A27" s="77"/>
      <c r="C27" s="769" t="s">
        <v>150</v>
      </c>
      <c r="D27" s="770">
        <v>67.239000000000004</v>
      </c>
      <c r="E27" s="771">
        <v>116.25700380000001</v>
      </c>
      <c r="F27" s="772">
        <f t="shared" si="1"/>
        <v>-0.42163484519459121</v>
      </c>
      <c r="G27" s="137"/>
      <c r="H27" s="137"/>
      <c r="M27" s="389">
        <v>16</v>
      </c>
      <c r="N27" s="390">
        <v>201.93600463867099</v>
      </c>
      <c r="O27" s="390">
        <v>222.8</v>
      </c>
      <c r="P27" s="390">
        <v>201.52999879999999</v>
      </c>
      <c r="AF27" s="299"/>
      <c r="AG27" s="299"/>
      <c r="AH27" s="299"/>
      <c r="AI27" s="299"/>
      <c r="AJ27" s="299"/>
      <c r="AK27" s="299"/>
      <c r="AL27" s="299"/>
    </row>
    <row r="28" spans="1:38" ht="26.25" customHeight="1">
      <c r="A28" s="77"/>
      <c r="C28" s="871" t="str">
        <f>"Cuadro N°9: Volúmen útil de los principales embalses y lagunas del SEIN al término del periodo mensual ("&amp;'1. Resumen'!Q7&amp;" de "&amp;'1. Resumen'!Q4&amp;") "</f>
        <v xml:space="preserve">Cuadro N°9: Volúmen útil de los principales embalses y lagunas del SEIN al término del periodo mensual (31 de enero) </v>
      </c>
      <c r="D28" s="871"/>
      <c r="E28" s="871"/>
      <c r="F28" s="871"/>
      <c r="G28" s="137"/>
      <c r="H28" s="137"/>
      <c r="M28" s="389">
        <v>17</v>
      </c>
      <c r="N28" s="390">
        <v>201.93600463867099</v>
      </c>
      <c r="O28" s="390">
        <v>222.8</v>
      </c>
      <c r="P28" s="390">
        <v>206.03700259999999</v>
      </c>
      <c r="AF28" s="299"/>
      <c r="AG28" s="299"/>
      <c r="AH28" s="299"/>
      <c r="AI28" s="299"/>
      <c r="AJ28" s="299"/>
      <c r="AK28" s="299"/>
      <c r="AL28" s="299"/>
    </row>
    <row r="29" spans="1:38" ht="12" customHeight="1">
      <c r="A29" s="75"/>
      <c r="G29" s="137"/>
      <c r="H29" s="137"/>
      <c r="I29" s="172"/>
      <c r="J29" s="391"/>
      <c r="M29" s="389">
        <v>18</v>
      </c>
      <c r="N29" s="390">
        <v>207.58900451660099</v>
      </c>
      <c r="O29" s="390">
        <v>225.58</v>
      </c>
      <c r="P29" s="390">
        <v>213.67399599999999</v>
      </c>
      <c r="AF29" s="299"/>
      <c r="AG29" s="299"/>
      <c r="AH29" s="299"/>
      <c r="AI29" s="299"/>
      <c r="AJ29" s="299"/>
      <c r="AK29" s="299"/>
      <c r="AL29" s="299"/>
    </row>
    <row r="30" spans="1:38" ht="11.25" customHeight="1">
      <c r="A30" s="75"/>
      <c r="B30" s="178"/>
      <c r="C30" s="178"/>
      <c r="D30" s="178"/>
      <c r="E30" s="178"/>
      <c r="F30" s="176"/>
      <c r="G30" s="137"/>
      <c r="H30" s="137"/>
      <c r="M30" s="389">
        <v>19</v>
      </c>
      <c r="N30" s="390">
        <v>207.58900451660099</v>
      </c>
      <c r="O30" s="390">
        <v>225.58</v>
      </c>
      <c r="P30" s="390">
        <v>216.75700380000001</v>
      </c>
      <c r="AF30" s="299"/>
      <c r="AG30" s="299"/>
      <c r="AH30" s="299"/>
      <c r="AI30" s="299"/>
      <c r="AJ30" s="299"/>
      <c r="AK30" s="299"/>
      <c r="AL30" s="299"/>
    </row>
    <row r="31" spans="1:38" ht="11.25" customHeight="1">
      <c r="A31" s="75"/>
      <c r="B31" s="178"/>
      <c r="C31" s="178"/>
      <c r="D31" s="178"/>
      <c r="E31" s="178"/>
      <c r="F31" s="176"/>
      <c r="G31" s="176"/>
      <c r="H31" s="176"/>
      <c r="I31" s="172"/>
      <c r="J31" s="391"/>
      <c r="M31" s="389">
        <v>20</v>
      </c>
      <c r="N31" s="390">
        <v>205.7</v>
      </c>
      <c r="O31" s="390">
        <v>226.61</v>
      </c>
      <c r="P31" s="390">
        <v>217.29400630000001</v>
      </c>
      <c r="AF31" s="299"/>
      <c r="AG31" s="299"/>
      <c r="AH31" s="299"/>
      <c r="AI31" s="299"/>
      <c r="AJ31" s="299"/>
      <c r="AK31" s="299"/>
      <c r="AL31" s="299"/>
    </row>
    <row r="32" spans="1:38" ht="11.25" customHeight="1">
      <c r="A32" s="870" t="s">
        <v>469</v>
      </c>
      <c r="B32" s="870"/>
      <c r="C32" s="870"/>
      <c r="D32" s="870"/>
      <c r="E32" s="870"/>
      <c r="F32" s="870"/>
      <c r="G32" s="870"/>
      <c r="H32" s="870"/>
      <c r="I32" s="56"/>
      <c r="J32" s="391"/>
      <c r="M32" s="389">
        <v>21</v>
      </c>
      <c r="N32" s="390">
        <v>205.7</v>
      </c>
      <c r="O32" s="390">
        <v>226.61</v>
      </c>
      <c r="P32" s="390">
        <v>218.3190002</v>
      </c>
      <c r="AF32" s="299"/>
      <c r="AG32" s="299"/>
      <c r="AH32" s="299"/>
      <c r="AI32" s="299"/>
      <c r="AJ32" s="299"/>
      <c r="AK32" s="299"/>
      <c r="AL32" s="299"/>
    </row>
    <row r="33" spans="1:38" ht="11.25" customHeight="1">
      <c r="A33" s="75"/>
      <c r="B33" s="82"/>
      <c r="C33" s="82"/>
      <c r="D33" s="82"/>
      <c r="E33" s="82"/>
      <c r="F33" s="82"/>
      <c r="G33" s="82"/>
      <c r="H33" s="82"/>
      <c r="I33" s="56"/>
      <c r="J33" s="391"/>
      <c r="M33" s="389">
        <v>22</v>
      </c>
      <c r="N33" s="390">
        <v>204.65</v>
      </c>
      <c r="O33" s="390">
        <v>227.42</v>
      </c>
      <c r="P33" s="390">
        <v>218.79899599999999</v>
      </c>
      <c r="AF33" s="299"/>
      <c r="AG33" s="299"/>
      <c r="AH33" s="299"/>
      <c r="AI33" s="299"/>
      <c r="AJ33" s="299"/>
      <c r="AK33" s="299"/>
      <c r="AL33" s="299"/>
    </row>
    <row r="34" spans="1:38" ht="11.25" customHeight="1">
      <c r="A34" s="75"/>
      <c r="B34" s="82"/>
      <c r="C34" s="82"/>
      <c r="D34" s="82"/>
      <c r="E34" s="82"/>
      <c r="F34" s="82"/>
      <c r="G34" s="82"/>
      <c r="H34" s="82"/>
      <c r="I34" s="56"/>
      <c r="J34" s="391"/>
      <c r="M34" s="389">
        <v>23</v>
      </c>
      <c r="N34" s="390">
        <v>204.65</v>
      </c>
      <c r="O34" s="390">
        <v>227.42</v>
      </c>
      <c r="P34" s="390">
        <v>217.8880005</v>
      </c>
      <c r="AF34" s="299"/>
      <c r="AG34" s="299"/>
      <c r="AH34" s="299"/>
      <c r="AI34" s="299"/>
      <c r="AJ34" s="299"/>
      <c r="AK34" s="299"/>
      <c r="AL34" s="299"/>
    </row>
    <row r="35" spans="1:38" ht="11.25" customHeight="1">
      <c r="A35" s="75"/>
      <c r="B35" s="82"/>
      <c r="C35" s="82"/>
      <c r="D35" s="82"/>
      <c r="E35" s="82"/>
      <c r="F35" s="82"/>
      <c r="G35" s="82"/>
      <c r="H35" s="82"/>
      <c r="I35" s="173"/>
      <c r="J35" s="391"/>
      <c r="M35" s="389">
        <v>24</v>
      </c>
      <c r="N35" s="390">
        <v>200.38</v>
      </c>
      <c r="O35" s="390">
        <v>227.45</v>
      </c>
      <c r="P35" s="390">
        <v>216.04899599999999</v>
      </c>
      <c r="AF35" s="299"/>
      <c r="AG35" s="299"/>
      <c r="AH35" s="299"/>
      <c r="AI35" s="299"/>
      <c r="AJ35" s="299"/>
      <c r="AK35" s="299"/>
      <c r="AL35" s="299"/>
    </row>
    <row r="36" spans="1:38" ht="11.25" customHeight="1">
      <c r="A36" s="75"/>
      <c r="B36" s="82"/>
      <c r="C36" s="82"/>
      <c r="D36" s="82"/>
      <c r="E36" s="82"/>
      <c r="F36" s="82"/>
      <c r="G36" s="82"/>
      <c r="H36" s="82"/>
      <c r="I36" s="56"/>
      <c r="J36" s="391"/>
      <c r="M36" s="389">
        <v>25</v>
      </c>
      <c r="N36" s="390">
        <v>200.38</v>
      </c>
      <c r="O36" s="390">
        <v>227.45</v>
      </c>
      <c r="P36" s="390">
        <v>212.24600219999999</v>
      </c>
      <c r="AF36" s="299"/>
      <c r="AG36" s="299"/>
      <c r="AH36" s="299"/>
      <c r="AI36" s="299"/>
      <c r="AJ36" s="299"/>
      <c r="AK36" s="299"/>
      <c r="AL36" s="299"/>
    </row>
    <row r="37" spans="1:38" ht="11.25" customHeight="1">
      <c r="A37" s="75"/>
      <c r="B37" s="82"/>
      <c r="C37" s="82"/>
      <c r="D37" s="82"/>
      <c r="E37" s="82"/>
      <c r="F37" s="82"/>
      <c r="G37" s="82"/>
      <c r="H37" s="82"/>
      <c r="I37" s="56"/>
      <c r="J37" s="392"/>
      <c r="M37" s="389">
        <v>26</v>
      </c>
      <c r="N37" s="390">
        <v>193.55099487304599</v>
      </c>
      <c r="O37" s="390">
        <v>225.56</v>
      </c>
      <c r="P37" s="390">
        <v>210.22099299999999</v>
      </c>
      <c r="AF37" s="299"/>
      <c r="AG37" s="299"/>
      <c r="AH37" s="299"/>
      <c r="AI37" s="299"/>
      <c r="AJ37" s="299"/>
      <c r="AK37" s="299"/>
      <c r="AL37" s="299"/>
    </row>
    <row r="38" spans="1:38" ht="11.25" customHeight="1">
      <c r="A38" s="75"/>
      <c r="B38" s="82"/>
      <c r="C38" s="82"/>
      <c r="D38" s="82"/>
      <c r="E38" s="82"/>
      <c r="F38" s="82"/>
      <c r="G38" s="82"/>
      <c r="H38" s="82"/>
      <c r="I38" s="56"/>
      <c r="J38" s="392"/>
      <c r="M38" s="389">
        <v>27</v>
      </c>
      <c r="N38" s="390">
        <v>193.55099487304599</v>
      </c>
      <c r="O38" s="390">
        <v>225.56</v>
      </c>
      <c r="P38" s="390">
        <v>209.85200499999999</v>
      </c>
      <c r="AF38" s="299"/>
      <c r="AG38" s="299"/>
      <c r="AH38" s="299"/>
      <c r="AI38" s="299"/>
      <c r="AJ38" s="299"/>
      <c r="AK38" s="299"/>
      <c r="AL38" s="299"/>
    </row>
    <row r="39" spans="1:38" ht="11.25" customHeight="1">
      <c r="A39" s="75"/>
      <c r="B39" s="82"/>
      <c r="C39" s="82"/>
      <c r="D39" s="82"/>
      <c r="E39" s="82"/>
      <c r="F39" s="82"/>
      <c r="G39" s="82"/>
      <c r="H39" s="82"/>
      <c r="I39" s="56"/>
      <c r="J39" s="393"/>
      <c r="M39" s="389">
        <v>28</v>
      </c>
      <c r="N39" s="390">
        <v>186.01199339999999</v>
      </c>
      <c r="O39" s="394">
        <v>225.56</v>
      </c>
      <c r="P39" s="394">
        <v>203.92900090000001</v>
      </c>
      <c r="AF39" s="299"/>
      <c r="AG39" s="299"/>
      <c r="AH39" s="299"/>
      <c r="AI39" s="299"/>
      <c r="AJ39" s="299"/>
      <c r="AK39" s="299"/>
      <c r="AL39" s="299"/>
    </row>
    <row r="40" spans="1:38" ht="11.25" customHeight="1">
      <c r="A40" s="75"/>
      <c r="B40" s="82"/>
      <c r="C40" s="82"/>
      <c r="D40" s="82"/>
      <c r="E40" s="82"/>
      <c r="F40" s="82"/>
      <c r="G40" s="82"/>
      <c r="H40" s="82"/>
      <c r="I40" s="56"/>
      <c r="J40" s="393"/>
      <c r="M40" s="389">
        <v>29</v>
      </c>
      <c r="N40" s="390">
        <v>186.01199339999999</v>
      </c>
      <c r="O40" s="390">
        <v>222.04</v>
      </c>
      <c r="P40" s="390">
        <v>200.56300350000001</v>
      </c>
      <c r="AF40" s="299"/>
      <c r="AG40" s="299"/>
      <c r="AH40" s="299"/>
      <c r="AI40" s="299"/>
      <c r="AJ40" s="299"/>
      <c r="AK40" s="299"/>
      <c r="AL40" s="299"/>
    </row>
    <row r="41" spans="1:38" ht="11.25" customHeight="1">
      <c r="A41" s="75"/>
      <c r="B41" s="82"/>
      <c r="C41" s="82"/>
      <c r="D41" s="82"/>
      <c r="E41" s="82"/>
      <c r="F41" s="82"/>
      <c r="G41" s="82"/>
      <c r="H41" s="82"/>
      <c r="I41" s="56"/>
      <c r="J41" s="393"/>
      <c r="M41" s="389">
        <v>30</v>
      </c>
      <c r="N41" s="390">
        <v>186.01199339999999</v>
      </c>
      <c r="O41" s="390">
        <v>222.04</v>
      </c>
      <c r="P41" s="390">
        <v>194.94900509999999</v>
      </c>
      <c r="AF41" s="299"/>
      <c r="AG41" s="299"/>
      <c r="AH41" s="299"/>
      <c r="AI41" s="299"/>
      <c r="AJ41" s="299"/>
      <c r="AK41" s="299"/>
      <c r="AL41" s="299"/>
    </row>
    <row r="42" spans="1:38" ht="11.25" customHeight="1">
      <c r="A42" s="75"/>
      <c r="B42" s="82"/>
      <c r="C42" s="82"/>
      <c r="D42" s="82"/>
      <c r="E42" s="82"/>
      <c r="F42" s="82"/>
      <c r="G42" s="82"/>
      <c r="H42" s="82"/>
      <c r="I42" s="173"/>
      <c r="J42" s="392"/>
      <c r="M42" s="389">
        <v>31</v>
      </c>
      <c r="N42" s="390">
        <v>178.58200070000001</v>
      </c>
      <c r="O42" s="390">
        <v>213.13</v>
      </c>
      <c r="P42" s="390">
        <v>188.386</v>
      </c>
      <c r="AF42" s="299"/>
      <c r="AG42" s="299"/>
      <c r="AH42" s="299"/>
      <c r="AI42" s="299"/>
      <c r="AJ42" s="299"/>
      <c r="AK42" s="299"/>
      <c r="AL42" s="299"/>
    </row>
    <row r="43" spans="1:38" ht="11.25" customHeight="1">
      <c r="A43" s="75"/>
      <c r="B43" s="82"/>
      <c r="C43" s="82"/>
      <c r="D43" s="82"/>
      <c r="E43" s="82"/>
      <c r="F43" s="82"/>
      <c r="G43" s="82"/>
      <c r="H43" s="82"/>
      <c r="I43" s="56"/>
      <c r="J43" s="392"/>
      <c r="M43" s="389">
        <v>32</v>
      </c>
      <c r="N43" s="390">
        <v>178.58200070000001</v>
      </c>
      <c r="O43" s="390">
        <v>213.13</v>
      </c>
      <c r="P43" s="390">
        <v>184.72900390000001</v>
      </c>
      <c r="AF43" s="299"/>
      <c r="AG43" s="299"/>
      <c r="AH43" s="299"/>
      <c r="AI43" s="299"/>
      <c r="AJ43" s="299"/>
      <c r="AK43" s="299"/>
      <c r="AL43" s="299"/>
    </row>
    <row r="44" spans="1:38" ht="11.25" customHeight="1">
      <c r="A44" s="75"/>
      <c r="B44" s="82"/>
      <c r="C44" s="82"/>
      <c r="D44" s="82"/>
      <c r="E44" s="82"/>
      <c r="F44" s="82"/>
      <c r="G44" s="82"/>
      <c r="H44" s="82"/>
      <c r="I44" s="56"/>
      <c r="J44" s="392"/>
      <c r="M44" s="389">
        <v>33</v>
      </c>
      <c r="N44" s="390">
        <v>169.01100159999999</v>
      </c>
      <c r="O44" s="390">
        <v>205.97</v>
      </c>
      <c r="P44" s="390">
        <v>178.8809967</v>
      </c>
      <c r="AF44" s="299"/>
      <c r="AG44" s="299"/>
      <c r="AH44" s="299"/>
      <c r="AI44" s="299"/>
      <c r="AJ44" s="299"/>
      <c r="AK44" s="299"/>
      <c r="AL44" s="299"/>
    </row>
    <row r="45" spans="1:38" ht="11.25" customHeight="1">
      <c r="A45" s="75"/>
      <c r="B45" s="82"/>
      <c r="C45" s="82"/>
      <c r="D45" s="82"/>
      <c r="E45" s="82"/>
      <c r="F45" s="82"/>
      <c r="G45" s="82"/>
      <c r="H45" s="82"/>
      <c r="I45" s="59"/>
      <c r="J45" s="395"/>
      <c r="M45" s="389">
        <v>34</v>
      </c>
      <c r="N45" s="390">
        <v>169.01100159999999</v>
      </c>
      <c r="O45" s="390">
        <v>199.49</v>
      </c>
      <c r="P45" s="390">
        <v>176.98599239999999</v>
      </c>
      <c r="AF45" s="299"/>
      <c r="AG45" s="299"/>
      <c r="AH45" s="299"/>
      <c r="AI45" s="299"/>
      <c r="AJ45" s="299"/>
      <c r="AK45" s="299"/>
      <c r="AL45" s="299"/>
    </row>
    <row r="46" spans="1:38" ht="11.25" customHeight="1">
      <c r="A46" s="75"/>
      <c r="B46" s="82"/>
      <c r="C46" s="82"/>
      <c r="D46" s="82"/>
      <c r="E46" s="82"/>
      <c r="F46" s="82"/>
      <c r="G46" s="82"/>
      <c r="H46" s="82"/>
      <c r="I46" s="59"/>
      <c r="J46" s="395"/>
      <c r="M46" s="389">
        <v>35</v>
      </c>
      <c r="N46" s="396">
        <v>158.09199523925699</v>
      </c>
      <c r="O46" s="390">
        <v>193.4</v>
      </c>
      <c r="P46" s="390">
        <v>173.36999510000001</v>
      </c>
      <c r="AF46" s="299"/>
      <c r="AG46" s="299"/>
      <c r="AH46" s="299"/>
      <c r="AI46" s="299"/>
      <c r="AJ46" s="299"/>
      <c r="AK46" s="299"/>
      <c r="AL46" s="299"/>
    </row>
    <row r="47" spans="1:38" ht="11.25" customHeight="1">
      <c r="A47" s="75"/>
      <c r="B47" s="82"/>
      <c r="C47" s="82"/>
      <c r="D47" s="82"/>
      <c r="E47" s="82"/>
      <c r="F47" s="82"/>
      <c r="G47" s="82"/>
      <c r="H47" s="82"/>
      <c r="I47" s="59"/>
      <c r="J47" s="395"/>
      <c r="M47" s="389">
        <v>36</v>
      </c>
      <c r="N47" s="396">
        <v>158.09199523925699</v>
      </c>
      <c r="O47" s="390">
        <v>187.93</v>
      </c>
      <c r="P47" s="390">
        <v>167.63</v>
      </c>
      <c r="AF47" s="299"/>
      <c r="AG47" s="299"/>
      <c r="AH47" s="299"/>
      <c r="AI47" s="299"/>
      <c r="AJ47" s="299"/>
      <c r="AK47" s="299"/>
      <c r="AL47" s="299"/>
    </row>
    <row r="48" spans="1:38" ht="11.25" customHeight="1">
      <c r="A48" s="75"/>
      <c r="B48" s="82"/>
      <c r="C48" s="82"/>
      <c r="D48" s="82"/>
      <c r="E48" s="82"/>
      <c r="F48" s="82"/>
      <c r="G48" s="82"/>
      <c r="H48" s="82"/>
      <c r="I48" s="59"/>
      <c r="J48" s="395"/>
      <c r="M48" s="389">
        <v>37</v>
      </c>
      <c r="N48" s="390">
        <v>147.0650024</v>
      </c>
      <c r="O48" s="390">
        <v>182.85</v>
      </c>
      <c r="P48" s="390">
        <v>162.30700680000001</v>
      </c>
      <c r="AF48" s="299"/>
      <c r="AG48" s="299"/>
      <c r="AH48" s="299"/>
      <c r="AI48" s="299"/>
      <c r="AJ48" s="299"/>
      <c r="AK48" s="299"/>
      <c r="AL48" s="299"/>
    </row>
    <row r="49" spans="1:38" ht="11.25" customHeight="1">
      <c r="A49" s="75"/>
      <c r="B49" s="82"/>
      <c r="C49" s="82"/>
      <c r="D49" s="82"/>
      <c r="E49" s="82"/>
      <c r="F49" s="82"/>
      <c r="G49" s="82"/>
      <c r="H49" s="82"/>
      <c r="I49" s="59"/>
      <c r="J49" s="395"/>
      <c r="M49" s="389">
        <v>38</v>
      </c>
      <c r="N49" s="390">
        <v>147.0650024</v>
      </c>
      <c r="O49" s="390">
        <v>179.77</v>
      </c>
      <c r="P49" s="390">
        <v>159.02699279999999</v>
      </c>
      <c r="AF49" s="299"/>
      <c r="AG49" s="299"/>
      <c r="AH49" s="299"/>
      <c r="AI49" s="299"/>
      <c r="AJ49" s="299"/>
      <c r="AK49" s="299"/>
      <c r="AL49" s="299"/>
    </row>
    <row r="50" spans="1:38" ht="12.75">
      <c r="A50" s="75"/>
      <c r="B50" s="82"/>
      <c r="C50" s="82"/>
      <c r="D50" s="82"/>
      <c r="E50" s="82"/>
      <c r="F50" s="82"/>
      <c r="G50" s="82"/>
      <c r="H50" s="82"/>
      <c r="I50" s="59"/>
      <c r="J50" s="395"/>
      <c r="M50" s="389">
        <v>39</v>
      </c>
      <c r="N50" s="390">
        <v>139.11000060000001</v>
      </c>
      <c r="O50" s="390">
        <v>173.62</v>
      </c>
      <c r="P50" s="390">
        <v>153.61700440000001</v>
      </c>
      <c r="AF50" s="299"/>
      <c r="AG50" s="299"/>
      <c r="AH50" s="299"/>
      <c r="AI50" s="299"/>
      <c r="AJ50" s="299"/>
      <c r="AK50" s="299"/>
      <c r="AL50" s="299"/>
    </row>
    <row r="51" spans="1:38" ht="12.75">
      <c r="A51" s="75"/>
      <c r="B51" s="82"/>
      <c r="C51" s="82"/>
      <c r="D51" s="82"/>
      <c r="E51" s="82"/>
      <c r="F51" s="82"/>
      <c r="G51" s="82"/>
      <c r="H51" s="82"/>
      <c r="I51" s="59"/>
      <c r="J51" s="395"/>
      <c r="M51" s="389">
        <v>40</v>
      </c>
      <c r="N51" s="390">
        <v>139.11000060000001</v>
      </c>
      <c r="O51" s="390">
        <v>163</v>
      </c>
      <c r="P51" s="390">
        <v>151.72999569999999</v>
      </c>
      <c r="AF51" s="299"/>
      <c r="AG51" s="299"/>
      <c r="AH51" s="299"/>
      <c r="AI51" s="299"/>
      <c r="AJ51" s="299"/>
      <c r="AK51" s="299"/>
      <c r="AL51" s="299"/>
    </row>
    <row r="52" spans="1:38" ht="12.75">
      <c r="A52" s="75"/>
      <c r="B52" s="82"/>
      <c r="C52" s="82"/>
      <c r="D52" s="82"/>
      <c r="E52" s="82"/>
      <c r="F52" s="82"/>
      <c r="G52" s="82"/>
      <c r="H52" s="82"/>
      <c r="I52" s="59"/>
      <c r="J52" s="395"/>
      <c r="M52" s="389">
        <v>41</v>
      </c>
      <c r="N52" s="390">
        <v>139.11000060000001</v>
      </c>
      <c r="O52" s="390">
        <v>156.5</v>
      </c>
      <c r="P52" s="390">
        <v>147.996002197265</v>
      </c>
      <c r="AF52" s="299"/>
      <c r="AG52" s="299"/>
      <c r="AH52" s="299"/>
      <c r="AI52" s="299"/>
      <c r="AJ52" s="299"/>
      <c r="AK52" s="299"/>
      <c r="AL52" s="299"/>
    </row>
    <row r="53" spans="1:38" ht="12.75">
      <c r="A53" s="75"/>
      <c r="B53" s="82"/>
      <c r="C53" s="82"/>
      <c r="D53" s="82"/>
      <c r="E53" s="82"/>
      <c r="F53" s="82"/>
      <c r="G53" s="82"/>
      <c r="H53" s="82"/>
      <c r="I53" s="59"/>
      <c r="J53" s="395"/>
      <c r="M53" s="389">
        <v>42</v>
      </c>
      <c r="N53" s="390">
        <v>128.34500120000001</v>
      </c>
      <c r="O53" s="390">
        <v>152.78</v>
      </c>
      <c r="P53" s="390">
        <v>144.53999328613199</v>
      </c>
      <c r="AF53" s="299"/>
      <c r="AG53" s="299"/>
      <c r="AH53" s="299"/>
      <c r="AI53" s="299"/>
      <c r="AJ53" s="299"/>
      <c r="AK53" s="299"/>
      <c r="AL53" s="299"/>
    </row>
    <row r="54" spans="1:38" ht="12.75">
      <c r="A54" s="75"/>
      <c r="B54" s="82"/>
      <c r="C54" s="82"/>
      <c r="D54" s="82"/>
      <c r="E54" s="82"/>
      <c r="F54" s="82"/>
      <c r="G54" s="82"/>
      <c r="H54" s="82"/>
      <c r="I54" s="59"/>
      <c r="J54" s="395"/>
      <c r="M54" s="389">
        <v>43</v>
      </c>
      <c r="N54" s="390">
        <v>128.34500120000001</v>
      </c>
      <c r="O54" s="390">
        <v>148.63</v>
      </c>
      <c r="P54" s="390">
        <v>143.72300720214801</v>
      </c>
      <c r="AF54" s="299"/>
      <c r="AG54" s="299"/>
      <c r="AH54" s="299"/>
      <c r="AI54" s="299"/>
      <c r="AJ54" s="299"/>
      <c r="AK54" s="299"/>
      <c r="AL54" s="299"/>
    </row>
    <row r="55" spans="1:38" ht="12.75">
      <c r="A55" s="75"/>
      <c r="B55" s="82"/>
      <c r="C55" s="82"/>
      <c r="D55" s="82"/>
      <c r="E55" s="82"/>
      <c r="F55" s="82"/>
      <c r="G55" s="82"/>
      <c r="H55" s="82"/>
      <c r="I55" s="59"/>
      <c r="J55" s="395"/>
      <c r="M55" s="389">
        <v>44</v>
      </c>
      <c r="N55" s="390">
        <v>121.20099639999999</v>
      </c>
      <c r="O55" s="390">
        <v>142.91</v>
      </c>
      <c r="P55" s="390">
        <v>142.33900449999999</v>
      </c>
      <c r="AF55" s="299"/>
      <c r="AG55" s="299"/>
      <c r="AH55" s="299"/>
      <c r="AI55" s="299"/>
      <c r="AJ55" s="299"/>
      <c r="AK55" s="299"/>
      <c r="AL55" s="299"/>
    </row>
    <row r="56" spans="1:38" ht="12.75">
      <c r="A56" s="75"/>
      <c r="B56" s="82"/>
      <c r="C56" s="82"/>
      <c r="D56" s="82"/>
      <c r="E56" s="82"/>
      <c r="F56" s="82"/>
      <c r="G56" s="82"/>
      <c r="H56" s="82"/>
      <c r="I56" s="59"/>
      <c r="J56" s="395"/>
      <c r="M56" s="389">
        <v>45</v>
      </c>
      <c r="N56" s="390">
        <v>121.20099639999999</v>
      </c>
      <c r="O56" s="390">
        <v>137.04</v>
      </c>
      <c r="P56" s="390">
        <v>143.13200380000001</v>
      </c>
      <c r="AF56" s="299"/>
      <c r="AG56" s="299"/>
      <c r="AH56" s="299"/>
      <c r="AI56" s="299"/>
      <c r="AJ56" s="299"/>
      <c r="AK56" s="299"/>
      <c r="AL56" s="299"/>
    </row>
    <row r="57" spans="1:38" ht="12.75">
      <c r="A57" s="75"/>
      <c r="B57" s="82"/>
      <c r="C57" s="82"/>
      <c r="D57" s="82"/>
      <c r="E57" s="82"/>
      <c r="F57" s="82"/>
      <c r="G57" s="82"/>
      <c r="H57" s="82"/>
      <c r="M57" s="389">
        <v>46</v>
      </c>
      <c r="N57" s="390">
        <v>112.1429977</v>
      </c>
      <c r="O57" s="390">
        <v>131.22999999999999</v>
      </c>
      <c r="P57" s="390">
        <v>141.37</v>
      </c>
      <c r="AF57" s="299"/>
      <c r="AG57" s="299"/>
      <c r="AH57" s="299"/>
      <c r="AI57" s="299"/>
      <c r="AJ57" s="299"/>
      <c r="AK57" s="299"/>
      <c r="AL57" s="299"/>
    </row>
    <row r="58" spans="1:38" ht="12.75">
      <c r="A58" s="75"/>
      <c r="B58" s="82"/>
      <c r="C58" s="82"/>
      <c r="D58" s="82"/>
      <c r="E58" s="82"/>
      <c r="F58" s="82"/>
      <c r="G58" s="82"/>
      <c r="H58" s="82"/>
      <c r="M58" s="389">
        <v>47</v>
      </c>
      <c r="N58" s="390">
        <v>112.1429977</v>
      </c>
      <c r="O58" s="390">
        <v>125.5</v>
      </c>
      <c r="P58" s="390">
        <v>140.33900449999999</v>
      </c>
      <c r="AF58" s="299"/>
      <c r="AG58" s="299"/>
      <c r="AH58" s="299"/>
      <c r="AI58" s="299"/>
      <c r="AJ58" s="299"/>
      <c r="AK58" s="299"/>
      <c r="AL58" s="299"/>
    </row>
    <row r="59" spans="1:38" ht="12.75">
      <c r="A59" s="296" t="s">
        <v>838</v>
      </c>
      <c r="B59" s="82"/>
      <c r="C59" s="82"/>
      <c r="D59" s="82"/>
      <c r="E59" s="82"/>
      <c r="F59" s="82"/>
      <c r="G59" s="82"/>
      <c r="H59" s="82"/>
      <c r="M59" s="389">
        <v>48</v>
      </c>
      <c r="N59" s="390">
        <v>101.13500209999999</v>
      </c>
      <c r="O59" s="390">
        <v>120.41</v>
      </c>
      <c r="P59" s="390">
        <v>137.8150024</v>
      </c>
      <c r="AF59" s="299"/>
      <c r="AG59" s="299"/>
      <c r="AH59" s="299"/>
      <c r="AI59" s="299"/>
      <c r="AJ59" s="299"/>
      <c r="AK59" s="299"/>
      <c r="AL59" s="299"/>
    </row>
    <row r="60" spans="1:38" ht="12.75">
      <c r="A60" s="54"/>
      <c r="B60" s="82"/>
      <c r="C60" s="82"/>
      <c r="D60" s="82"/>
      <c r="E60" s="82"/>
      <c r="F60" s="82"/>
      <c r="G60" s="82"/>
      <c r="H60" s="82"/>
      <c r="M60" s="389">
        <v>49</v>
      </c>
      <c r="N60" s="390">
        <v>101.13500209999999</v>
      </c>
      <c r="O60" s="390">
        <v>115.91300200000001</v>
      </c>
      <c r="P60" s="390">
        <v>129.0279999</v>
      </c>
      <c r="AF60" s="299"/>
      <c r="AG60" s="299"/>
      <c r="AH60" s="299"/>
      <c r="AI60" s="299"/>
      <c r="AJ60" s="299"/>
      <c r="AK60" s="299"/>
      <c r="AL60" s="299"/>
    </row>
    <row r="61" spans="1:38">
      <c r="M61" s="389">
        <v>50</v>
      </c>
      <c r="N61" s="390">
        <v>96.752998349999999</v>
      </c>
      <c r="O61" s="390">
        <v>110.0599976</v>
      </c>
      <c r="P61" s="390">
        <v>129.30000000000001</v>
      </c>
      <c r="AD61" s="387"/>
      <c r="AE61" s="387"/>
      <c r="AF61" s="224"/>
      <c r="AG61" s="224"/>
      <c r="AH61" s="224"/>
      <c r="AI61" s="224"/>
      <c r="AJ61" s="224"/>
      <c r="AK61" s="224"/>
      <c r="AL61" s="224"/>
    </row>
    <row r="62" spans="1:38">
      <c r="M62" s="389">
        <v>51</v>
      </c>
      <c r="N62" s="390">
        <v>96.752998349999999</v>
      </c>
      <c r="O62" s="390">
        <v>107.5970001</v>
      </c>
      <c r="P62" s="390">
        <v>129</v>
      </c>
      <c r="AD62" s="387"/>
      <c r="AE62" s="387"/>
      <c r="AF62" s="224"/>
      <c r="AG62" s="224"/>
      <c r="AH62" s="224"/>
      <c r="AI62" s="224"/>
      <c r="AJ62" s="224"/>
      <c r="AK62" s="224"/>
      <c r="AL62" s="224"/>
    </row>
    <row r="63" spans="1:38">
      <c r="M63" s="389">
        <v>52</v>
      </c>
      <c r="N63" s="390">
        <v>96.752998349999999</v>
      </c>
      <c r="O63" s="390">
        <v>104.4029999</v>
      </c>
      <c r="P63" s="390">
        <v>130.4810028</v>
      </c>
      <c r="AD63" s="387"/>
      <c r="AE63" s="387"/>
      <c r="AF63" s="224"/>
      <c r="AG63" s="224"/>
      <c r="AH63" s="224"/>
      <c r="AI63" s="224"/>
      <c r="AJ63" s="224"/>
      <c r="AK63" s="224"/>
      <c r="AL63" s="224"/>
    </row>
    <row r="64" spans="1:38">
      <c r="M64" s="389">
        <v>53</v>
      </c>
      <c r="N64" s="390"/>
      <c r="O64" s="390"/>
      <c r="P64" s="397"/>
      <c r="AD64" s="387"/>
      <c r="AE64" s="387"/>
      <c r="AF64" s="224"/>
      <c r="AG64" s="224"/>
      <c r="AH64" s="224"/>
      <c r="AI64" s="224"/>
      <c r="AJ64" s="224"/>
      <c r="AK64" s="224"/>
      <c r="AL64" s="224"/>
    </row>
    <row r="65" spans="13:38">
      <c r="M65" s="387"/>
      <c r="N65" s="387"/>
      <c r="O65" s="387"/>
      <c r="P65" s="387"/>
      <c r="Q65" s="387"/>
      <c r="R65" s="387"/>
      <c r="S65" s="387"/>
      <c r="T65" s="387"/>
      <c r="AD65" s="387"/>
      <c r="AE65" s="387"/>
      <c r="AF65" s="224"/>
      <c r="AG65" s="224"/>
      <c r="AH65" s="224"/>
      <c r="AI65" s="224"/>
      <c r="AJ65" s="224"/>
      <c r="AK65" s="224"/>
      <c r="AL65" s="224"/>
    </row>
  </sheetData>
  <mergeCells count="4">
    <mergeCell ref="A2:H2"/>
    <mergeCell ref="A4:H4"/>
    <mergeCell ref="C28:F28"/>
    <mergeCell ref="A32:H32"/>
  </mergeCells>
  <pageMargins left="0.70866141732283472" right="0.70866141732283472" top="1.4311417322834645" bottom="0.62992125984251968" header="0.31496062992125984" footer="0.31496062992125984"/>
  <pageSetup paperSize="9" scale="95" orientation="portrait" r:id="rId1"/>
  <headerFooter>
    <oddHeader>&amp;R&amp;7Informe de la Operación Mensual - Enero 2019
INFSGI-MES-01-2019
13/02/2019
Versión: 01</oddHeader>
    <oddFooter>&amp;L&amp;7COES, 2019&amp;C10&amp;R&amp;7Dirección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sheetPr>
  <dimension ref="A1:AE63"/>
  <sheetViews>
    <sheetView showGridLines="0" view="pageBreakPreview" zoomScaleNormal="100" zoomScaleSheetLayoutView="100" zoomScalePageLayoutView="115" workbookViewId="0">
      <selection activeCell="M24" sqref="M24"/>
    </sheetView>
  </sheetViews>
  <sheetFormatPr defaultColWidth="9.33203125" defaultRowHeight="11.25"/>
  <cols>
    <col min="10" max="11" width="9.33203125" customWidth="1"/>
    <col min="14" max="28" width="9.33203125" style="537"/>
    <col min="29" max="31" width="9.33203125" style="515"/>
  </cols>
  <sheetData>
    <row r="1" spans="1:23" ht="11.25" customHeight="1"/>
    <row r="2" spans="1:23" ht="11.25" customHeight="1">
      <c r="A2" s="363"/>
      <c r="B2" s="370"/>
      <c r="C2" s="370"/>
      <c r="D2" s="370"/>
      <c r="E2" s="370"/>
      <c r="F2" s="370"/>
      <c r="G2" s="371"/>
      <c r="H2" s="371"/>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540" t="s">
        <v>288</v>
      </c>
      <c r="T4" s="541" t="s">
        <v>289</v>
      </c>
    </row>
    <row r="5" spans="1:23" ht="11.25" customHeight="1">
      <c r="A5" s="872"/>
      <c r="B5" s="872"/>
      <c r="C5" s="872"/>
      <c r="D5" s="872"/>
      <c r="E5" s="872"/>
      <c r="F5" s="872"/>
      <c r="G5" s="872"/>
      <c r="H5" s="872"/>
      <c r="I5" s="872"/>
      <c r="J5" s="12"/>
      <c r="K5" s="12"/>
      <c r="L5" s="8"/>
      <c r="O5" s="542">
        <v>2016</v>
      </c>
      <c r="P5" s="542">
        <v>2017</v>
      </c>
      <c r="Q5" s="542">
        <v>2018</v>
      </c>
      <c r="R5" s="542">
        <v>2019</v>
      </c>
      <c r="T5" s="542">
        <v>2016</v>
      </c>
      <c r="U5" s="542">
        <v>2017</v>
      </c>
      <c r="V5" s="542">
        <v>2018</v>
      </c>
      <c r="W5" s="542">
        <v>2019</v>
      </c>
    </row>
    <row r="6" spans="1:23" ht="11.25" customHeight="1">
      <c r="A6" s="17"/>
      <c r="B6" s="164"/>
      <c r="C6" s="68"/>
      <c r="D6" s="69"/>
      <c r="E6" s="69"/>
      <c r="F6" s="70"/>
      <c r="G6" s="66"/>
      <c r="H6" s="66"/>
      <c r="I6" s="71"/>
      <c r="J6" s="12"/>
      <c r="K6" s="12"/>
      <c r="L6" s="5"/>
      <c r="N6" s="543">
        <v>1</v>
      </c>
      <c r="O6" s="544">
        <v>119.86</v>
      </c>
      <c r="P6" s="544">
        <v>27.559000019999999</v>
      </c>
      <c r="Q6" s="545">
        <v>34.76</v>
      </c>
      <c r="R6" s="537">
        <v>71.125</v>
      </c>
      <c r="S6" s="543">
        <v>1</v>
      </c>
      <c r="T6" s="544">
        <v>150.22999999999999</v>
      </c>
      <c r="U6" s="544">
        <v>122.19600180599998</v>
      </c>
      <c r="V6" s="545">
        <v>210.20000000000002</v>
      </c>
      <c r="W6" s="537">
        <v>190.20000426299998</v>
      </c>
    </row>
    <row r="7" spans="1:23" ht="11.25" customHeight="1">
      <c r="A7" s="17"/>
      <c r="B7" s="873"/>
      <c r="C7" s="873"/>
      <c r="D7" s="165"/>
      <c r="E7" s="165"/>
      <c r="F7" s="70"/>
      <c r="G7" s="66"/>
      <c r="H7" s="66"/>
      <c r="I7" s="71"/>
      <c r="J7" s="3"/>
      <c r="K7" s="3"/>
      <c r="L7" s="15"/>
      <c r="N7" s="543">
        <v>2</v>
      </c>
      <c r="O7" s="544">
        <v>113.21</v>
      </c>
      <c r="P7" s="544">
        <v>36.5890007</v>
      </c>
      <c r="Q7" s="545">
        <v>47.749000549999998</v>
      </c>
      <c r="R7" s="537">
        <v>79.228996280000004</v>
      </c>
      <c r="S7" s="543">
        <v>2</v>
      </c>
      <c r="T7" s="544">
        <v>145.21</v>
      </c>
      <c r="U7" s="544">
        <v>136.535000822</v>
      </c>
      <c r="V7" s="545">
        <v>216.70300435500002</v>
      </c>
      <c r="W7" s="537">
        <v>185.80498987600001</v>
      </c>
    </row>
    <row r="8" spans="1:23" ht="11.25" customHeight="1">
      <c r="A8" s="17"/>
      <c r="B8" s="166"/>
      <c r="C8" s="39"/>
      <c r="D8" s="167"/>
      <c r="E8" s="167"/>
      <c r="F8" s="70"/>
      <c r="G8" s="66"/>
      <c r="H8" s="66"/>
      <c r="I8" s="71"/>
      <c r="J8" s="4"/>
      <c r="K8" s="4"/>
      <c r="L8" s="12"/>
      <c r="N8" s="543">
        <v>3</v>
      </c>
      <c r="O8" s="544">
        <v>117.64</v>
      </c>
      <c r="P8" s="544">
        <v>63.17599869</v>
      </c>
      <c r="Q8" s="545">
        <v>67.130996699999997</v>
      </c>
      <c r="R8" s="537">
        <v>106.65</v>
      </c>
      <c r="S8" s="543">
        <v>3</v>
      </c>
      <c r="T8" s="544">
        <v>143.88</v>
      </c>
      <c r="U8" s="544">
        <v>170.80799961000002</v>
      </c>
      <c r="V8" s="545">
        <v>232.83600043999999</v>
      </c>
      <c r="W8" s="537">
        <v>190.06000000000003</v>
      </c>
    </row>
    <row r="9" spans="1:23" ht="11.25" customHeight="1">
      <c r="A9" s="17"/>
      <c r="B9" s="166"/>
      <c r="C9" s="39"/>
      <c r="D9" s="167"/>
      <c r="E9" s="167"/>
      <c r="F9" s="70"/>
      <c r="G9" s="66"/>
      <c r="H9" s="66"/>
      <c r="I9" s="71"/>
      <c r="J9" s="3"/>
      <c r="K9" s="6"/>
      <c r="L9" s="15"/>
      <c r="N9" s="543">
        <v>4</v>
      </c>
      <c r="O9" s="544">
        <v>117.64</v>
      </c>
      <c r="P9" s="544">
        <v>113.2139969</v>
      </c>
      <c r="Q9" s="545">
        <v>93.789001459999994</v>
      </c>
      <c r="R9" s="537">
        <v>140.34500120000001</v>
      </c>
      <c r="S9" s="543">
        <v>4</v>
      </c>
      <c r="T9" s="544">
        <v>139.38200000000001</v>
      </c>
      <c r="U9" s="544">
        <v>186.385000214</v>
      </c>
      <c r="V9" s="545">
        <v>271.78000545999998</v>
      </c>
      <c r="W9" s="537">
        <v>198.06799936900001</v>
      </c>
    </row>
    <row r="10" spans="1:23" ht="11.25" customHeight="1">
      <c r="A10" s="17"/>
      <c r="B10" s="166"/>
      <c r="C10" s="39"/>
      <c r="D10" s="167"/>
      <c r="E10" s="167"/>
      <c r="F10" s="70"/>
      <c r="G10" s="66"/>
      <c r="H10" s="66"/>
      <c r="I10" s="71"/>
      <c r="J10" s="3"/>
      <c r="K10" s="3"/>
      <c r="L10" s="15"/>
      <c r="N10" s="543">
        <v>5</v>
      </c>
      <c r="O10" s="544">
        <v>133.43</v>
      </c>
      <c r="P10" s="544">
        <v>156.8220062</v>
      </c>
      <c r="Q10" s="545">
        <v>111.01599880000001</v>
      </c>
      <c r="S10" s="543">
        <v>5</v>
      </c>
      <c r="T10" s="544">
        <v>135.79099490000002</v>
      </c>
      <c r="U10" s="544">
        <v>204.80799868699998</v>
      </c>
      <c r="V10" s="545">
        <v>269.07999802</v>
      </c>
    </row>
    <row r="11" spans="1:23" ht="11.25" customHeight="1">
      <c r="A11" s="17"/>
      <c r="B11" s="167"/>
      <c r="C11" s="39"/>
      <c r="D11" s="167"/>
      <c r="E11" s="167"/>
      <c r="F11" s="70"/>
      <c r="G11" s="66"/>
      <c r="H11" s="66"/>
      <c r="I11" s="71"/>
      <c r="J11" s="3"/>
      <c r="K11" s="3"/>
      <c r="L11" s="15"/>
      <c r="N11" s="543">
        <v>6</v>
      </c>
      <c r="O11" s="544">
        <v>159.2149963</v>
      </c>
      <c r="P11" s="544">
        <v>168.8840027</v>
      </c>
      <c r="Q11" s="545">
        <v>126.6029968</v>
      </c>
      <c r="S11" s="543">
        <v>6</v>
      </c>
      <c r="T11" s="544">
        <v>150.04800029899999</v>
      </c>
      <c r="U11" s="544">
        <v>201.82999366799999</v>
      </c>
      <c r="V11" s="545">
        <v>273.52000047000001</v>
      </c>
    </row>
    <row r="12" spans="1:23" ht="11.25" customHeight="1">
      <c r="A12" s="17"/>
      <c r="B12" s="167"/>
      <c r="C12" s="39"/>
      <c r="D12" s="167"/>
      <c r="E12" s="167"/>
      <c r="F12" s="70"/>
      <c r="G12" s="66"/>
      <c r="H12" s="66"/>
      <c r="I12" s="71"/>
      <c r="J12" s="3"/>
      <c r="K12" s="3"/>
      <c r="L12" s="15"/>
      <c r="N12" s="543">
        <v>7</v>
      </c>
      <c r="O12" s="544">
        <v>186.18299870000001</v>
      </c>
      <c r="P12" s="544">
        <v>196.28300479999999</v>
      </c>
      <c r="Q12" s="545">
        <v>135.7250061</v>
      </c>
      <c r="S12" s="543">
        <v>7</v>
      </c>
      <c r="T12" s="544">
        <v>174.31999966699999</v>
      </c>
      <c r="U12" s="544">
        <v>199.59600258</v>
      </c>
      <c r="V12" s="545">
        <v>302.63299941999998</v>
      </c>
    </row>
    <row r="13" spans="1:23" ht="11.25" customHeight="1">
      <c r="A13" s="17"/>
      <c r="B13" s="167"/>
      <c r="C13" s="39"/>
      <c r="D13" s="167"/>
      <c r="E13" s="167"/>
      <c r="F13" s="70"/>
      <c r="G13" s="66"/>
      <c r="H13" s="66"/>
      <c r="I13" s="71"/>
      <c r="J13" s="4"/>
      <c r="K13" s="4"/>
      <c r="L13" s="12"/>
      <c r="N13" s="543">
        <v>8</v>
      </c>
      <c r="O13" s="544">
        <v>206.53900150000001</v>
      </c>
      <c r="P13" s="544">
        <v>230.18899540000001</v>
      </c>
      <c r="Q13" s="545">
        <v>159.2149963</v>
      </c>
      <c r="S13" s="543">
        <v>8</v>
      </c>
      <c r="T13" s="544">
        <v>262.93500039999998</v>
      </c>
      <c r="U13" s="544">
        <v>214.34299659800001</v>
      </c>
      <c r="V13" s="545">
        <v>328.23703</v>
      </c>
    </row>
    <row r="14" spans="1:23" ht="11.25" customHeight="1">
      <c r="A14" s="17"/>
      <c r="B14" s="167"/>
      <c r="C14" s="39"/>
      <c r="D14" s="167"/>
      <c r="E14" s="167"/>
      <c r="F14" s="70"/>
      <c r="G14" s="66"/>
      <c r="H14" s="66"/>
      <c r="I14" s="71"/>
      <c r="J14" s="3"/>
      <c r="K14" s="6"/>
      <c r="L14" s="15"/>
      <c r="N14" s="543">
        <v>9</v>
      </c>
      <c r="O14" s="544">
        <v>240.9539948</v>
      </c>
      <c r="P14" s="544">
        <v>249.13000489999999</v>
      </c>
      <c r="Q14" s="545">
        <v>186.18299870000001</v>
      </c>
      <c r="S14" s="543">
        <v>9</v>
      </c>
      <c r="T14" s="544">
        <v>279.08800121000002</v>
      </c>
      <c r="U14" s="544">
        <v>250.89400288000002</v>
      </c>
      <c r="V14" s="545">
        <v>343.54049999999995</v>
      </c>
    </row>
    <row r="15" spans="1:23" ht="11.25" customHeight="1">
      <c r="A15" s="17"/>
      <c r="B15" s="167"/>
      <c r="C15" s="39"/>
      <c r="D15" s="167"/>
      <c r="E15" s="167"/>
      <c r="F15" s="70"/>
      <c r="G15" s="66"/>
      <c r="H15" s="66"/>
      <c r="I15" s="71"/>
      <c r="J15" s="3"/>
      <c r="K15" s="6"/>
      <c r="L15" s="15"/>
      <c r="N15" s="543">
        <v>10</v>
      </c>
      <c r="O15" s="544">
        <v>279.86401369999999</v>
      </c>
      <c r="P15" s="544">
        <v>311.77999999999997</v>
      </c>
      <c r="Q15" s="545">
        <v>203.96099849999999</v>
      </c>
      <c r="S15" s="543">
        <v>10</v>
      </c>
      <c r="T15" s="544">
        <v>283.79400062561007</v>
      </c>
      <c r="U15" s="544">
        <v>298.99899296000001</v>
      </c>
      <c r="V15" s="545">
        <v>371.29100467000001</v>
      </c>
    </row>
    <row r="16" spans="1:23" ht="11.25" customHeight="1">
      <c r="A16" s="17"/>
      <c r="B16" s="167"/>
      <c r="C16" s="39"/>
      <c r="D16" s="167"/>
      <c r="E16" s="167"/>
      <c r="F16" s="70"/>
      <c r="G16" s="66"/>
      <c r="H16" s="66"/>
      <c r="I16" s="71"/>
      <c r="J16" s="3"/>
      <c r="K16" s="6"/>
      <c r="L16" s="15"/>
      <c r="N16" s="543">
        <v>11</v>
      </c>
      <c r="O16" s="544">
        <v>308.83</v>
      </c>
      <c r="P16" s="544">
        <v>332.70800000000003</v>
      </c>
      <c r="Q16" s="545">
        <v>230.18899540000001</v>
      </c>
      <c r="R16" s="546"/>
      <c r="S16" s="543">
        <v>11</v>
      </c>
      <c r="T16" s="544">
        <v>286.24</v>
      </c>
      <c r="U16" s="544">
        <v>321.03300188000003</v>
      </c>
      <c r="V16" s="545">
        <v>390.38299555999998</v>
      </c>
    </row>
    <row r="17" spans="1:22" ht="11.25" customHeight="1">
      <c r="A17" s="17"/>
      <c r="B17" s="167"/>
      <c r="C17" s="39"/>
      <c r="D17" s="167"/>
      <c r="E17" s="167"/>
      <c r="F17" s="70"/>
      <c r="G17" s="66"/>
      <c r="H17" s="66"/>
      <c r="I17" s="71"/>
      <c r="J17" s="3"/>
      <c r="K17" s="6"/>
      <c r="L17" s="15"/>
      <c r="N17" s="543">
        <v>12</v>
      </c>
      <c r="O17" s="544">
        <v>308.829986572265</v>
      </c>
      <c r="P17" s="544">
        <v>344.881012</v>
      </c>
      <c r="Q17" s="545">
        <v>282.71701050000001</v>
      </c>
      <c r="R17" s="546"/>
      <c r="S17" s="543">
        <v>12</v>
      </c>
      <c r="T17" s="544">
        <v>285.01299476623473</v>
      </c>
      <c r="U17" s="544">
        <v>332.34900279999999</v>
      </c>
      <c r="V17" s="545">
        <v>412.41217171999995</v>
      </c>
    </row>
    <row r="18" spans="1:22" ht="11.25" customHeight="1">
      <c r="A18" s="17"/>
      <c r="B18" s="167"/>
      <c r="C18" s="39"/>
      <c r="D18" s="167"/>
      <c r="E18" s="167"/>
      <c r="F18" s="70"/>
      <c r="G18" s="66"/>
      <c r="H18" s="66"/>
      <c r="I18" s="71"/>
      <c r="J18" s="3"/>
      <c r="K18" s="6"/>
      <c r="L18" s="15"/>
      <c r="N18" s="543">
        <v>13</v>
      </c>
      <c r="O18" s="544">
        <v>308.829986572265</v>
      </c>
      <c r="P18" s="544">
        <v>338.77499390000003</v>
      </c>
      <c r="Q18" s="545">
        <v>329.68899540000001</v>
      </c>
      <c r="R18" s="546"/>
      <c r="S18" s="543">
        <v>13</v>
      </c>
      <c r="T18" s="544">
        <v>279.96900081634436</v>
      </c>
      <c r="U18" s="544">
        <v>366.02899361000004</v>
      </c>
      <c r="V18" s="545">
        <v>410.83199501000001</v>
      </c>
    </row>
    <row r="19" spans="1:22" ht="11.25" customHeight="1">
      <c r="A19" s="17"/>
      <c r="B19" s="167"/>
      <c r="C19" s="39"/>
      <c r="D19" s="167"/>
      <c r="E19" s="167"/>
      <c r="F19" s="70"/>
      <c r="G19" s="66"/>
      <c r="H19" s="66"/>
      <c r="I19" s="71"/>
      <c r="J19" s="3"/>
      <c r="K19" s="6"/>
      <c r="L19" s="15"/>
      <c r="N19" s="543">
        <v>14</v>
      </c>
      <c r="O19" s="544">
        <v>302.95901489257801</v>
      </c>
      <c r="P19" s="544">
        <v>338.77999390000002</v>
      </c>
      <c r="Q19" s="545">
        <v>329.68899540000001</v>
      </c>
      <c r="R19" s="546"/>
      <c r="S19" s="543">
        <v>14</v>
      </c>
      <c r="T19" s="544">
        <v>286.54100227355917</v>
      </c>
      <c r="U19" s="544">
        <v>382.58400344</v>
      </c>
      <c r="V19" s="545">
        <v>403.70400233999999</v>
      </c>
    </row>
    <row r="20" spans="1:22" ht="11.25" customHeight="1">
      <c r="A20" s="17"/>
      <c r="B20" s="167"/>
      <c r="C20" s="39"/>
      <c r="D20" s="167"/>
      <c r="E20" s="167"/>
      <c r="F20" s="70"/>
      <c r="G20" s="66"/>
      <c r="H20" s="66"/>
      <c r="I20" s="71"/>
      <c r="J20" s="3"/>
      <c r="K20" s="6"/>
      <c r="L20" s="15"/>
      <c r="N20" s="543">
        <v>15</v>
      </c>
      <c r="O20" s="544">
        <v>311.781005859375</v>
      </c>
      <c r="P20" s="544">
        <v>347.94900510000002</v>
      </c>
      <c r="Q20" s="545">
        <v>326.67999270000001</v>
      </c>
      <c r="R20" s="546"/>
      <c r="S20" s="543">
        <v>15</v>
      </c>
      <c r="T20" s="544">
        <v>288.78499984741165</v>
      </c>
      <c r="U20" s="544">
        <v>385.29699126999998</v>
      </c>
      <c r="V20" s="545">
        <v>399.27400204999998</v>
      </c>
    </row>
    <row r="21" spans="1:22" ht="11.25" customHeight="1">
      <c r="A21" s="17"/>
      <c r="B21" s="167"/>
      <c r="C21" s="39"/>
      <c r="D21" s="167"/>
      <c r="E21" s="167"/>
      <c r="F21" s="70"/>
      <c r="G21" s="66"/>
      <c r="H21" s="66"/>
      <c r="I21" s="71"/>
      <c r="J21" s="3"/>
      <c r="K21" s="7"/>
      <c r="L21" s="16"/>
      <c r="N21" s="543">
        <v>16</v>
      </c>
      <c r="O21" s="544">
        <v>320.69100952148398</v>
      </c>
      <c r="P21" s="544">
        <v>354.11401369999999</v>
      </c>
      <c r="Q21" s="545">
        <v>314.7409973</v>
      </c>
      <c r="R21" s="546"/>
      <c r="S21" s="543">
        <v>16</v>
      </c>
      <c r="T21" s="544">
        <v>293.26400000000001</v>
      </c>
      <c r="U21" s="544">
        <v>384.95899003</v>
      </c>
      <c r="V21" s="545">
        <v>394.58499913000003</v>
      </c>
    </row>
    <row r="22" spans="1:22" ht="11.25" customHeight="1">
      <c r="A22" s="77"/>
      <c r="B22" s="167"/>
      <c r="C22" s="39"/>
      <c r="D22" s="167"/>
      <c r="E22" s="167"/>
      <c r="F22" s="70"/>
      <c r="G22" s="66"/>
      <c r="H22" s="66"/>
      <c r="I22" s="71"/>
      <c r="J22" s="3"/>
      <c r="K22" s="6"/>
      <c r="L22" s="15"/>
      <c r="N22" s="543">
        <v>17</v>
      </c>
      <c r="O22" s="544">
        <v>326.67999267578102</v>
      </c>
      <c r="P22" s="544">
        <v>351.02700809999999</v>
      </c>
      <c r="Q22" s="545">
        <v>305.89001459999997</v>
      </c>
      <c r="R22" s="546"/>
      <c r="S22" s="543">
        <v>17</v>
      </c>
      <c r="T22" s="544">
        <v>292.87300071716299</v>
      </c>
      <c r="U22" s="544">
        <v>381.86699488000005</v>
      </c>
      <c r="V22" s="545">
        <v>392.29800030000007</v>
      </c>
    </row>
    <row r="23" spans="1:22" ht="11.25" customHeight="1">
      <c r="A23" s="77"/>
      <c r="B23" s="167"/>
      <c r="C23" s="39"/>
      <c r="D23" s="167"/>
      <c r="E23" s="167"/>
      <c r="F23" s="70"/>
      <c r="G23" s="66"/>
      <c r="H23" s="66"/>
      <c r="I23" s="71"/>
      <c r="J23" s="3"/>
      <c r="K23" s="6"/>
      <c r="L23" s="15"/>
      <c r="N23" s="543">
        <v>18</v>
      </c>
      <c r="O23" s="544">
        <v>314.74099731445301</v>
      </c>
      <c r="P23" s="544">
        <v>354.11401369999999</v>
      </c>
      <c r="Q23" s="545">
        <v>314.7409973</v>
      </c>
      <c r="R23" s="546"/>
      <c r="S23" s="543">
        <v>18</v>
      </c>
      <c r="T23" s="544">
        <v>289.06400012969908</v>
      </c>
      <c r="U23" s="544">
        <v>382.77999115</v>
      </c>
      <c r="V23" s="545">
        <v>390.15600400999995</v>
      </c>
    </row>
    <row r="24" spans="1:22" ht="11.25" customHeight="1">
      <c r="A24" s="77"/>
      <c r="B24" s="167"/>
      <c r="C24" s="39"/>
      <c r="D24" s="167"/>
      <c r="E24" s="167"/>
      <c r="F24" s="70"/>
      <c r="G24" s="66"/>
      <c r="H24" s="66"/>
      <c r="I24" s="71"/>
      <c r="J24" s="6"/>
      <c r="K24" s="6"/>
      <c r="L24" s="15"/>
      <c r="N24" s="543">
        <v>19</v>
      </c>
      <c r="O24" s="544">
        <v>308.829986572265</v>
      </c>
      <c r="P24" s="544">
        <v>363.43499759999997</v>
      </c>
      <c r="Q24" s="545">
        <v>314.7409973</v>
      </c>
      <c r="R24" s="546"/>
      <c r="S24" s="543">
        <v>19</v>
      </c>
      <c r="T24" s="544">
        <v>283.7310012817382</v>
      </c>
      <c r="U24" s="544">
        <v>381.91700169999996</v>
      </c>
      <c r="V24" s="545">
        <v>386.47099490999994</v>
      </c>
    </row>
    <row r="25" spans="1:22" ht="11.25" customHeight="1">
      <c r="A25" s="297" t="s">
        <v>839</v>
      </c>
      <c r="B25" s="167"/>
      <c r="C25" s="39"/>
      <c r="D25" s="167"/>
      <c r="E25" s="167"/>
      <c r="F25" s="70"/>
      <c r="G25" s="66"/>
      <c r="H25" s="66"/>
      <c r="I25" s="71"/>
      <c r="J25" s="3"/>
      <c r="K25" s="7"/>
      <c r="L25" s="16"/>
      <c r="N25" s="543">
        <v>20</v>
      </c>
      <c r="O25" s="544">
        <v>308.8</v>
      </c>
      <c r="P25" s="544">
        <v>366.56100459999999</v>
      </c>
      <c r="Q25" s="545">
        <v>314.7409973</v>
      </c>
      <c r="R25" s="546"/>
      <c r="S25" s="543">
        <v>20</v>
      </c>
      <c r="T25" s="544">
        <v>278.90000000000003</v>
      </c>
      <c r="U25" s="544">
        <v>379.35699083999998</v>
      </c>
      <c r="V25" s="545">
        <v>382.00799562999993</v>
      </c>
    </row>
    <row r="26" spans="1:22" ht="11.25" customHeight="1">
      <c r="A26" s="54"/>
      <c r="B26" s="167"/>
      <c r="C26" s="39"/>
      <c r="D26" s="167"/>
      <c r="E26" s="167"/>
      <c r="F26" s="70"/>
      <c r="G26" s="66"/>
      <c r="H26" s="66"/>
      <c r="I26" s="71"/>
      <c r="J26" s="4"/>
      <c r="K26" s="6"/>
      <c r="L26" s="15"/>
      <c r="N26" s="543">
        <v>21</v>
      </c>
      <c r="O26" s="544">
        <v>311.781005859375</v>
      </c>
      <c r="P26" s="544">
        <v>357.21099850000002</v>
      </c>
      <c r="Q26" s="545">
        <v>314.7409973</v>
      </c>
      <c r="R26" s="546"/>
      <c r="S26" s="543">
        <v>21</v>
      </c>
      <c r="T26" s="544">
        <v>274.65599975585928</v>
      </c>
      <c r="U26" s="544">
        <v>375.59600258</v>
      </c>
      <c r="V26" s="545">
        <v>378.52099610999994</v>
      </c>
    </row>
    <row r="27" spans="1:22" ht="11.25" customHeight="1">
      <c r="A27" s="77"/>
      <c r="B27" s="167"/>
      <c r="C27" s="39"/>
      <c r="D27" s="167"/>
      <c r="E27" s="167"/>
      <c r="F27" s="73"/>
      <c r="G27" s="73"/>
      <c r="H27" s="73"/>
      <c r="I27" s="73"/>
      <c r="J27" s="4"/>
      <c r="K27" s="6"/>
      <c r="L27" s="15"/>
      <c r="N27" s="543">
        <v>22</v>
      </c>
      <c r="O27" s="544">
        <v>314.74</v>
      </c>
      <c r="P27" s="544">
        <v>341.82</v>
      </c>
      <c r="Q27" s="545">
        <v>311.78100590000003</v>
      </c>
      <c r="R27" s="546"/>
      <c r="S27" s="543">
        <v>22</v>
      </c>
      <c r="T27" s="544">
        <v>269.74</v>
      </c>
      <c r="U27" s="544">
        <v>373.52000000000004</v>
      </c>
      <c r="V27" s="545">
        <v>375.20999716</v>
      </c>
    </row>
    <row r="28" spans="1:22" ht="11.25" customHeight="1">
      <c r="A28" s="77"/>
      <c r="B28" s="167"/>
      <c r="C28" s="39"/>
      <c r="D28" s="167"/>
      <c r="E28" s="167"/>
      <c r="F28" s="73"/>
      <c r="G28" s="73"/>
      <c r="H28" s="73"/>
      <c r="I28" s="73"/>
      <c r="J28" s="4"/>
      <c r="K28" s="6"/>
      <c r="L28" s="15"/>
      <c r="N28" s="543">
        <v>23</v>
      </c>
      <c r="O28" s="544">
        <v>308.83</v>
      </c>
      <c r="P28" s="544">
        <v>326.67999270000001</v>
      </c>
      <c r="Q28" s="545">
        <v>308.82998659999998</v>
      </c>
      <c r="R28" s="546"/>
      <c r="S28" s="543">
        <v>23</v>
      </c>
      <c r="T28" s="544">
        <v>265.4609997</v>
      </c>
      <c r="U28" s="544">
        <v>369.22100255000004</v>
      </c>
      <c r="V28" s="545">
        <v>374.07600211999994</v>
      </c>
    </row>
    <row r="29" spans="1:22" ht="11.25" customHeight="1">
      <c r="A29" s="77"/>
      <c r="B29" s="167"/>
      <c r="C29" s="39"/>
      <c r="D29" s="167"/>
      <c r="E29" s="167"/>
      <c r="F29" s="73"/>
      <c r="G29" s="73"/>
      <c r="H29" s="73"/>
      <c r="I29" s="73"/>
      <c r="J29" s="4"/>
      <c r="K29" s="6"/>
      <c r="L29" s="15"/>
      <c r="N29" s="543">
        <v>24</v>
      </c>
      <c r="O29" s="544">
        <v>300.04000000000002</v>
      </c>
      <c r="P29" s="544">
        <v>308.82998659999998</v>
      </c>
      <c r="Q29" s="545">
        <v>300.0379944</v>
      </c>
      <c r="R29" s="546"/>
      <c r="S29" s="543">
        <v>24</v>
      </c>
      <c r="T29" s="544">
        <v>261.10000000000002</v>
      </c>
      <c r="U29" s="544">
        <v>364.44200138999997</v>
      </c>
      <c r="V29" s="545">
        <v>370.89200402</v>
      </c>
    </row>
    <row r="30" spans="1:22" ht="11.25" customHeight="1">
      <c r="A30" s="74"/>
      <c r="B30" s="73"/>
      <c r="C30" s="73"/>
      <c r="D30" s="73"/>
      <c r="E30" s="73"/>
      <c r="F30" s="73"/>
      <c r="G30" s="73"/>
      <c r="H30" s="73"/>
      <c r="I30" s="73"/>
      <c r="J30" s="3"/>
      <c r="K30" s="6"/>
      <c r="L30" s="15"/>
      <c r="N30" s="543">
        <v>25</v>
      </c>
      <c r="O30" s="544">
        <v>282.71701050000001</v>
      </c>
      <c r="P30" s="544">
        <v>291.33300780000002</v>
      </c>
      <c r="Q30" s="545">
        <v>294.22500609999997</v>
      </c>
      <c r="R30" s="546"/>
      <c r="S30" s="543">
        <v>25</v>
      </c>
      <c r="T30" s="544">
        <v>256.25999989000002</v>
      </c>
      <c r="U30" s="544">
        <v>359.61999897999999</v>
      </c>
      <c r="V30" s="545">
        <v>366.71700096999996</v>
      </c>
    </row>
    <row r="31" spans="1:22" ht="11.25" customHeight="1">
      <c r="A31" s="74"/>
      <c r="B31" s="73"/>
      <c r="C31" s="73"/>
      <c r="D31" s="73"/>
      <c r="E31" s="73"/>
      <c r="F31" s="73"/>
      <c r="G31" s="73"/>
      <c r="H31" s="73"/>
      <c r="I31" s="73"/>
      <c r="J31" s="3"/>
      <c r="K31" s="6"/>
      <c r="L31" s="15"/>
      <c r="N31" s="543">
        <v>26</v>
      </c>
      <c r="O31" s="544">
        <v>262.95300292968699</v>
      </c>
      <c r="P31" s="544">
        <v>268.55099489999998</v>
      </c>
      <c r="Q31" s="545">
        <v>282.71701050000001</v>
      </c>
      <c r="R31" s="546"/>
      <c r="S31" s="543">
        <v>26</v>
      </c>
      <c r="T31" s="544">
        <v>252.54899978637627</v>
      </c>
      <c r="U31" s="544">
        <v>354.77499773999995</v>
      </c>
      <c r="V31" s="545">
        <v>361.43599508999995</v>
      </c>
    </row>
    <row r="32" spans="1:22" ht="11.25" customHeight="1">
      <c r="A32" s="74"/>
      <c r="B32" s="73"/>
      <c r="C32" s="73"/>
      <c r="D32" s="73"/>
      <c r="E32" s="73"/>
      <c r="F32" s="73"/>
      <c r="G32" s="73"/>
      <c r="H32" s="73"/>
      <c r="I32" s="73"/>
      <c r="J32" s="3"/>
      <c r="K32" s="6"/>
      <c r="L32" s="15"/>
      <c r="N32" s="543">
        <v>27</v>
      </c>
      <c r="O32" s="544">
        <v>254.63000489999999</v>
      </c>
      <c r="P32" s="544">
        <v>265.7470093</v>
      </c>
      <c r="Q32" s="545">
        <v>271.36</v>
      </c>
      <c r="R32" s="546"/>
      <c r="S32" s="543">
        <v>27</v>
      </c>
      <c r="T32" s="544">
        <v>248.26700022</v>
      </c>
      <c r="U32" s="544">
        <v>349.77999684000002</v>
      </c>
      <c r="V32" s="545">
        <v>355.34</v>
      </c>
    </row>
    <row r="33" spans="1:22" ht="11.25" customHeight="1">
      <c r="A33" s="74"/>
      <c r="B33" s="73"/>
      <c r="C33" s="73"/>
      <c r="D33" s="73"/>
      <c r="E33" s="73"/>
      <c r="F33" s="73"/>
      <c r="G33" s="73"/>
      <c r="H33" s="73"/>
      <c r="I33" s="73"/>
      <c r="J33" s="3"/>
      <c r="K33" s="6"/>
      <c r="L33" s="15"/>
      <c r="N33" s="543">
        <v>28</v>
      </c>
      <c r="O33" s="544">
        <v>240.9539948</v>
      </c>
      <c r="P33" s="547">
        <v>243.66999820000001</v>
      </c>
      <c r="Q33" s="545">
        <v>260.16900629999998</v>
      </c>
      <c r="R33" s="546"/>
      <c r="S33" s="543">
        <v>28</v>
      </c>
      <c r="T33" s="544">
        <v>243.86400222</v>
      </c>
      <c r="U33" s="544">
        <v>344.32400322999996</v>
      </c>
      <c r="V33" s="545">
        <v>349.01599981000004</v>
      </c>
    </row>
    <row r="34" spans="1:22" ht="11.25" customHeight="1">
      <c r="A34" s="74"/>
      <c r="B34" s="73"/>
      <c r="C34" s="73"/>
      <c r="D34" s="73"/>
      <c r="E34" s="73"/>
      <c r="F34" s="73"/>
      <c r="G34" s="73"/>
      <c r="H34" s="73"/>
      <c r="I34" s="73"/>
      <c r="J34" s="3"/>
      <c r="K34" s="6"/>
      <c r="L34" s="15"/>
      <c r="N34" s="543">
        <v>29</v>
      </c>
      <c r="O34" s="544">
        <v>227.5220032</v>
      </c>
      <c r="P34" s="544">
        <v>227.5220032</v>
      </c>
      <c r="Q34" s="545">
        <v>251.88</v>
      </c>
      <c r="R34" s="546"/>
      <c r="S34" s="543">
        <v>29</v>
      </c>
      <c r="T34" s="544">
        <v>239.07999988</v>
      </c>
      <c r="U34" s="544">
        <v>338.60699847999996</v>
      </c>
      <c r="V34" s="545">
        <v>343.97999999999996</v>
      </c>
    </row>
    <row r="35" spans="1:22" ht="11.25" customHeight="1">
      <c r="A35" s="74"/>
      <c r="B35" s="73"/>
      <c r="C35" s="73"/>
      <c r="D35" s="73"/>
      <c r="E35" s="73"/>
      <c r="F35" s="73"/>
      <c r="G35" s="73"/>
      <c r="H35" s="73"/>
      <c r="I35" s="73"/>
      <c r="J35" s="6"/>
      <c r="K35" s="6"/>
      <c r="L35" s="15"/>
      <c r="N35" s="543">
        <v>30</v>
      </c>
      <c r="O35" s="544">
        <v>216.95199584960901</v>
      </c>
      <c r="P35" s="544">
        <v>216.95199579999999</v>
      </c>
      <c r="Q35" s="545">
        <v>232.8650055</v>
      </c>
      <c r="R35" s="546"/>
      <c r="S35" s="543">
        <v>30</v>
      </c>
      <c r="T35" s="544">
        <v>234.2539968490598</v>
      </c>
      <c r="U35" s="544">
        <v>332.49400331000004</v>
      </c>
      <c r="V35" s="545">
        <v>342.06599807739167</v>
      </c>
    </row>
    <row r="36" spans="1:22" ht="11.25" customHeight="1">
      <c r="A36" s="74"/>
      <c r="B36" s="73"/>
      <c r="C36" s="73"/>
      <c r="D36" s="73"/>
      <c r="E36" s="73"/>
      <c r="F36" s="73"/>
      <c r="G36" s="73"/>
      <c r="H36" s="73"/>
      <c r="I36" s="73"/>
      <c r="J36" s="3"/>
      <c r="K36" s="6"/>
      <c r="L36" s="15"/>
      <c r="N36" s="543">
        <v>31</v>
      </c>
      <c r="O36" s="544">
        <v>216.95199579999999</v>
      </c>
      <c r="P36" s="544">
        <v>209.128006</v>
      </c>
      <c r="Q36" s="545">
        <v>211.726</v>
      </c>
      <c r="R36" s="546"/>
      <c r="S36" s="543">
        <v>31</v>
      </c>
      <c r="T36" s="544">
        <v>229.68000125999998</v>
      </c>
      <c r="U36" s="544">
        <v>324</v>
      </c>
      <c r="V36" s="545">
        <v>335.23199999999997</v>
      </c>
    </row>
    <row r="37" spans="1:22" ht="11.25" customHeight="1">
      <c r="A37" s="74"/>
      <c r="B37" s="73"/>
      <c r="C37" s="73"/>
      <c r="D37" s="73"/>
      <c r="E37" s="73"/>
      <c r="F37" s="73"/>
      <c r="G37" s="73"/>
      <c r="H37" s="73"/>
      <c r="I37" s="73"/>
      <c r="J37" s="3"/>
      <c r="K37" s="10"/>
      <c r="L37" s="15"/>
      <c r="N37" s="543">
        <v>32</v>
      </c>
      <c r="O37" s="544">
        <v>201.39199830000001</v>
      </c>
      <c r="P37" s="544">
        <v>198.83200070000001</v>
      </c>
      <c r="Q37" s="545">
        <v>181.19200129999999</v>
      </c>
      <c r="R37" s="546"/>
      <c r="S37" s="543">
        <v>32</v>
      </c>
      <c r="T37" s="544">
        <v>224.73799990999998</v>
      </c>
      <c r="U37" s="544">
        <v>320.73399734000003</v>
      </c>
      <c r="V37" s="545">
        <v>329.56800555999996</v>
      </c>
    </row>
    <row r="38" spans="1:22" ht="11.25" customHeight="1">
      <c r="A38" s="74"/>
      <c r="B38" s="73"/>
      <c r="C38" s="73"/>
      <c r="D38" s="73"/>
      <c r="E38" s="73"/>
      <c r="F38" s="73"/>
      <c r="G38" s="73"/>
      <c r="H38" s="73"/>
      <c r="I38" s="73"/>
      <c r="J38" s="3"/>
      <c r="K38" s="10"/>
      <c r="L38" s="38"/>
      <c r="N38" s="543">
        <v>33</v>
      </c>
      <c r="O38" s="544">
        <v>193.74299621582</v>
      </c>
      <c r="P38" s="544">
        <v>188.69299319999999</v>
      </c>
      <c r="Q38" s="545">
        <v>152.0650024</v>
      </c>
      <c r="R38" s="546"/>
      <c r="S38" s="543">
        <v>33</v>
      </c>
      <c r="T38" s="544">
        <v>219.00299835205058</v>
      </c>
      <c r="U38" s="544">
        <v>314.19900131999998</v>
      </c>
      <c r="V38" s="545">
        <v>323.79099748000004</v>
      </c>
    </row>
    <row r="39" spans="1:22" ht="11.25" customHeight="1">
      <c r="A39" s="74"/>
      <c r="B39" s="73"/>
      <c r="C39" s="73"/>
      <c r="D39" s="73"/>
      <c r="E39" s="73"/>
      <c r="F39" s="73"/>
      <c r="G39" s="73"/>
      <c r="H39" s="73"/>
      <c r="I39" s="73"/>
      <c r="J39" s="3"/>
      <c r="K39" s="7"/>
      <c r="L39" s="15"/>
      <c r="N39" s="543">
        <v>34</v>
      </c>
      <c r="O39" s="544">
        <v>181.19200129999999</v>
      </c>
      <c r="P39" s="544">
        <v>183.68200680000001</v>
      </c>
      <c r="Q39" s="545">
        <v>156.8220062</v>
      </c>
      <c r="R39" s="546"/>
      <c r="S39" s="543">
        <v>34</v>
      </c>
      <c r="T39" s="544">
        <v>214.38699817</v>
      </c>
      <c r="U39" s="544">
        <v>307.85200500000002</v>
      </c>
      <c r="V39" s="545">
        <v>317.64699750999995</v>
      </c>
    </row>
    <row r="40" spans="1:22" ht="11.25" customHeight="1">
      <c r="A40" s="74"/>
      <c r="B40" s="73"/>
      <c r="C40" s="73"/>
      <c r="D40" s="73"/>
      <c r="E40" s="73"/>
      <c r="F40" s="73"/>
      <c r="G40" s="73"/>
      <c r="H40" s="73"/>
      <c r="I40" s="73"/>
      <c r="J40" s="3"/>
      <c r="K40" s="7"/>
      <c r="L40" s="15"/>
      <c r="N40" s="543">
        <v>35</v>
      </c>
      <c r="O40" s="544">
        <v>171.32600400000001</v>
      </c>
      <c r="P40" s="548">
        <v>176.23899840000001</v>
      </c>
      <c r="Q40" s="545">
        <v>156.82</v>
      </c>
      <c r="R40" s="546"/>
      <c r="S40" s="543">
        <v>35</v>
      </c>
      <c r="T40" s="544">
        <v>208.95000171000001</v>
      </c>
      <c r="U40" s="544">
        <v>300.83900069999999</v>
      </c>
      <c r="V40" s="545">
        <v>311.42</v>
      </c>
    </row>
    <row r="41" spans="1:22" ht="11.25" customHeight="1">
      <c r="A41" s="74"/>
      <c r="B41" s="73"/>
      <c r="C41" s="73"/>
      <c r="D41" s="73"/>
      <c r="E41" s="73"/>
      <c r="F41" s="73"/>
      <c r="G41" s="73"/>
      <c r="H41" s="73"/>
      <c r="I41" s="73"/>
      <c r="J41" s="3"/>
      <c r="K41" s="7"/>
      <c r="L41" s="15"/>
      <c r="N41" s="543">
        <v>36</v>
      </c>
      <c r="O41" s="544">
        <v>164.02999879999999</v>
      </c>
      <c r="P41" s="548">
        <v>168.8840027</v>
      </c>
      <c r="Q41" s="545">
        <v>159.21</v>
      </c>
      <c r="R41" s="546"/>
      <c r="S41" s="543">
        <v>36</v>
      </c>
      <c r="T41" s="544">
        <v>202.97300145000003</v>
      </c>
      <c r="U41" s="544">
        <v>293.46100233999999</v>
      </c>
      <c r="V41" s="545">
        <v>305.20999999999998</v>
      </c>
    </row>
    <row r="42" spans="1:22" ht="11.25" customHeight="1">
      <c r="A42" s="74"/>
      <c r="B42" s="73"/>
      <c r="C42" s="73"/>
      <c r="D42" s="73"/>
      <c r="E42" s="73"/>
      <c r="F42" s="73"/>
      <c r="G42" s="73"/>
      <c r="H42" s="73"/>
      <c r="I42" s="73"/>
      <c r="J42" s="6"/>
      <c r="K42" s="10"/>
      <c r="L42" s="15"/>
      <c r="N42" s="543">
        <v>37</v>
      </c>
      <c r="O42" s="544">
        <v>147.34800720000001</v>
      </c>
      <c r="P42" s="548">
        <v>159.2149963</v>
      </c>
      <c r="Q42" s="545">
        <v>159.2149963</v>
      </c>
      <c r="R42" s="546"/>
      <c r="S42" s="543">
        <v>37</v>
      </c>
      <c r="T42" s="544">
        <v>196.95000080099999</v>
      </c>
      <c r="U42" s="544">
        <v>287.76599501999999</v>
      </c>
      <c r="V42" s="545">
        <v>299.17000225600003</v>
      </c>
    </row>
    <row r="43" spans="1:22" ht="11.25" customHeight="1">
      <c r="A43" s="74"/>
      <c r="B43" s="73"/>
      <c r="C43" s="73"/>
      <c r="D43" s="73"/>
      <c r="E43" s="73"/>
      <c r="F43" s="73"/>
      <c r="G43" s="73"/>
      <c r="H43" s="73"/>
      <c r="I43" s="73"/>
      <c r="J43" s="3"/>
      <c r="K43" s="10"/>
      <c r="L43" s="15"/>
      <c r="N43" s="543">
        <v>38</v>
      </c>
      <c r="O43" s="544">
        <v>131.14500430000001</v>
      </c>
      <c r="P43" s="548">
        <v>149.70199579999999</v>
      </c>
      <c r="Q43" s="545">
        <v>149.70199579999999</v>
      </c>
      <c r="R43" s="546"/>
      <c r="S43" s="543">
        <v>38</v>
      </c>
      <c r="T43" s="544">
        <v>190.78400421900002</v>
      </c>
      <c r="U43" s="544">
        <v>282.07300377000001</v>
      </c>
      <c r="V43" s="545">
        <v>292.45899891799996</v>
      </c>
    </row>
    <row r="44" spans="1:22" ht="11.25" customHeight="1">
      <c r="A44" s="74"/>
      <c r="B44" s="73"/>
      <c r="C44" s="73"/>
      <c r="D44" s="73"/>
      <c r="E44" s="73"/>
      <c r="F44" s="73"/>
      <c r="G44" s="73"/>
      <c r="H44" s="73"/>
      <c r="I44" s="73"/>
      <c r="J44" s="3"/>
      <c r="K44" s="10"/>
      <c r="L44" s="15"/>
      <c r="N44" s="543">
        <v>39</v>
      </c>
      <c r="O44" s="544">
        <v>119.8639984</v>
      </c>
      <c r="P44" s="548">
        <v>138.02999879999999</v>
      </c>
      <c r="Q44" s="545">
        <v>117.6380005</v>
      </c>
      <c r="R44" s="546"/>
      <c r="S44" s="543">
        <v>39</v>
      </c>
      <c r="T44" s="544">
        <v>184.44099947499998</v>
      </c>
      <c r="U44" s="544">
        <v>275.53000069000001</v>
      </c>
      <c r="V44" s="545">
        <v>286.11999916000002</v>
      </c>
    </row>
    <row r="45" spans="1:22" ht="11.25" customHeight="1">
      <c r="A45" s="74"/>
      <c r="B45" s="73"/>
      <c r="C45" s="73"/>
      <c r="D45" s="73"/>
      <c r="E45" s="73"/>
      <c r="F45" s="73"/>
      <c r="G45" s="73"/>
      <c r="H45" s="73"/>
      <c r="I45" s="73"/>
      <c r="J45" s="11"/>
      <c r="K45" s="11"/>
      <c r="L45" s="11"/>
      <c r="N45" s="543">
        <v>40</v>
      </c>
      <c r="O45" s="544">
        <v>119.8639984</v>
      </c>
      <c r="P45" s="544">
        <v>131.14500430000001</v>
      </c>
      <c r="Q45" s="545">
        <v>91.680000309999997</v>
      </c>
      <c r="R45" s="546"/>
      <c r="S45" s="543">
        <v>40</v>
      </c>
      <c r="T45" s="544">
        <v>177.93399906500002</v>
      </c>
      <c r="U45" s="544">
        <v>268.25699615000002</v>
      </c>
      <c r="V45" s="545">
        <v>278.57999837699998</v>
      </c>
    </row>
    <row r="46" spans="1:22" ht="11.25" customHeight="1">
      <c r="A46" s="74"/>
      <c r="B46" s="73"/>
      <c r="C46" s="73"/>
      <c r="D46" s="73"/>
      <c r="E46" s="73"/>
      <c r="F46" s="73"/>
      <c r="G46" s="73"/>
      <c r="H46" s="73"/>
      <c r="I46" s="73"/>
      <c r="J46" s="11"/>
      <c r="K46" s="11"/>
      <c r="L46" s="11"/>
      <c r="N46" s="543">
        <v>41</v>
      </c>
      <c r="O46" s="544">
        <v>113.213996887207</v>
      </c>
      <c r="P46" s="544">
        <v>108.82900239999999</v>
      </c>
      <c r="Q46" s="545">
        <v>71.125</v>
      </c>
      <c r="R46" s="546"/>
      <c r="S46" s="543">
        <v>41</v>
      </c>
      <c r="T46" s="544">
        <v>171.68900227546672</v>
      </c>
      <c r="U46" s="544">
        <v>261.21399689000003</v>
      </c>
      <c r="V46" s="545">
        <v>271.23250496387476</v>
      </c>
    </row>
    <row r="47" spans="1:22" ht="11.25" customHeight="1">
      <c r="A47" s="74"/>
      <c r="B47" s="73"/>
      <c r="C47" s="73"/>
      <c r="D47" s="73"/>
      <c r="E47" s="73"/>
      <c r="F47" s="73"/>
      <c r="G47" s="73"/>
      <c r="H47" s="73"/>
      <c r="I47" s="73"/>
      <c r="J47" s="11"/>
      <c r="K47" s="11"/>
      <c r="L47" s="11"/>
      <c r="N47" s="543">
        <v>42</v>
      </c>
      <c r="O47" s="544">
        <v>100.1760025</v>
      </c>
      <c r="P47" s="544">
        <v>95.908996579999993</v>
      </c>
      <c r="Q47" s="545">
        <v>59.261001586913999</v>
      </c>
      <c r="R47" s="546"/>
      <c r="S47" s="543">
        <v>42</v>
      </c>
      <c r="T47" s="544">
        <v>165.69499874400003</v>
      </c>
      <c r="U47" s="544">
        <v>255.58900451</v>
      </c>
      <c r="V47" s="545">
        <v>256.27199935913058</v>
      </c>
    </row>
    <row r="48" spans="1:22" ht="11.25" customHeight="1">
      <c r="A48" s="74"/>
      <c r="B48" s="73"/>
      <c r="C48" s="73"/>
      <c r="D48" s="73"/>
      <c r="E48" s="73"/>
      <c r="F48" s="73"/>
      <c r="G48" s="73"/>
      <c r="H48" s="73"/>
      <c r="I48" s="73"/>
      <c r="J48" s="11"/>
      <c r="K48" s="11"/>
      <c r="L48" s="11"/>
      <c r="N48" s="543">
        <v>43</v>
      </c>
      <c r="O48" s="544">
        <v>89.581001279999995</v>
      </c>
      <c r="P48" s="544">
        <v>83.341003420000007</v>
      </c>
      <c r="Q48" s="545">
        <v>47.749000549316399</v>
      </c>
      <c r="R48" s="546"/>
      <c r="S48" s="543">
        <v>43</v>
      </c>
      <c r="T48" s="544">
        <v>160.397996525</v>
      </c>
      <c r="U48" s="544">
        <v>249.85500335</v>
      </c>
      <c r="V48" s="545">
        <v>249.67099761962871</v>
      </c>
    </row>
    <row r="49" spans="1:22" ht="11.25" customHeight="1">
      <c r="A49" s="74"/>
      <c r="B49" s="73"/>
      <c r="C49" s="73"/>
      <c r="D49" s="73"/>
      <c r="E49" s="73"/>
      <c r="F49" s="73"/>
      <c r="G49" s="73"/>
      <c r="H49" s="73"/>
      <c r="I49" s="73"/>
      <c r="J49" s="11"/>
      <c r="K49" s="11"/>
      <c r="L49" s="11"/>
      <c r="N49" s="543">
        <v>44</v>
      </c>
      <c r="O49" s="544">
        <v>75.156997680000003</v>
      </c>
      <c r="P49" s="544">
        <v>75.16</v>
      </c>
      <c r="Q49" s="545">
        <v>38.424999239999998</v>
      </c>
      <c r="R49" s="546"/>
      <c r="S49" s="543">
        <v>44</v>
      </c>
      <c r="T49" s="544">
        <v>154.79199918699999</v>
      </c>
      <c r="U49" s="544">
        <v>242.79000000000002</v>
      </c>
      <c r="V49" s="545">
        <v>249.67099761962871</v>
      </c>
    </row>
    <row r="50" spans="1:22" ht="12.75">
      <c r="A50" s="74"/>
      <c r="B50" s="73"/>
      <c r="C50" s="73"/>
      <c r="D50" s="73"/>
      <c r="E50" s="73"/>
      <c r="F50" s="73"/>
      <c r="G50" s="73"/>
      <c r="H50" s="73"/>
      <c r="I50" s="73"/>
      <c r="J50" s="11"/>
      <c r="K50" s="11"/>
      <c r="L50" s="11"/>
      <c r="N50" s="543">
        <v>45</v>
      </c>
      <c r="O50" s="544">
        <v>61.2140007</v>
      </c>
      <c r="P50" s="544">
        <v>65.149002080000002</v>
      </c>
      <c r="Q50" s="545">
        <v>31.142000199999998</v>
      </c>
      <c r="R50" s="546"/>
      <c r="S50" s="543">
        <v>45</v>
      </c>
      <c r="T50" s="544">
        <v>149.715000041</v>
      </c>
      <c r="U50" s="544">
        <v>235.60499572000001</v>
      </c>
      <c r="V50" s="545">
        <v>243.378839739</v>
      </c>
    </row>
    <row r="51" spans="1:22" ht="12.75">
      <c r="A51" s="74"/>
      <c r="B51" s="73"/>
      <c r="C51" s="73"/>
      <c r="D51" s="73"/>
      <c r="E51" s="73"/>
      <c r="F51" s="73"/>
      <c r="G51" s="73"/>
      <c r="H51" s="73"/>
      <c r="I51" s="73"/>
      <c r="J51" s="11"/>
      <c r="K51" s="11"/>
      <c r="L51" s="11"/>
      <c r="N51" s="543">
        <v>46</v>
      </c>
      <c r="O51" s="544">
        <v>43.990001679999999</v>
      </c>
      <c r="P51" s="544">
        <v>47.749000549999998</v>
      </c>
      <c r="Q51" s="545">
        <v>22.26</v>
      </c>
      <c r="R51" s="546"/>
      <c r="S51" s="543">
        <v>46</v>
      </c>
      <c r="T51" s="544">
        <v>144.11800040400001</v>
      </c>
      <c r="U51" s="544">
        <v>230.54900361099999</v>
      </c>
      <c r="V51" s="545">
        <v>236.34</v>
      </c>
    </row>
    <row r="52" spans="1:22" ht="12.75">
      <c r="A52" s="74"/>
      <c r="B52" s="73"/>
      <c r="C52" s="73"/>
      <c r="D52" s="73"/>
      <c r="E52" s="73"/>
      <c r="F52" s="73"/>
      <c r="G52" s="73"/>
      <c r="H52" s="73"/>
      <c r="I52" s="73"/>
      <c r="J52" s="11"/>
      <c r="K52" s="11"/>
      <c r="L52" s="11"/>
      <c r="N52" s="543">
        <v>47</v>
      </c>
      <c r="O52" s="544">
        <v>25.781999590000002</v>
      </c>
      <c r="P52" s="544">
        <v>34.763999939999998</v>
      </c>
      <c r="Q52" s="545">
        <v>17.044000629999999</v>
      </c>
      <c r="R52" s="546"/>
      <c r="S52" s="543">
        <v>47</v>
      </c>
      <c r="T52" s="544">
        <v>138.82499813000001</v>
      </c>
      <c r="U52" s="544">
        <v>223.60000467499998</v>
      </c>
      <c r="V52" s="545">
        <v>227.62000255999999</v>
      </c>
    </row>
    <row r="53" spans="1:22" ht="12.75">
      <c r="A53" s="74"/>
      <c r="B53" s="73"/>
      <c r="C53" s="73"/>
      <c r="D53" s="73"/>
      <c r="E53" s="73"/>
      <c r="F53" s="73"/>
      <c r="G53" s="73"/>
      <c r="H53" s="73"/>
      <c r="I53" s="73"/>
      <c r="J53" s="11"/>
      <c r="K53" s="11"/>
      <c r="L53" s="11"/>
      <c r="N53" s="543">
        <v>48</v>
      </c>
      <c r="O53" s="544">
        <v>29.344999309999999</v>
      </c>
      <c r="P53" s="544">
        <v>13.618000029999999</v>
      </c>
      <c r="Q53" s="545">
        <v>36.5890007</v>
      </c>
      <c r="R53" s="546"/>
      <c r="S53" s="543">
        <v>48</v>
      </c>
      <c r="T53" s="544">
        <v>133.112998957</v>
      </c>
      <c r="U53" s="544">
        <v>217.17600035300001</v>
      </c>
      <c r="V53" s="545">
        <v>220.01436420799999</v>
      </c>
    </row>
    <row r="54" spans="1:22" ht="13.5">
      <c r="A54" s="74"/>
      <c r="B54" s="73"/>
      <c r="C54" s="73"/>
      <c r="D54" s="73"/>
      <c r="E54" s="73"/>
      <c r="F54" s="73"/>
      <c r="G54" s="73"/>
      <c r="H54" s="73"/>
      <c r="I54" s="73"/>
      <c r="J54" s="11"/>
      <c r="K54" s="11"/>
      <c r="L54" s="11"/>
      <c r="N54" s="543">
        <v>49</v>
      </c>
      <c r="O54" s="549">
        <v>34.763999939999998</v>
      </c>
      <c r="P54" s="544">
        <v>8.5520000459999999</v>
      </c>
      <c r="Q54" s="545">
        <v>36.590000000000003</v>
      </c>
      <c r="R54" s="546"/>
      <c r="S54" s="543">
        <v>49</v>
      </c>
      <c r="T54" s="544">
        <v>128.370002666</v>
      </c>
      <c r="U54" s="544">
        <v>210.45100211699997</v>
      </c>
      <c r="V54" s="545">
        <v>212.37999999999997</v>
      </c>
    </row>
    <row r="55" spans="1:22" ht="12.75">
      <c r="A55" s="74"/>
      <c r="B55" s="73"/>
      <c r="C55" s="73"/>
      <c r="D55" s="73"/>
      <c r="E55" s="73"/>
      <c r="F55" s="73"/>
      <c r="G55" s="73"/>
      <c r="H55" s="73"/>
      <c r="I55" s="73"/>
      <c r="J55" s="11"/>
      <c r="K55" s="11"/>
      <c r="L55" s="11"/>
      <c r="N55" s="543">
        <v>50</v>
      </c>
      <c r="O55" s="544">
        <v>32.948001859999998</v>
      </c>
      <c r="P55" s="544">
        <v>13.618000029999999</v>
      </c>
      <c r="Q55" s="545">
        <v>34.763999939999998</v>
      </c>
      <c r="R55" s="546"/>
      <c r="S55" s="543">
        <v>50</v>
      </c>
      <c r="T55" s="544">
        <v>122.71499820000001</v>
      </c>
      <c r="U55" s="544">
        <v>203.37099885499998</v>
      </c>
      <c r="V55" s="545">
        <v>205.46782675599999</v>
      </c>
    </row>
    <row r="56" spans="1:22" ht="12.75">
      <c r="A56" s="74"/>
      <c r="B56" s="73"/>
      <c r="C56" s="73"/>
      <c r="D56" s="73"/>
      <c r="E56" s="73"/>
      <c r="F56" s="73"/>
      <c r="G56" s="73"/>
      <c r="H56" s="73"/>
      <c r="I56" s="73"/>
      <c r="J56" s="11"/>
      <c r="K56" s="11"/>
      <c r="L56" s="11"/>
      <c r="N56" s="543">
        <v>51</v>
      </c>
      <c r="O56" s="544">
        <v>25.781999590000002</v>
      </c>
      <c r="P56" s="544">
        <v>18.771999359999999</v>
      </c>
      <c r="Q56" s="545">
        <v>38.4</v>
      </c>
      <c r="R56" s="546"/>
      <c r="S56" s="543">
        <v>51</v>
      </c>
      <c r="T56" s="544">
        <v>120.15600296300001</v>
      </c>
      <c r="U56" s="544">
        <v>202.35899971500001</v>
      </c>
      <c r="V56" s="545">
        <v>199</v>
      </c>
    </row>
    <row r="57" spans="1:22" ht="12.75">
      <c r="A57" s="74"/>
      <c r="B57" s="73"/>
      <c r="C57" s="73"/>
      <c r="D57" s="73"/>
      <c r="E57" s="73"/>
      <c r="F57" s="73"/>
      <c r="G57" s="73"/>
      <c r="H57" s="73"/>
      <c r="I57" s="73"/>
      <c r="N57" s="543">
        <v>52</v>
      </c>
      <c r="O57" s="544">
        <v>22.256999969999999</v>
      </c>
      <c r="P57" s="544">
        <v>25.781999590000002</v>
      </c>
      <c r="Q57" s="545">
        <v>59.261001589999999</v>
      </c>
      <c r="R57" s="546"/>
      <c r="S57" s="543">
        <v>52</v>
      </c>
      <c r="T57" s="544">
        <v>116.12899696700001</v>
      </c>
      <c r="U57" s="544">
        <v>201.25199794899999</v>
      </c>
      <c r="V57" s="545">
        <v>192.88799664499999</v>
      </c>
    </row>
    <row r="58" spans="1:22" ht="12.75">
      <c r="A58" s="74"/>
      <c r="B58" s="73"/>
      <c r="C58" s="73"/>
      <c r="D58" s="73"/>
      <c r="E58" s="73"/>
      <c r="F58" s="73"/>
      <c r="G58" s="73"/>
      <c r="H58" s="73"/>
      <c r="I58" s="73"/>
      <c r="N58" s="543">
        <v>53</v>
      </c>
      <c r="O58" s="546"/>
      <c r="P58" s="546"/>
      <c r="Q58" s="546"/>
      <c r="R58" s="546"/>
      <c r="S58" s="543">
        <v>53</v>
      </c>
      <c r="T58" s="544"/>
      <c r="U58" s="544"/>
      <c r="V58" s="545"/>
    </row>
    <row r="59" spans="1:22" ht="12.75">
      <c r="B59" s="73"/>
      <c r="C59" s="73"/>
      <c r="D59" s="73"/>
      <c r="E59" s="73"/>
      <c r="F59" s="73"/>
      <c r="G59" s="73"/>
      <c r="H59" s="73"/>
      <c r="I59" s="73"/>
    </row>
    <row r="60" spans="1:22" ht="12.75">
      <c r="A60" s="74"/>
      <c r="B60" s="73"/>
      <c r="C60" s="73"/>
      <c r="D60" s="73"/>
      <c r="E60" s="73"/>
      <c r="F60" s="73"/>
      <c r="G60" s="73"/>
      <c r="H60" s="73"/>
      <c r="I60" s="73"/>
    </row>
    <row r="63" spans="1:22">
      <c r="A63" s="297" t="s">
        <v>840</v>
      </c>
    </row>
  </sheetData>
  <mergeCells count="2">
    <mergeCell ref="A5:I5"/>
    <mergeCell ref="B7:C7"/>
  </mergeCells>
  <pageMargins left="0.70866141732283472" right="0.70866141732283472" top="1.4311417322834645" bottom="0.62992125984251968" header="0.31496062992125984" footer="0.31496062992125984"/>
  <pageSetup paperSize="9" scale="95" orientation="portrait" r:id="rId1"/>
  <headerFooter>
    <oddHeader>&amp;R&amp;7Informe de la Operación Mensual - Enero 2019
INFSGI-MES-01-2019
13/02/2019
Versión: 01</oddHeader>
    <oddFooter>&amp;L&amp;7COES, 2019&amp;C11&amp;R&amp;7Dirección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sheetPr>
  <dimension ref="A1:U213"/>
  <sheetViews>
    <sheetView showGridLines="0" view="pageBreakPreview" zoomScale="115" zoomScaleNormal="100" zoomScaleSheetLayoutView="115" zoomScalePageLayoutView="130" workbookViewId="0">
      <selection activeCell="M24" sqref="M24"/>
    </sheetView>
  </sheetViews>
  <sheetFormatPr defaultColWidth="9.33203125" defaultRowHeight="11.25"/>
  <cols>
    <col min="3" max="3" width="28.5" customWidth="1"/>
    <col min="4" max="5" width="12" customWidth="1"/>
    <col min="6" max="6" width="12.33203125" customWidth="1"/>
    <col min="8" max="9" width="9.33203125" customWidth="1"/>
    <col min="10" max="10" width="9.33203125" style="25"/>
    <col min="11" max="11" width="9.33203125" style="537"/>
    <col min="12" max="12" width="3.1640625" style="538" bestFit="1" customWidth="1"/>
    <col min="13" max="21" width="9.33203125" style="537"/>
  </cols>
  <sheetData>
    <row r="1" spans="1:15" ht="11.25" customHeight="1"/>
    <row r="2" spans="1:15" ht="11.25" customHeight="1">
      <c r="A2" s="17"/>
      <c r="B2" s="17"/>
      <c r="C2" s="17"/>
      <c r="D2" s="17"/>
      <c r="E2" s="73"/>
      <c r="F2" s="73"/>
      <c r="G2" s="73"/>
    </row>
    <row r="3" spans="1:15" ht="17.25" customHeight="1">
      <c r="A3" s="874" t="s">
        <v>470</v>
      </c>
      <c r="B3" s="874"/>
      <c r="C3" s="874"/>
      <c r="D3" s="874"/>
      <c r="E3" s="874"/>
      <c r="F3" s="874"/>
      <c r="G3" s="874"/>
      <c r="H3" s="36"/>
      <c r="I3" s="36"/>
      <c r="K3" s="537" t="s">
        <v>290</v>
      </c>
      <c r="M3" s="537" t="s">
        <v>291</v>
      </c>
      <c r="N3" s="537" t="s">
        <v>292</v>
      </c>
      <c r="O3" s="537" t="s">
        <v>293</v>
      </c>
    </row>
    <row r="4" spans="1:15" ht="11.25" customHeight="1">
      <c r="A4" s="74"/>
      <c r="B4" s="73"/>
      <c r="C4" s="73"/>
      <c r="D4" s="73"/>
      <c r="E4" s="73"/>
      <c r="F4" s="73"/>
      <c r="G4" s="73"/>
      <c r="H4" s="36"/>
      <c r="I4" s="36"/>
      <c r="J4" s="25">
        <v>2016</v>
      </c>
      <c r="K4" s="537">
        <v>1</v>
      </c>
      <c r="L4" s="538">
        <v>1</v>
      </c>
      <c r="M4" s="539">
        <v>40.61</v>
      </c>
      <c r="N4" s="539">
        <v>96.75</v>
      </c>
      <c r="O4" s="539">
        <v>16.37</v>
      </c>
    </row>
    <row r="5" spans="1:15" ht="11.25" customHeight="1">
      <c r="A5" s="74"/>
      <c r="B5" s="73"/>
      <c r="C5" s="73"/>
      <c r="D5" s="73"/>
      <c r="E5" s="73"/>
      <c r="F5" s="73"/>
      <c r="G5" s="73"/>
      <c r="H5" s="12"/>
      <c r="I5" s="12"/>
      <c r="L5" s="538">
        <v>2</v>
      </c>
      <c r="M5" s="539">
        <v>29.82</v>
      </c>
      <c r="N5" s="539">
        <v>76.510000000000005</v>
      </c>
      <c r="O5" s="539">
        <v>15.9</v>
      </c>
    </row>
    <row r="6" spans="1:15" ht="29.25" customHeight="1">
      <c r="A6" s="136"/>
      <c r="C6" s="640" t="s">
        <v>151</v>
      </c>
      <c r="D6" s="643" t="str">
        <f>UPPER('1. Resumen'!Q4)&amp;"
 "&amp;'1. Resumen'!Q5</f>
        <v>ENERO
 2019</v>
      </c>
      <c r="E6" s="644" t="str">
        <f>UPPER('1. Resumen'!Q4)&amp;"
 "&amp;'1. Resumen'!Q5-1</f>
        <v>ENERO
 2018</v>
      </c>
      <c r="F6" s="645" t="s">
        <v>130</v>
      </c>
      <c r="G6" s="138"/>
      <c r="H6" s="24"/>
      <c r="I6" s="12"/>
      <c r="L6" s="538">
        <v>3</v>
      </c>
      <c r="M6" s="539">
        <v>27.06</v>
      </c>
      <c r="N6" s="539">
        <v>80.096000000000004</v>
      </c>
      <c r="O6" s="539">
        <v>29.21</v>
      </c>
    </row>
    <row r="7" spans="1:15" ht="11.25" customHeight="1">
      <c r="A7" s="179"/>
      <c r="C7" s="773" t="s">
        <v>152</v>
      </c>
      <c r="D7" s="774">
        <v>68.955190000000002</v>
      </c>
      <c r="E7" s="774">
        <v>60.52</v>
      </c>
      <c r="F7" s="775">
        <f>IF(E7=0,"",(D7-E7)/E7)</f>
        <v>0.13937855254461332</v>
      </c>
      <c r="G7" s="138"/>
      <c r="H7" s="25"/>
      <c r="I7" s="3"/>
      <c r="K7" s="537">
        <v>4</v>
      </c>
      <c r="L7" s="538">
        <v>4</v>
      </c>
      <c r="M7" s="539">
        <v>27.93</v>
      </c>
      <c r="N7" s="539">
        <v>77.09</v>
      </c>
      <c r="O7" s="539">
        <v>20.7</v>
      </c>
    </row>
    <row r="8" spans="1:15" ht="11.25" customHeight="1">
      <c r="A8" s="179"/>
      <c r="C8" s="776" t="s">
        <v>158</v>
      </c>
      <c r="D8" s="777">
        <v>27.257940000000001</v>
      </c>
      <c r="E8" s="777">
        <v>27.9</v>
      </c>
      <c r="F8" s="778">
        <f t="shared" ref="F8:F30" si="0">IF(E8=0,"",(D8-E8)/E8)</f>
        <v>-2.3012903225806351E-2</v>
      </c>
      <c r="G8" s="138"/>
      <c r="H8" s="23"/>
      <c r="I8" s="3"/>
      <c r="L8" s="538">
        <v>5</v>
      </c>
      <c r="M8" s="539">
        <v>49.585999999999999</v>
      </c>
      <c r="N8" s="539">
        <v>140.12</v>
      </c>
      <c r="O8" s="539">
        <v>74.02</v>
      </c>
    </row>
    <row r="9" spans="1:15" ht="11.25" customHeight="1">
      <c r="A9" s="179"/>
      <c r="C9" s="779" t="s">
        <v>159</v>
      </c>
      <c r="D9" s="780">
        <v>138.4144</v>
      </c>
      <c r="E9" s="780">
        <v>156.72</v>
      </c>
      <c r="F9" s="781">
        <f t="shared" si="0"/>
        <v>-0.11680449208779989</v>
      </c>
      <c r="G9" s="138"/>
      <c r="H9" s="25"/>
      <c r="I9" s="3"/>
      <c r="L9" s="538">
        <v>6</v>
      </c>
      <c r="M9" s="539">
        <v>57</v>
      </c>
      <c r="N9" s="539">
        <v>144.66999999999999</v>
      </c>
      <c r="O9" s="539">
        <v>78.08</v>
      </c>
    </row>
    <row r="10" spans="1:15" ht="11.25" customHeight="1">
      <c r="A10" s="179"/>
      <c r="C10" s="776" t="s">
        <v>166</v>
      </c>
      <c r="D10" s="777">
        <v>107.67749999999999</v>
      </c>
      <c r="E10" s="777">
        <v>124.18</v>
      </c>
      <c r="F10" s="778">
        <f t="shared" si="0"/>
        <v>-0.13289177001127406</v>
      </c>
      <c r="G10" s="138"/>
      <c r="H10" s="25"/>
      <c r="I10" s="3"/>
      <c r="L10" s="538">
        <v>7</v>
      </c>
      <c r="M10" s="539">
        <v>52.31</v>
      </c>
      <c r="N10" s="539">
        <v>117.32</v>
      </c>
      <c r="O10" s="539">
        <v>41.34</v>
      </c>
    </row>
    <row r="11" spans="1:15" ht="11.25" customHeight="1">
      <c r="A11" s="179"/>
      <c r="C11" s="779" t="s">
        <v>167</v>
      </c>
      <c r="D11" s="780">
        <v>19.34684</v>
      </c>
      <c r="E11" s="780">
        <v>60.03</v>
      </c>
      <c r="F11" s="781">
        <f t="shared" si="0"/>
        <v>-0.67771380976178575</v>
      </c>
      <c r="G11" s="138"/>
      <c r="H11" s="25"/>
      <c r="I11" s="3"/>
      <c r="K11" s="537">
        <v>8</v>
      </c>
      <c r="L11" s="538">
        <v>8</v>
      </c>
      <c r="M11" s="539">
        <v>57.96</v>
      </c>
      <c r="N11" s="539">
        <v>140.31</v>
      </c>
      <c r="O11" s="539">
        <v>96.52</v>
      </c>
    </row>
    <row r="12" spans="1:15" ht="11.25" customHeight="1">
      <c r="A12" s="179"/>
      <c r="C12" s="776" t="s">
        <v>169</v>
      </c>
      <c r="D12" s="777">
        <v>6.7329679999999996</v>
      </c>
      <c r="E12" s="777">
        <v>25.79</v>
      </c>
      <c r="F12" s="778">
        <f t="shared" si="0"/>
        <v>-0.73893105854982555</v>
      </c>
      <c r="G12" s="138"/>
      <c r="H12" s="25"/>
      <c r="I12" s="3"/>
      <c r="L12" s="538">
        <v>9</v>
      </c>
      <c r="M12" s="539">
        <v>100.51885660000001</v>
      </c>
      <c r="N12" s="539">
        <v>268.94750210000001</v>
      </c>
      <c r="O12" s="539">
        <v>150.104332</v>
      </c>
    </row>
    <row r="13" spans="1:15" ht="11.25" customHeight="1">
      <c r="A13" s="179"/>
      <c r="C13" s="779" t="s">
        <v>157</v>
      </c>
      <c r="D13" s="780">
        <v>47.59</v>
      </c>
      <c r="E13" s="780">
        <v>60.26</v>
      </c>
      <c r="F13" s="781">
        <f t="shared" si="0"/>
        <v>-0.21025555924327904</v>
      </c>
      <c r="G13" s="138"/>
      <c r="H13" s="23"/>
      <c r="I13" s="3"/>
      <c r="L13" s="538">
        <v>10</v>
      </c>
      <c r="M13" s="539">
        <v>75.15657152448378</v>
      </c>
      <c r="N13" s="539">
        <v>243.71150207519463</v>
      </c>
      <c r="O13" s="539">
        <v>181.79733530680286</v>
      </c>
    </row>
    <row r="14" spans="1:15" ht="11.25" customHeight="1">
      <c r="A14" s="179"/>
      <c r="C14" s="776" t="s">
        <v>281</v>
      </c>
      <c r="D14" s="777">
        <v>90.439040000000006</v>
      </c>
      <c r="E14" s="777">
        <v>80.88</v>
      </c>
      <c r="F14" s="778">
        <f t="shared" si="0"/>
        <v>0.11818793273986165</v>
      </c>
      <c r="G14" s="138"/>
      <c r="H14" s="25"/>
      <c r="I14" s="3"/>
      <c r="L14" s="538">
        <v>11</v>
      </c>
      <c r="M14" s="539">
        <v>52.24</v>
      </c>
      <c r="N14" s="539">
        <v>154.21</v>
      </c>
      <c r="O14" s="539">
        <v>79.12</v>
      </c>
    </row>
    <row r="15" spans="1:15" ht="11.25" customHeight="1">
      <c r="A15" s="179"/>
      <c r="C15" s="779" t="s">
        <v>282</v>
      </c>
      <c r="D15" s="780">
        <v>170.99889999999999</v>
      </c>
      <c r="E15" s="780">
        <v>229.07</v>
      </c>
      <c r="F15" s="781">
        <f t="shared" si="0"/>
        <v>-0.2535080979613219</v>
      </c>
      <c r="G15" s="138"/>
      <c r="H15" s="25"/>
      <c r="I15" s="3"/>
      <c r="K15" s="537">
        <v>12</v>
      </c>
      <c r="L15" s="538">
        <v>12</v>
      </c>
      <c r="M15" s="539">
        <v>44.628571101597331</v>
      </c>
      <c r="N15" s="539">
        <v>116.62271445138057</v>
      </c>
      <c r="O15" s="539">
        <v>41.373285293579045</v>
      </c>
    </row>
    <row r="16" spans="1:15" ht="11.25" customHeight="1">
      <c r="A16" s="179"/>
      <c r="C16" s="776" t="s">
        <v>164</v>
      </c>
      <c r="D16" s="777">
        <v>56.220100000000002</v>
      </c>
      <c r="E16" s="777">
        <v>58.14</v>
      </c>
      <c r="F16" s="778">
        <f t="shared" si="0"/>
        <v>-3.3022015823873381E-2</v>
      </c>
      <c r="G16" s="138"/>
      <c r="H16" s="25"/>
      <c r="I16" s="3"/>
      <c r="L16" s="538">
        <v>13</v>
      </c>
      <c r="M16" s="539">
        <v>42.599998474121001</v>
      </c>
      <c r="N16" s="539">
        <v>120.78800201416</v>
      </c>
      <c r="O16" s="539">
        <v>93.665000915527301</v>
      </c>
    </row>
    <row r="17" spans="1:15" ht="11.25" customHeight="1">
      <c r="A17" s="179"/>
      <c r="C17" s="779" t="s">
        <v>168</v>
      </c>
      <c r="D17" s="780">
        <v>16.246390000000002</v>
      </c>
      <c r="E17" s="780">
        <v>17.11</v>
      </c>
      <c r="F17" s="781">
        <f t="shared" si="0"/>
        <v>-5.0473991817650367E-2</v>
      </c>
      <c r="G17" s="138"/>
      <c r="H17" s="25"/>
      <c r="I17" s="3"/>
      <c r="L17" s="538">
        <v>14</v>
      </c>
      <c r="M17" s="539">
        <v>49.743000030517535</v>
      </c>
      <c r="N17" s="539">
        <v>125.66285814557708</v>
      </c>
      <c r="O17" s="539">
        <v>131.74585723876913</v>
      </c>
    </row>
    <row r="18" spans="1:15" ht="11.25" customHeight="1">
      <c r="A18" s="179"/>
      <c r="C18" s="776" t="s">
        <v>283</v>
      </c>
      <c r="D18" s="777">
        <v>11.75267</v>
      </c>
      <c r="E18" s="777">
        <v>15.47</v>
      </c>
      <c r="F18" s="778">
        <f t="shared" si="0"/>
        <v>-0.2402928248222366</v>
      </c>
      <c r="G18" s="138"/>
      <c r="H18" s="25"/>
      <c r="I18" s="3"/>
      <c r="L18" s="538">
        <v>15</v>
      </c>
      <c r="M18" s="539">
        <v>54.414285387311615</v>
      </c>
      <c r="N18" s="539">
        <v>127.68985639299636</v>
      </c>
      <c r="O18" s="539">
        <v>71.706143515450577</v>
      </c>
    </row>
    <row r="19" spans="1:15" ht="11.25" customHeight="1">
      <c r="A19" s="179"/>
      <c r="C19" s="779" t="s">
        <v>284</v>
      </c>
      <c r="D19" s="780">
        <v>25.16</v>
      </c>
      <c r="E19" s="780">
        <v>35.659999999999997</v>
      </c>
      <c r="F19" s="781">
        <f t="shared" si="0"/>
        <v>-0.29444756029164321</v>
      </c>
      <c r="G19" s="138"/>
      <c r="H19" s="25"/>
      <c r="I19" s="3"/>
      <c r="K19" s="537">
        <v>16</v>
      </c>
      <c r="L19" s="538">
        <v>16</v>
      </c>
      <c r="M19" s="539">
        <v>47.73</v>
      </c>
      <c r="N19" s="539">
        <v>97.4</v>
      </c>
      <c r="O19" s="539">
        <v>53.49</v>
      </c>
    </row>
    <row r="20" spans="1:15" ht="11.25" customHeight="1">
      <c r="A20" s="179"/>
      <c r="C20" s="776" t="s">
        <v>285</v>
      </c>
      <c r="D20" s="777">
        <v>1.544484</v>
      </c>
      <c r="E20" s="777">
        <v>1.59</v>
      </c>
      <c r="F20" s="778">
        <f t="shared" si="0"/>
        <v>-2.8626415094339691E-2</v>
      </c>
      <c r="G20" s="138"/>
      <c r="H20" s="25"/>
      <c r="I20" s="3"/>
      <c r="L20" s="538">
        <v>17</v>
      </c>
      <c r="M20" s="539">
        <v>42.142857687813873</v>
      </c>
      <c r="N20" s="539">
        <v>85.487143380301248</v>
      </c>
      <c r="O20" s="539">
        <v>51.424428122384178</v>
      </c>
    </row>
    <row r="21" spans="1:15" ht="11.25" customHeight="1">
      <c r="A21" s="179"/>
      <c r="C21" s="779" t="s">
        <v>155</v>
      </c>
      <c r="D21" s="780">
        <v>180.52719999999999</v>
      </c>
      <c r="E21" s="780">
        <v>242.19</v>
      </c>
      <c r="F21" s="781">
        <f t="shared" si="0"/>
        <v>-0.25460506214129403</v>
      </c>
      <c r="G21" s="138"/>
      <c r="H21" s="25"/>
      <c r="I21" s="3"/>
      <c r="L21" s="538">
        <v>18</v>
      </c>
      <c r="M21" s="539">
        <v>27.452428545270582</v>
      </c>
      <c r="N21" s="539">
        <v>62.369998931884716</v>
      </c>
      <c r="O21" s="539">
        <v>34.353571755545424</v>
      </c>
    </row>
    <row r="22" spans="1:15" ht="11.25" customHeight="1">
      <c r="A22" s="179"/>
      <c r="C22" s="776" t="s">
        <v>153</v>
      </c>
      <c r="D22" s="777">
        <v>0</v>
      </c>
      <c r="E22" s="777">
        <v>0</v>
      </c>
      <c r="F22" s="778" t="str">
        <f t="shared" si="0"/>
        <v/>
      </c>
      <c r="G22" s="138"/>
      <c r="H22" s="25"/>
      <c r="I22" s="3"/>
      <c r="L22" s="538">
        <v>19</v>
      </c>
      <c r="M22" s="539">
        <v>21.857142584664455</v>
      </c>
      <c r="N22" s="539">
        <v>58.684285300118525</v>
      </c>
      <c r="O22" s="539">
        <v>29.207143238612552</v>
      </c>
    </row>
    <row r="23" spans="1:15" ht="11.25" customHeight="1">
      <c r="A23" s="179"/>
      <c r="C23" s="779" t="s">
        <v>154</v>
      </c>
      <c r="D23" s="780">
        <v>1.8485480000000001</v>
      </c>
      <c r="E23" s="780">
        <v>1.77</v>
      </c>
      <c r="F23" s="781">
        <f t="shared" si="0"/>
        <v>4.4377401129943539E-2</v>
      </c>
      <c r="G23" s="138"/>
      <c r="H23" s="25"/>
      <c r="I23" s="3"/>
      <c r="K23" s="537">
        <v>20</v>
      </c>
      <c r="L23" s="538">
        <v>20</v>
      </c>
      <c r="M23" s="539">
        <v>19.5</v>
      </c>
      <c r="N23" s="539">
        <v>54</v>
      </c>
      <c r="O23" s="539">
        <v>22.1</v>
      </c>
    </row>
    <row r="24" spans="1:15" ht="11.25" customHeight="1">
      <c r="A24" s="179"/>
      <c r="C24" s="776" t="s">
        <v>170</v>
      </c>
      <c r="D24" s="777">
        <v>22.823229999999999</v>
      </c>
      <c r="E24" s="777">
        <v>25.14</v>
      </c>
      <c r="F24" s="778">
        <f t="shared" si="0"/>
        <v>-9.2154733492442395E-2</v>
      </c>
      <c r="G24" s="138"/>
      <c r="H24" s="26"/>
      <c r="I24" s="3"/>
      <c r="L24" s="538">
        <v>21</v>
      </c>
      <c r="M24" s="539">
        <v>19.485713958740185</v>
      </c>
      <c r="N24" s="539">
        <v>50.756999969482365</v>
      </c>
      <c r="O24" s="539">
        <v>17.473428726196214</v>
      </c>
    </row>
    <row r="25" spans="1:15" ht="11.25" customHeight="1">
      <c r="A25" s="138"/>
      <c r="C25" s="779" t="s">
        <v>160</v>
      </c>
      <c r="D25" s="780">
        <v>0.35888199999999998</v>
      </c>
      <c r="E25" s="780">
        <v>0</v>
      </c>
      <c r="F25" s="781" t="str">
        <f t="shared" si="0"/>
        <v/>
      </c>
      <c r="G25" s="163"/>
      <c r="H25" s="25"/>
      <c r="I25" s="3"/>
      <c r="L25" s="538">
        <v>22</v>
      </c>
      <c r="M25" s="539">
        <v>16.329999999999998</v>
      </c>
      <c r="N25" s="539">
        <v>46.59</v>
      </c>
      <c r="O25" s="539">
        <v>17.04</v>
      </c>
    </row>
    <row r="26" spans="1:15" ht="11.25" customHeight="1">
      <c r="A26" s="180"/>
      <c r="C26" s="776" t="s">
        <v>161</v>
      </c>
      <c r="D26" s="777">
        <v>3.4134190000000002</v>
      </c>
      <c r="E26" s="777">
        <v>0.88</v>
      </c>
      <c r="F26" s="778">
        <f t="shared" si="0"/>
        <v>2.8788852272727277</v>
      </c>
      <c r="G26" s="138"/>
      <c r="H26" s="23"/>
      <c r="I26" s="3"/>
      <c r="L26" s="538">
        <v>23</v>
      </c>
      <c r="M26" s="539">
        <v>15.18</v>
      </c>
      <c r="N26" s="539">
        <v>40.29</v>
      </c>
      <c r="O26" s="539">
        <v>22.12</v>
      </c>
    </row>
    <row r="27" spans="1:15" ht="11.25" customHeight="1">
      <c r="A27" s="138"/>
      <c r="C27" s="779" t="s">
        <v>162</v>
      </c>
      <c r="D27" s="780">
        <v>5.0709999999999998E-2</v>
      </c>
      <c r="E27" s="780">
        <v>0.3</v>
      </c>
      <c r="F27" s="781">
        <f t="shared" si="0"/>
        <v>-0.83096666666666663</v>
      </c>
      <c r="G27" s="138"/>
      <c r="H27" s="23"/>
      <c r="I27" s="3"/>
      <c r="K27" s="537">
        <v>24</v>
      </c>
      <c r="L27" s="538">
        <v>24</v>
      </c>
      <c r="M27" s="539">
        <v>15.1</v>
      </c>
      <c r="N27" s="539">
        <v>35.630000000000003</v>
      </c>
      <c r="O27" s="539">
        <v>13.87</v>
      </c>
    </row>
    <row r="28" spans="1:15" ht="11.25" customHeight="1">
      <c r="A28" s="138"/>
      <c r="C28" s="776" t="s">
        <v>163</v>
      </c>
      <c r="D28" s="777">
        <v>0</v>
      </c>
      <c r="E28" s="777">
        <v>0</v>
      </c>
      <c r="F28" s="778" t="str">
        <f t="shared" si="0"/>
        <v/>
      </c>
      <c r="G28" s="138"/>
      <c r="H28" s="23"/>
      <c r="I28" s="3"/>
      <c r="L28" s="538">
        <v>25</v>
      </c>
      <c r="M28" s="539">
        <v>18.016999930000001</v>
      </c>
      <c r="N28" s="539">
        <v>34.608428410000002</v>
      </c>
      <c r="O28" s="539">
        <v>10.78285721</v>
      </c>
    </row>
    <row r="29" spans="1:15" ht="11.25" customHeight="1">
      <c r="A29" s="163"/>
      <c r="C29" s="779" t="s">
        <v>165</v>
      </c>
      <c r="D29" s="780">
        <v>0.29756700000000003</v>
      </c>
      <c r="E29" s="780">
        <v>0.95</v>
      </c>
      <c r="F29" s="781">
        <f t="shared" si="0"/>
        <v>-0.6867715789473684</v>
      </c>
      <c r="G29" s="181"/>
      <c r="H29" s="23"/>
      <c r="I29" s="3"/>
      <c r="L29" s="538">
        <v>26</v>
      </c>
      <c r="M29" s="539">
        <v>16.489714209999999</v>
      </c>
      <c r="N29" s="539">
        <v>34.074285510000003</v>
      </c>
      <c r="O29" s="539">
        <v>9.5958572120000003</v>
      </c>
    </row>
    <row r="30" spans="1:15" ht="11.25" customHeight="1">
      <c r="A30" s="180"/>
      <c r="C30" s="782" t="s">
        <v>156</v>
      </c>
      <c r="D30" s="783">
        <v>0</v>
      </c>
      <c r="E30" s="783">
        <v>6.11</v>
      </c>
      <c r="F30" s="784">
        <f t="shared" si="0"/>
        <v>-1</v>
      </c>
      <c r="G30" s="138"/>
      <c r="H30" s="25"/>
      <c r="I30" s="3"/>
      <c r="L30" s="538">
        <v>27</v>
      </c>
      <c r="M30" s="539">
        <v>16.199999810000001</v>
      </c>
      <c r="N30" s="539">
        <v>29.599571770000001</v>
      </c>
      <c r="O30" s="539">
        <v>7.8892858370000001</v>
      </c>
    </row>
    <row r="31" spans="1:15" ht="11.25" customHeight="1">
      <c r="A31" s="137"/>
      <c r="C31" s="298" t="str">
        <f>"Cuadro N°10: Promedio de caudales en "&amp;'1. Resumen'!Q4</f>
        <v>Cuadro N°10: Promedio de caudales en enero</v>
      </c>
      <c r="D31" s="137"/>
      <c r="E31" s="137"/>
      <c r="F31" s="137"/>
      <c r="G31" s="137"/>
      <c r="H31" s="25"/>
      <c r="I31" s="6"/>
      <c r="K31" s="537">
        <v>28</v>
      </c>
      <c r="L31" s="538">
        <v>28</v>
      </c>
      <c r="M31" s="539">
        <v>12.016285760000001</v>
      </c>
      <c r="N31" s="539">
        <v>29.3955713</v>
      </c>
      <c r="O31" s="539">
        <v>7.2334286140000001</v>
      </c>
    </row>
    <row r="32" spans="1:15" ht="11.25" customHeight="1">
      <c r="A32" s="137"/>
      <c r="B32" s="137"/>
      <c r="C32" s="137"/>
      <c r="D32" s="137"/>
      <c r="E32" s="137"/>
      <c r="F32" s="137"/>
      <c r="G32" s="137"/>
      <c r="H32" s="25"/>
      <c r="I32" s="6"/>
      <c r="L32" s="538">
        <v>29</v>
      </c>
      <c r="M32" s="539">
        <v>10.423571450000001</v>
      </c>
      <c r="N32" s="539">
        <v>32.468857079999999</v>
      </c>
      <c r="O32" s="539">
        <v>6.729428564</v>
      </c>
    </row>
    <row r="33" spans="1:15" ht="11.25" customHeight="1">
      <c r="A33" s="137"/>
      <c r="B33" s="137"/>
      <c r="C33" s="137"/>
      <c r="D33" s="137"/>
      <c r="E33" s="137"/>
      <c r="F33" s="137"/>
      <c r="G33" s="137"/>
      <c r="H33" s="25"/>
      <c r="I33" s="6"/>
      <c r="L33" s="538">
        <v>30</v>
      </c>
      <c r="M33" s="539">
        <v>10.043285640000001</v>
      </c>
      <c r="N33" s="539">
        <v>32.112285890000003</v>
      </c>
      <c r="O33" s="539">
        <v>5.6338571819999999</v>
      </c>
    </row>
    <row r="34" spans="1:15" ht="11.25" customHeight="1">
      <c r="A34" s="137"/>
      <c r="B34" s="137"/>
      <c r="C34" s="137"/>
      <c r="D34" s="137"/>
      <c r="E34" s="137"/>
      <c r="F34" s="137"/>
      <c r="G34" s="137"/>
      <c r="H34" s="25"/>
      <c r="I34" s="6"/>
      <c r="L34" s="538">
        <v>31</v>
      </c>
      <c r="M34" s="539">
        <v>10.086428642272944</v>
      </c>
      <c r="N34" s="539">
        <v>29.132714407784558</v>
      </c>
      <c r="O34" s="539">
        <v>5.181999887738904</v>
      </c>
    </row>
    <row r="35" spans="1:15" ht="11.25" customHeight="1">
      <c r="A35" s="874" t="s">
        <v>471</v>
      </c>
      <c r="B35" s="874"/>
      <c r="C35" s="874"/>
      <c r="D35" s="874"/>
      <c r="E35" s="874"/>
      <c r="F35" s="874"/>
      <c r="G35" s="874"/>
      <c r="H35" s="25"/>
      <c r="I35" s="6"/>
      <c r="K35" s="537">
        <v>32</v>
      </c>
      <c r="L35" s="538">
        <v>32</v>
      </c>
      <c r="M35" s="539">
        <v>12.08228561</v>
      </c>
      <c r="N35" s="539">
        <v>34.150143489999998</v>
      </c>
      <c r="O35" s="539">
        <v>4.8032856669999999</v>
      </c>
    </row>
    <row r="36" spans="1:15" ht="11.25" customHeight="1">
      <c r="A36" s="137"/>
      <c r="B36" s="137"/>
      <c r="C36" s="137"/>
      <c r="D36" s="137"/>
      <c r="E36" s="137"/>
      <c r="F36" s="137"/>
      <c r="G36" s="137"/>
      <c r="H36" s="25"/>
      <c r="I36" s="6"/>
      <c r="L36" s="538">
        <v>33</v>
      </c>
      <c r="M36" s="539">
        <v>11.874000004359614</v>
      </c>
      <c r="N36" s="539">
        <v>35.225571223667643</v>
      </c>
      <c r="O36" s="539">
        <v>4.3821428843906904</v>
      </c>
    </row>
    <row r="37" spans="1:15" ht="11.25" customHeight="1">
      <c r="A37" s="136"/>
      <c r="B37" s="138"/>
      <c r="C37" s="138"/>
      <c r="D37" s="138"/>
      <c r="E37" s="138"/>
      <c r="F37" s="138"/>
      <c r="G37" s="138"/>
      <c r="H37" s="26"/>
      <c r="I37" s="6"/>
      <c r="L37" s="538">
        <v>34</v>
      </c>
      <c r="M37" s="539">
        <v>10.842857090000001</v>
      </c>
      <c r="N37" s="539">
        <v>35.168570930000001</v>
      </c>
      <c r="O37" s="539">
        <v>13.837000059999999</v>
      </c>
    </row>
    <row r="38" spans="1:15" ht="11.25" customHeight="1">
      <c r="A38" s="74"/>
      <c r="B38" s="73"/>
      <c r="C38" s="73"/>
      <c r="D38" s="73"/>
      <c r="E38" s="73"/>
      <c r="F38" s="73"/>
      <c r="G38" s="73"/>
      <c r="H38" s="3"/>
      <c r="I38" s="6"/>
      <c r="L38" s="538">
        <v>35</v>
      </c>
      <c r="M38" s="539">
        <v>10.48142842</v>
      </c>
      <c r="N38" s="539">
        <v>37.824428560000001</v>
      </c>
      <c r="O38" s="539">
        <v>3.922857182</v>
      </c>
    </row>
    <row r="39" spans="1:15" ht="11.25" customHeight="1">
      <c r="A39" s="74"/>
      <c r="B39" s="73"/>
      <c r="C39" s="73"/>
      <c r="D39" s="73"/>
      <c r="E39" s="73"/>
      <c r="F39" s="73"/>
      <c r="G39" s="73"/>
      <c r="H39" s="3"/>
      <c r="I39" s="10"/>
      <c r="K39" s="537">
        <v>36</v>
      </c>
      <c r="L39" s="538">
        <v>36</v>
      </c>
      <c r="M39" s="539">
        <v>11.85</v>
      </c>
      <c r="N39" s="539">
        <v>39.78</v>
      </c>
      <c r="O39" s="539">
        <v>4.9800000000000004</v>
      </c>
    </row>
    <row r="40" spans="1:15" ht="11.25" customHeight="1">
      <c r="A40" s="74"/>
      <c r="B40" s="73"/>
      <c r="C40" s="73"/>
      <c r="D40" s="73"/>
      <c r="E40" s="73"/>
      <c r="F40" s="73"/>
      <c r="G40" s="73"/>
      <c r="H40" s="3"/>
      <c r="I40" s="10"/>
      <c r="L40" s="538">
        <v>37</v>
      </c>
      <c r="M40" s="539">
        <v>12.08</v>
      </c>
      <c r="N40" s="539">
        <v>44.25</v>
      </c>
      <c r="O40" s="539">
        <v>4.92</v>
      </c>
    </row>
    <row r="41" spans="1:15" ht="11.25" customHeight="1">
      <c r="A41" s="74"/>
      <c r="B41" s="73"/>
      <c r="C41" s="73"/>
      <c r="D41" s="73"/>
      <c r="E41" s="73"/>
      <c r="F41" s="73"/>
      <c r="G41" s="73"/>
      <c r="H41" s="3"/>
      <c r="I41" s="7"/>
      <c r="L41" s="538">
        <v>38</v>
      </c>
      <c r="M41" s="539">
        <v>11.88371427</v>
      </c>
      <c r="N41" s="539">
        <v>41.311858039999997</v>
      </c>
      <c r="O41" s="539">
        <v>4.6447142870000002</v>
      </c>
    </row>
    <row r="42" spans="1:15" ht="11.25" customHeight="1">
      <c r="A42" s="74"/>
      <c r="B42" s="73"/>
      <c r="C42" s="73"/>
      <c r="D42" s="73"/>
      <c r="E42" s="73"/>
      <c r="F42" s="73"/>
      <c r="G42" s="73"/>
      <c r="H42" s="3"/>
      <c r="I42" s="7"/>
      <c r="K42" s="537">
        <v>39</v>
      </c>
      <c r="L42" s="538">
        <v>39</v>
      </c>
      <c r="M42" s="539">
        <v>13.06</v>
      </c>
      <c r="N42" s="539">
        <v>41.13</v>
      </c>
      <c r="O42" s="539">
        <v>4.2699999999999996</v>
      </c>
    </row>
    <row r="43" spans="1:15" ht="11.25" customHeight="1">
      <c r="A43" s="74"/>
      <c r="B43" s="73"/>
      <c r="C43" s="73"/>
      <c r="D43" s="73"/>
      <c r="E43" s="73"/>
      <c r="F43" s="73"/>
      <c r="G43" s="73"/>
      <c r="H43" s="3"/>
      <c r="I43" s="7"/>
      <c r="L43" s="538">
        <v>40</v>
      </c>
      <c r="M43" s="539">
        <v>15.945571764285715</v>
      </c>
      <c r="N43" s="539">
        <v>46.466000694285704</v>
      </c>
      <c r="O43" s="539">
        <v>5.3634285927142864</v>
      </c>
    </row>
    <row r="44" spans="1:15" ht="11.25" customHeight="1">
      <c r="A44" s="74"/>
      <c r="B44" s="73"/>
      <c r="C44" s="73"/>
      <c r="D44" s="73"/>
      <c r="E44" s="73"/>
      <c r="F44" s="73"/>
      <c r="G44" s="73"/>
      <c r="H44" s="6"/>
      <c r="I44" s="10"/>
      <c r="L44" s="538">
        <v>41</v>
      </c>
      <c r="M44" s="539">
        <v>15.848856789725129</v>
      </c>
      <c r="N44" s="539">
        <v>37.273714882986837</v>
      </c>
      <c r="O44" s="539">
        <v>6.9682856968470812</v>
      </c>
    </row>
    <row r="45" spans="1:15" ht="11.25" customHeight="1">
      <c r="A45" s="74"/>
      <c r="B45" s="73"/>
      <c r="C45" s="73"/>
      <c r="D45" s="73"/>
      <c r="E45" s="73"/>
      <c r="F45" s="73"/>
      <c r="G45" s="73"/>
      <c r="H45" s="3"/>
      <c r="I45" s="10"/>
      <c r="L45" s="538">
        <v>42</v>
      </c>
      <c r="M45" s="539">
        <v>15.549142972857144</v>
      </c>
      <c r="N45" s="539">
        <v>48.572000228571433</v>
      </c>
      <c r="O45" s="539">
        <v>11.100428648285714</v>
      </c>
    </row>
    <row r="46" spans="1:15" ht="11.25" customHeight="1">
      <c r="A46" s="74"/>
      <c r="B46" s="73"/>
      <c r="C46" s="73"/>
      <c r="D46" s="73"/>
      <c r="E46" s="73"/>
      <c r="F46" s="73"/>
      <c r="G46" s="73"/>
      <c r="H46" s="3"/>
      <c r="I46" s="10"/>
      <c r="K46" s="537">
        <v>43</v>
      </c>
      <c r="L46" s="538">
        <v>43</v>
      </c>
      <c r="M46" s="539">
        <v>13.17</v>
      </c>
      <c r="N46" s="539">
        <v>35.32</v>
      </c>
      <c r="O46" s="539">
        <v>6.01</v>
      </c>
    </row>
    <row r="47" spans="1:15" ht="11.25" customHeight="1">
      <c r="A47" s="74"/>
      <c r="B47" s="73"/>
      <c r="C47" s="73"/>
      <c r="D47" s="73"/>
      <c r="E47" s="73"/>
      <c r="F47" s="73"/>
      <c r="G47" s="73"/>
      <c r="H47" s="11"/>
      <c r="I47" s="11"/>
      <c r="L47" s="538">
        <v>44</v>
      </c>
      <c r="M47" s="539">
        <v>13.18</v>
      </c>
      <c r="N47" s="539">
        <v>36.83</v>
      </c>
      <c r="O47" s="539">
        <v>4.57</v>
      </c>
    </row>
    <row r="48" spans="1:15" ht="11.25" customHeight="1">
      <c r="A48" s="74"/>
      <c r="B48" s="73"/>
      <c r="C48" s="73"/>
      <c r="D48" s="73"/>
      <c r="E48" s="73"/>
      <c r="F48" s="73"/>
      <c r="G48" s="73"/>
      <c r="H48" s="11"/>
      <c r="I48" s="11"/>
      <c r="L48" s="538">
        <v>45</v>
      </c>
      <c r="M48" s="539">
        <v>13.49</v>
      </c>
      <c r="N48" s="539">
        <v>39.520000000000003</v>
      </c>
      <c r="O48" s="539">
        <v>4.83</v>
      </c>
    </row>
    <row r="49" spans="1:15" ht="11.25" customHeight="1">
      <c r="A49" s="74"/>
      <c r="B49" s="73"/>
      <c r="C49" s="73"/>
      <c r="D49" s="73"/>
      <c r="E49" s="73"/>
      <c r="F49" s="73"/>
      <c r="G49" s="73"/>
      <c r="H49" s="11"/>
      <c r="I49" s="11"/>
      <c r="L49" s="538">
        <v>46</v>
      </c>
      <c r="M49" s="539">
        <v>15.4</v>
      </c>
      <c r="N49" s="539">
        <v>53.38</v>
      </c>
      <c r="O49" s="539">
        <v>3.73</v>
      </c>
    </row>
    <row r="50" spans="1:15" ht="11.25" customHeight="1">
      <c r="A50" s="74"/>
      <c r="B50" s="73"/>
      <c r="C50" s="73"/>
      <c r="D50" s="73"/>
      <c r="E50" s="73"/>
      <c r="F50" s="73"/>
      <c r="G50" s="73"/>
      <c r="H50" s="11"/>
      <c r="I50" s="11"/>
      <c r="L50" s="538">
        <v>47</v>
      </c>
      <c r="M50" s="539">
        <v>16.408999999999999</v>
      </c>
      <c r="N50" s="539">
        <v>61.853000000000002</v>
      </c>
      <c r="O50" s="539">
        <v>2.5211429999999999</v>
      </c>
    </row>
    <row r="51" spans="1:15" ht="11.25" customHeight="1">
      <c r="A51" s="74"/>
      <c r="B51" s="73"/>
      <c r="C51" s="73"/>
      <c r="D51" s="73"/>
      <c r="E51" s="73"/>
      <c r="F51" s="73"/>
      <c r="G51" s="73"/>
      <c r="H51" s="11"/>
      <c r="I51" s="11"/>
      <c r="K51" s="537">
        <v>48</v>
      </c>
      <c r="L51" s="538">
        <v>48</v>
      </c>
      <c r="M51" s="539">
        <v>16.328857422857144</v>
      </c>
      <c r="N51" s="539">
        <v>65.330427987142869</v>
      </c>
      <c r="O51" s="539">
        <v>3.571428503285714</v>
      </c>
    </row>
    <row r="52" spans="1:15" ht="11.25" customHeight="1">
      <c r="A52" s="74"/>
      <c r="B52" s="73"/>
      <c r="C52" s="73"/>
      <c r="D52" s="73"/>
      <c r="E52" s="73"/>
      <c r="F52" s="73"/>
      <c r="G52" s="73"/>
      <c r="H52" s="11"/>
      <c r="I52" s="11"/>
      <c r="L52" s="538">
        <v>49</v>
      </c>
      <c r="M52" s="539">
        <v>20.236285890000001</v>
      </c>
      <c r="N52" s="539">
        <v>66.680000000000007</v>
      </c>
      <c r="O52" s="539">
        <v>6.1</v>
      </c>
    </row>
    <row r="53" spans="1:15" ht="11.25" customHeight="1">
      <c r="A53" s="74"/>
      <c r="B53" s="73"/>
      <c r="C53" s="73"/>
      <c r="D53" s="73"/>
      <c r="E53" s="73"/>
      <c r="F53" s="73"/>
      <c r="G53" s="73"/>
      <c r="H53" s="11"/>
      <c r="I53" s="11"/>
      <c r="L53" s="538">
        <v>50</v>
      </c>
      <c r="M53" s="539">
        <v>19.809999999999999</v>
      </c>
      <c r="N53" s="539">
        <v>61.31</v>
      </c>
      <c r="O53" s="539">
        <v>6.69</v>
      </c>
    </row>
    <row r="54" spans="1:15" ht="11.25" customHeight="1">
      <c r="A54" s="74"/>
      <c r="B54" s="73"/>
      <c r="C54" s="73"/>
      <c r="D54" s="73"/>
      <c r="E54" s="73"/>
      <c r="F54" s="73"/>
      <c r="G54" s="73"/>
      <c r="H54" s="11"/>
      <c r="I54" s="11"/>
      <c r="L54" s="538">
        <v>51</v>
      </c>
      <c r="M54" s="539">
        <v>21.91</v>
      </c>
      <c r="N54" s="539">
        <v>70.790000000000006</v>
      </c>
      <c r="O54" s="539">
        <v>13.15</v>
      </c>
    </row>
    <row r="55" spans="1:15" ht="12.75">
      <c r="A55" s="74"/>
      <c r="B55" s="73"/>
      <c r="C55" s="73"/>
      <c r="D55" s="73"/>
      <c r="E55" s="73"/>
      <c r="F55" s="73"/>
      <c r="G55" s="73"/>
      <c r="H55" s="11"/>
      <c r="I55" s="11"/>
      <c r="L55" s="538">
        <v>52</v>
      </c>
      <c r="M55" s="539">
        <v>22</v>
      </c>
      <c r="N55" s="539">
        <v>77.434859137142865</v>
      </c>
      <c r="O55" s="539">
        <v>17.75700037857143</v>
      </c>
    </row>
    <row r="56" spans="1:15" ht="12.75">
      <c r="A56" s="74"/>
      <c r="B56" s="73"/>
      <c r="C56" s="73"/>
      <c r="D56" s="73"/>
      <c r="E56" s="73"/>
      <c r="F56" s="73"/>
      <c r="G56" s="73"/>
      <c r="H56" s="11"/>
      <c r="I56" s="11"/>
      <c r="J56" s="25">
        <v>2017</v>
      </c>
      <c r="K56" s="537">
        <v>1</v>
      </c>
      <c r="L56" s="538">
        <v>1</v>
      </c>
      <c r="M56" s="539">
        <v>41.55</v>
      </c>
      <c r="N56" s="539">
        <v>103.58</v>
      </c>
      <c r="O56" s="539">
        <v>29.67</v>
      </c>
    </row>
    <row r="57" spans="1:15" ht="12.75">
      <c r="A57" s="74"/>
      <c r="B57" s="73"/>
      <c r="C57" s="73"/>
      <c r="D57" s="73"/>
      <c r="E57" s="73"/>
      <c r="F57" s="73"/>
      <c r="G57" s="73"/>
      <c r="H57" s="11"/>
      <c r="I57" s="11"/>
      <c r="L57" s="538">
        <v>2</v>
      </c>
      <c r="M57" s="539">
        <v>39.6</v>
      </c>
      <c r="N57" s="539">
        <v>105.01</v>
      </c>
      <c r="O57" s="539">
        <v>51.2</v>
      </c>
    </row>
    <row r="58" spans="1:15" ht="12.75">
      <c r="A58" s="74"/>
      <c r="B58" s="73"/>
      <c r="C58" s="73"/>
      <c r="D58" s="73"/>
      <c r="E58" s="73"/>
      <c r="F58" s="73"/>
      <c r="G58" s="73"/>
      <c r="H58" s="11"/>
      <c r="I58" s="11"/>
      <c r="L58" s="538">
        <v>3</v>
      </c>
      <c r="M58" s="539">
        <v>73.650000000000006</v>
      </c>
      <c r="N58" s="539">
        <v>137.41</v>
      </c>
      <c r="O58" s="539">
        <v>43.26</v>
      </c>
    </row>
    <row r="59" spans="1:15" ht="12.75">
      <c r="A59" s="74"/>
      <c r="B59" s="73"/>
      <c r="C59" s="73"/>
      <c r="D59" s="73"/>
      <c r="E59" s="73"/>
      <c r="F59" s="73"/>
      <c r="G59" s="73"/>
      <c r="H59" s="11"/>
      <c r="I59" s="11"/>
      <c r="K59" s="537">
        <v>4</v>
      </c>
      <c r="L59" s="538">
        <v>4</v>
      </c>
      <c r="M59" s="539">
        <v>65.03</v>
      </c>
      <c r="N59" s="539">
        <v>127.83</v>
      </c>
      <c r="O59" s="539">
        <v>32.72</v>
      </c>
    </row>
    <row r="60" spans="1:15" ht="12.75">
      <c r="A60" s="74"/>
      <c r="B60" s="73"/>
      <c r="C60" s="73"/>
      <c r="D60" s="73"/>
      <c r="E60" s="73"/>
      <c r="F60" s="73"/>
      <c r="G60" s="73"/>
      <c r="H60" s="11"/>
      <c r="I60" s="11"/>
      <c r="L60" s="538">
        <v>5</v>
      </c>
      <c r="M60" s="539">
        <v>56.95</v>
      </c>
      <c r="N60" s="539">
        <v>97.31</v>
      </c>
      <c r="O60" s="539">
        <v>48.46</v>
      </c>
    </row>
    <row r="61" spans="1:15" ht="12.75">
      <c r="A61" s="298" t="s">
        <v>841</v>
      </c>
      <c r="B61" s="73"/>
      <c r="C61" s="73"/>
      <c r="D61" s="73"/>
      <c r="E61" s="73"/>
      <c r="F61" s="73"/>
      <c r="G61" s="73"/>
      <c r="H61" s="11"/>
      <c r="I61" s="11"/>
      <c r="L61" s="538">
        <v>6</v>
      </c>
      <c r="M61" s="539">
        <v>61.87</v>
      </c>
      <c r="N61" s="539">
        <v>123.44</v>
      </c>
      <c r="O61" s="539">
        <v>72.52</v>
      </c>
    </row>
    <row r="62" spans="1:15">
      <c r="L62" s="538">
        <v>7</v>
      </c>
      <c r="M62" s="539">
        <v>77.569999999999993</v>
      </c>
      <c r="N62" s="539">
        <v>145.02000000000001</v>
      </c>
      <c r="O62" s="539">
        <v>59.16</v>
      </c>
    </row>
    <row r="63" spans="1:15">
      <c r="K63" s="537">
        <v>8</v>
      </c>
      <c r="L63" s="538">
        <v>8</v>
      </c>
      <c r="M63" s="539">
        <v>86.94</v>
      </c>
      <c r="N63" s="539">
        <v>175.03</v>
      </c>
      <c r="O63" s="539">
        <v>24.36</v>
      </c>
    </row>
    <row r="64" spans="1:15">
      <c r="L64" s="538">
        <v>9</v>
      </c>
      <c r="M64" s="539">
        <v>85.13</v>
      </c>
      <c r="N64" s="539">
        <v>206.14</v>
      </c>
      <c r="O64" s="539">
        <v>39.07</v>
      </c>
    </row>
    <row r="65" spans="11:15">
      <c r="L65" s="538">
        <v>10</v>
      </c>
      <c r="M65" s="539">
        <v>84.78</v>
      </c>
      <c r="N65" s="539">
        <v>270.17</v>
      </c>
      <c r="O65" s="539">
        <v>109.16</v>
      </c>
    </row>
    <row r="66" spans="11:15">
      <c r="L66" s="538">
        <v>11</v>
      </c>
      <c r="M66" s="539">
        <v>84.78</v>
      </c>
      <c r="N66" s="539">
        <v>376.42</v>
      </c>
      <c r="O66" s="539">
        <v>188.18</v>
      </c>
    </row>
    <row r="67" spans="11:15">
      <c r="K67" s="537">
        <v>12</v>
      </c>
      <c r="L67" s="538">
        <v>12</v>
      </c>
      <c r="M67" s="539">
        <v>106.16</v>
      </c>
      <c r="N67" s="539">
        <v>351.57</v>
      </c>
      <c r="O67" s="539">
        <v>159.6</v>
      </c>
    </row>
    <row r="68" spans="11:15">
      <c r="L68" s="538">
        <v>13</v>
      </c>
      <c r="M68" s="539">
        <v>101.71</v>
      </c>
      <c r="N68" s="539">
        <v>384.37</v>
      </c>
      <c r="O68" s="539">
        <v>161.77000000000001</v>
      </c>
    </row>
    <row r="69" spans="11:15">
      <c r="L69" s="538">
        <v>14</v>
      </c>
      <c r="M69" s="539">
        <v>83.1</v>
      </c>
      <c r="N69" s="539">
        <v>337.84</v>
      </c>
      <c r="O69" s="539">
        <v>115.43</v>
      </c>
    </row>
    <row r="70" spans="11:15">
      <c r="L70" s="538">
        <v>15</v>
      </c>
      <c r="M70" s="539">
        <v>61.23</v>
      </c>
      <c r="N70" s="539">
        <v>282.32</v>
      </c>
      <c r="O70" s="539">
        <v>98.92</v>
      </c>
    </row>
    <row r="71" spans="11:15">
      <c r="K71" s="537">
        <v>16</v>
      </c>
      <c r="L71" s="538">
        <v>16</v>
      </c>
      <c r="M71" s="539">
        <v>49.8</v>
      </c>
      <c r="N71" s="539">
        <v>191.65</v>
      </c>
      <c r="O71" s="539">
        <v>82.48</v>
      </c>
    </row>
    <row r="72" spans="11:15">
      <c r="L72" s="538">
        <v>17</v>
      </c>
      <c r="M72" s="539">
        <v>40.21</v>
      </c>
      <c r="N72" s="539">
        <v>160.35</v>
      </c>
      <c r="O72" s="539">
        <v>77.02</v>
      </c>
    </row>
    <row r="73" spans="11:15">
      <c r="L73" s="538">
        <v>18</v>
      </c>
      <c r="M73" s="539">
        <v>43.46</v>
      </c>
      <c r="N73" s="539">
        <v>136.65</v>
      </c>
      <c r="O73" s="539">
        <v>62.63</v>
      </c>
    </row>
    <row r="74" spans="11:15">
      <c r="L74" s="538">
        <v>19</v>
      </c>
      <c r="M74" s="539">
        <v>35.65</v>
      </c>
      <c r="N74" s="539">
        <v>135.97</v>
      </c>
      <c r="O74" s="539">
        <v>93.03</v>
      </c>
    </row>
    <row r="75" spans="11:15">
      <c r="K75" s="537">
        <v>20</v>
      </c>
      <c r="L75" s="538">
        <v>20</v>
      </c>
      <c r="M75" s="539">
        <v>26.22</v>
      </c>
      <c r="N75" s="539">
        <v>135.66</v>
      </c>
      <c r="O75" s="539">
        <v>72.349999999999994</v>
      </c>
    </row>
    <row r="76" spans="11:15">
      <c r="L76" s="538">
        <v>21</v>
      </c>
      <c r="M76" s="539">
        <v>27.95</v>
      </c>
      <c r="N76" s="539">
        <v>113.82</v>
      </c>
      <c r="O76" s="539">
        <v>90.75</v>
      </c>
    </row>
    <row r="77" spans="11:15">
      <c r="L77" s="538">
        <v>22</v>
      </c>
      <c r="M77" s="539">
        <v>32.409999999999997</v>
      </c>
      <c r="N77" s="539">
        <v>64.03</v>
      </c>
      <c r="O77" s="539">
        <v>53.02</v>
      </c>
    </row>
    <row r="78" spans="11:15">
      <c r="L78" s="538">
        <v>23</v>
      </c>
      <c r="M78" s="539">
        <v>28.93</v>
      </c>
      <c r="N78" s="539">
        <v>53.15</v>
      </c>
      <c r="O78" s="539">
        <v>32.43</v>
      </c>
    </row>
    <row r="79" spans="11:15">
      <c r="K79" s="537">
        <v>24</v>
      </c>
      <c r="L79" s="538">
        <v>24</v>
      </c>
      <c r="M79" s="539">
        <v>26.59</v>
      </c>
      <c r="N79" s="539">
        <v>45.98</v>
      </c>
      <c r="O79" s="539">
        <v>27.75</v>
      </c>
    </row>
    <row r="80" spans="11:15">
      <c r="L80" s="538">
        <v>25</v>
      </c>
      <c r="M80" s="539">
        <v>23.61</v>
      </c>
      <c r="N80" s="539">
        <v>38.68</v>
      </c>
      <c r="O80" s="539">
        <v>24.81</v>
      </c>
    </row>
    <row r="81" spans="11:15">
      <c r="L81" s="538">
        <v>26</v>
      </c>
      <c r="M81" s="539">
        <v>24.94</v>
      </c>
      <c r="N81" s="539">
        <v>34.68</v>
      </c>
      <c r="O81" s="539">
        <v>21.81</v>
      </c>
    </row>
    <row r="82" spans="11:15">
      <c r="L82" s="538">
        <v>27</v>
      </c>
      <c r="M82" s="539">
        <v>25.54</v>
      </c>
      <c r="N82" s="539">
        <v>31.72</v>
      </c>
      <c r="O82" s="539">
        <v>18.649999999999999</v>
      </c>
    </row>
    <row r="83" spans="11:15">
      <c r="K83" s="537">
        <v>28</v>
      </c>
      <c r="L83" s="538">
        <v>28</v>
      </c>
      <c r="M83" s="539">
        <v>23.56</v>
      </c>
      <c r="N83" s="539">
        <v>29.25</v>
      </c>
      <c r="O83" s="539">
        <v>14.27</v>
      </c>
    </row>
    <row r="84" spans="11:15">
      <c r="L84" s="538">
        <v>29</v>
      </c>
      <c r="M84" s="539">
        <v>22.4</v>
      </c>
      <c r="N84" s="539">
        <v>29.53</v>
      </c>
      <c r="O84" s="539">
        <v>11.51</v>
      </c>
    </row>
    <row r="85" spans="11:15">
      <c r="L85" s="538">
        <v>30</v>
      </c>
      <c r="M85" s="539">
        <v>21.29</v>
      </c>
      <c r="N85" s="539">
        <v>27.62</v>
      </c>
      <c r="O85" s="539">
        <v>9.7200000000000006</v>
      </c>
    </row>
    <row r="86" spans="11:15">
      <c r="L86" s="538">
        <v>31</v>
      </c>
      <c r="M86" s="539">
        <v>19.34</v>
      </c>
      <c r="N86" s="539">
        <v>27.99</v>
      </c>
      <c r="O86" s="539">
        <v>8.09</v>
      </c>
    </row>
    <row r="87" spans="11:15">
      <c r="K87" s="537">
        <v>32</v>
      </c>
      <c r="L87" s="538">
        <v>32</v>
      </c>
      <c r="M87" s="539">
        <v>19.649999999999999</v>
      </c>
      <c r="N87" s="539">
        <v>31.42</v>
      </c>
      <c r="O87" s="539">
        <v>7.62</v>
      </c>
    </row>
    <row r="88" spans="11:15">
      <c r="L88" s="538">
        <v>33</v>
      </c>
      <c r="M88" s="539">
        <v>18.420000000000002</v>
      </c>
      <c r="N88" s="539">
        <v>29.71</v>
      </c>
      <c r="O88" s="539">
        <v>9.5500000000000007</v>
      </c>
    </row>
    <row r="89" spans="11:15">
      <c r="L89" s="538">
        <v>34</v>
      </c>
      <c r="M89" s="539">
        <v>17.170000000000002</v>
      </c>
      <c r="N89" s="539">
        <v>30.51</v>
      </c>
      <c r="O89" s="539">
        <v>10.75</v>
      </c>
    </row>
    <row r="90" spans="11:15">
      <c r="L90" s="538">
        <v>35</v>
      </c>
      <c r="M90" s="539">
        <v>17.47</v>
      </c>
      <c r="N90" s="539">
        <v>27.5</v>
      </c>
      <c r="O90" s="539">
        <v>8.31</v>
      </c>
    </row>
    <row r="91" spans="11:15">
      <c r="K91" s="537">
        <v>36</v>
      </c>
      <c r="L91" s="538">
        <v>36</v>
      </c>
      <c r="M91" s="539">
        <v>13.42</v>
      </c>
      <c r="N91" s="539">
        <v>26.21</v>
      </c>
      <c r="O91" s="539">
        <v>6.53</v>
      </c>
    </row>
    <row r="92" spans="11:15">
      <c r="L92" s="538">
        <v>37</v>
      </c>
      <c r="M92" s="539">
        <v>11.2</v>
      </c>
      <c r="N92" s="539">
        <v>29.98</v>
      </c>
      <c r="O92" s="539">
        <v>9.7799999999999994</v>
      </c>
    </row>
    <row r="93" spans="11:15">
      <c r="L93" s="538">
        <v>38</v>
      </c>
      <c r="M93" s="539">
        <v>11</v>
      </c>
      <c r="N93" s="539">
        <v>34.369999999999997</v>
      </c>
      <c r="O93" s="539">
        <v>7.47</v>
      </c>
    </row>
    <row r="94" spans="11:15">
      <c r="K94" s="537">
        <v>39</v>
      </c>
      <c r="L94" s="538">
        <v>39</v>
      </c>
      <c r="M94" s="539">
        <v>11.14</v>
      </c>
      <c r="N94" s="539">
        <v>42.17</v>
      </c>
      <c r="O94" s="539">
        <v>7.49</v>
      </c>
    </row>
    <row r="95" spans="11:15">
      <c r="L95" s="538">
        <v>40</v>
      </c>
      <c r="M95" s="539">
        <v>12.8</v>
      </c>
      <c r="N95" s="539">
        <v>37.270000000000003</v>
      </c>
      <c r="O95" s="539">
        <v>15.47</v>
      </c>
    </row>
    <row r="96" spans="11:15">
      <c r="L96" s="538">
        <v>41</v>
      </c>
      <c r="M96" s="539">
        <v>14.41</v>
      </c>
      <c r="N96" s="539">
        <v>40.04</v>
      </c>
      <c r="O96" s="539">
        <v>18</v>
      </c>
    </row>
    <row r="97" spans="10:15">
      <c r="L97" s="538">
        <v>42</v>
      </c>
      <c r="M97" s="539">
        <v>15.87</v>
      </c>
      <c r="N97" s="539">
        <v>35.79</v>
      </c>
      <c r="O97" s="539">
        <v>12.74</v>
      </c>
    </row>
    <row r="98" spans="10:15">
      <c r="K98" s="537">
        <v>43</v>
      </c>
      <c r="L98" s="538">
        <v>43</v>
      </c>
      <c r="M98" s="539">
        <v>19.61</v>
      </c>
      <c r="N98" s="539">
        <v>50.36</v>
      </c>
      <c r="O98" s="539">
        <v>30.75</v>
      </c>
    </row>
    <row r="99" spans="10:15">
      <c r="L99" s="538">
        <v>44</v>
      </c>
      <c r="M99" s="539">
        <v>21.85</v>
      </c>
      <c r="N99" s="539">
        <v>54.94</v>
      </c>
      <c r="O99" s="539">
        <v>23.58</v>
      </c>
    </row>
    <row r="100" spans="10:15">
      <c r="L100" s="538">
        <v>45</v>
      </c>
      <c r="M100" s="539">
        <v>16.79</v>
      </c>
      <c r="N100" s="539">
        <v>41.16</v>
      </c>
      <c r="O100" s="539">
        <v>11.77</v>
      </c>
    </row>
    <row r="101" spans="10:15">
      <c r="L101" s="538">
        <v>46</v>
      </c>
      <c r="M101" s="539">
        <v>16.010000000000002</v>
      </c>
      <c r="N101" s="539">
        <v>42.65</v>
      </c>
      <c r="O101" s="539">
        <v>9.33</v>
      </c>
    </row>
    <row r="102" spans="10:15">
      <c r="L102" s="538">
        <v>47</v>
      </c>
      <c r="M102" s="539">
        <v>14.72</v>
      </c>
      <c r="N102" s="539">
        <v>39.76</v>
      </c>
      <c r="O102" s="539">
        <v>8.19</v>
      </c>
    </row>
    <row r="103" spans="10:15">
      <c r="K103" s="537">
        <v>48</v>
      </c>
      <c r="L103" s="538">
        <v>48</v>
      </c>
      <c r="M103" s="539">
        <v>18.932000297142856</v>
      </c>
      <c r="N103" s="539">
        <v>47.388000487142854</v>
      </c>
      <c r="O103" s="539">
        <v>19.661285946</v>
      </c>
    </row>
    <row r="104" spans="10:15">
      <c r="L104" s="538">
        <v>49</v>
      </c>
      <c r="M104" s="539">
        <v>28.48371397</v>
      </c>
      <c r="N104" s="539">
        <v>78.087428497142852</v>
      </c>
      <c r="O104" s="539">
        <v>19.181428364285715</v>
      </c>
    </row>
    <row r="105" spans="10:15">
      <c r="L105" s="538">
        <v>50</v>
      </c>
      <c r="M105" s="539">
        <v>32.583286012857144</v>
      </c>
      <c r="N105" s="539">
        <v>69.764142717142846</v>
      </c>
      <c r="O105" s="539">
        <v>23.7245715</v>
      </c>
    </row>
    <row r="106" spans="10:15">
      <c r="L106" s="538">
        <v>51</v>
      </c>
      <c r="M106" s="539">
        <v>34.501856668571428</v>
      </c>
      <c r="N106" s="539">
        <v>71.14499991142857</v>
      </c>
      <c r="O106" s="539">
        <v>26.158142907142857</v>
      </c>
    </row>
    <row r="107" spans="10:15">
      <c r="K107" s="537">
        <v>52</v>
      </c>
      <c r="L107" s="538">
        <v>52</v>
      </c>
      <c r="M107" s="539">
        <v>27.781857355714287</v>
      </c>
      <c r="N107" s="539">
        <v>83.196000228571435</v>
      </c>
      <c r="O107" s="539">
        <v>21.776999882857144</v>
      </c>
    </row>
    <row r="108" spans="10:15">
      <c r="J108" s="25">
        <v>2018</v>
      </c>
      <c r="K108" s="537">
        <v>1</v>
      </c>
      <c r="L108" s="538">
        <v>1</v>
      </c>
      <c r="M108" s="539">
        <v>29.44</v>
      </c>
      <c r="N108" s="539">
        <v>69.087142857142865</v>
      </c>
      <c r="O108" s="539">
        <v>15.747142857142856</v>
      </c>
    </row>
    <row r="109" spans="10:15">
      <c r="L109" s="538">
        <v>2</v>
      </c>
      <c r="M109" s="539">
        <v>42.880857194285717</v>
      </c>
      <c r="N109" s="539">
        <v>96.785858138571413</v>
      </c>
      <c r="O109" s="539">
        <v>37.6</v>
      </c>
    </row>
    <row r="110" spans="10:15">
      <c r="L110" s="538">
        <v>3</v>
      </c>
      <c r="M110" s="539">
        <v>74.002572194285705</v>
      </c>
      <c r="N110" s="539">
        <v>158.17728531428571</v>
      </c>
      <c r="O110" s="539">
        <v>101.26128550142856</v>
      </c>
    </row>
    <row r="111" spans="10:15">
      <c r="K111" s="537">
        <v>4</v>
      </c>
      <c r="L111" s="538">
        <v>4</v>
      </c>
      <c r="M111" s="539">
        <v>77.812570845714291</v>
      </c>
      <c r="N111" s="539">
        <v>167.02357267142858</v>
      </c>
      <c r="O111" s="539">
        <v>77.354000085714276</v>
      </c>
    </row>
    <row r="112" spans="10:15">
      <c r="L112" s="538">
        <v>5</v>
      </c>
      <c r="M112" s="539">
        <v>61.531714848571433</v>
      </c>
      <c r="N112" s="539">
        <v>113.19585745142855</v>
      </c>
      <c r="O112" s="539">
        <v>30.667142595714285</v>
      </c>
    </row>
    <row r="113" spans="11:15">
      <c r="L113" s="538">
        <v>6</v>
      </c>
      <c r="M113" s="539">
        <v>54.024142672857138</v>
      </c>
      <c r="N113" s="539">
        <v>88.535714287142852</v>
      </c>
      <c r="O113" s="539">
        <v>32.444142750000005</v>
      </c>
    </row>
    <row r="114" spans="11:15">
      <c r="L114" s="538">
        <v>7</v>
      </c>
      <c r="M114" s="539">
        <v>59.271427155714285</v>
      </c>
      <c r="N114" s="539">
        <v>99.37822619047617</v>
      </c>
      <c r="O114" s="539">
        <v>30.338148809523812</v>
      </c>
    </row>
    <row r="115" spans="11:15">
      <c r="K115" s="537">
        <v>8</v>
      </c>
      <c r="L115" s="538">
        <v>8</v>
      </c>
      <c r="M115" s="539">
        <v>78.025571005714284</v>
      </c>
      <c r="N115" s="539">
        <v>140.28</v>
      </c>
      <c r="O115" s="539">
        <v>62.97</v>
      </c>
    </row>
    <row r="116" spans="11:15">
      <c r="L116" s="538">
        <v>9</v>
      </c>
      <c r="M116" s="539">
        <v>61.11871501571428</v>
      </c>
      <c r="N116" s="539">
        <v>102.99642836285715</v>
      </c>
      <c r="O116" s="539">
        <v>31.244571685714288</v>
      </c>
    </row>
    <row r="117" spans="11:15">
      <c r="L117" s="538">
        <v>10</v>
      </c>
      <c r="M117" s="539">
        <v>84.500714981428573</v>
      </c>
      <c r="N117" s="539">
        <v>175.90485927142853</v>
      </c>
      <c r="O117" s="539">
        <v>36.038285662857142</v>
      </c>
    </row>
    <row r="118" spans="11:15">
      <c r="L118" s="538">
        <v>11</v>
      </c>
      <c r="M118" s="539">
        <v>83.643855504285725</v>
      </c>
      <c r="N118" s="539">
        <v>169.64671761428571</v>
      </c>
      <c r="O118" s="539">
        <v>25.076428275714282</v>
      </c>
    </row>
    <row r="119" spans="11:15">
      <c r="K119" s="537">
        <v>12</v>
      </c>
      <c r="L119" s="538">
        <v>12</v>
      </c>
      <c r="M119" s="539">
        <v>98.99</v>
      </c>
      <c r="N119" s="539">
        <v>198.22</v>
      </c>
      <c r="O119" s="539">
        <v>24.63</v>
      </c>
    </row>
    <row r="120" spans="11:15">
      <c r="L120" s="538">
        <v>13</v>
      </c>
      <c r="M120" s="539">
        <v>106.64928652857144</v>
      </c>
      <c r="N120" s="539">
        <v>312.6314304857143</v>
      </c>
      <c r="O120" s="539">
        <v>38.701428550000003</v>
      </c>
    </row>
    <row r="121" spans="11:15">
      <c r="L121" s="538">
        <v>14</v>
      </c>
      <c r="M121" s="539">
        <v>86.488428389999996</v>
      </c>
      <c r="N121" s="539">
        <v>235.31328691428573</v>
      </c>
      <c r="O121" s="539">
        <v>94.596427907142839</v>
      </c>
    </row>
    <row r="122" spans="11:15">
      <c r="L122" s="538">
        <v>15</v>
      </c>
      <c r="M122" s="539">
        <v>88.217001778571429</v>
      </c>
      <c r="N122" s="539">
        <v>294.1721409428572</v>
      </c>
      <c r="O122" s="539">
        <v>92.07</v>
      </c>
    </row>
    <row r="123" spans="11:15">
      <c r="K123" s="537">
        <v>16</v>
      </c>
      <c r="L123" s="538">
        <v>16</v>
      </c>
      <c r="M123" s="539">
        <v>65.84</v>
      </c>
      <c r="N123" s="539">
        <v>149.18</v>
      </c>
      <c r="O123" s="539">
        <v>45.4</v>
      </c>
    </row>
    <row r="124" spans="11:15">
      <c r="L124" s="538">
        <v>17</v>
      </c>
      <c r="M124" s="539">
        <v>51.88</v>
      </c>
      <c r="N124" s="539">
        <v>104.35</v>
      </c>
      <c r="O124" s="539">
        <v>41.47</v>
      </c>
    </row>
    <row r="125" spans="11:15">
      <c r="L125" s="538">
        <v>18</v>
      </c>
      <c r="M125" s="539">
        <v>49.672285897142856</v>
      </c>
      <c r="N125" s="539">
        <v>78.038143701428567</v>
      </c>
      <c r="O125" s="539">
        <v>65.800999782857133</v>
      </c>
    </row>
    <row r="126" spans="11:15">
      <c r="L126" s="538">
        <v>19</v>
      </c>
      <c r="M126" s="539">
        <v>45.203000204285708</v>
      </c>
      <c r="N126" s="539">
        <v>78.313856942857129</v>
      </c>
      <c r="O126" s="539">
        <v>75.104713441428572</v>
      </c>
    </row>
    <row r="127" spans="11:15">
      <c r="K127" s="537">
        <v>20</v>
      </c>
      <c r="L127" s="538">
        <v>20</v>
      </c>
      <c r="M127" s="539">
        <v>37.385857718571437</v>
      </c>
      <c r="N127" s="539">
        <v>130.92628696285712</v>
      </c>
      <c r="O127" s="539">
        <v>97.861000055714285</v>
      </c>
    </row>
    <row r="128" spans="11:15">
      <c r="L128" s="538">
        <v>21</v>
      </c>
      <c r="M128" s="539">
        <v>31.609713962857143</v>
      </c>
      <c r="N128" s="539">
        <v>64.449287412857146</v>
      </c>
      <c r="O128" s="539">
        <v>107.7964292242857</v>
      </c>
    </row>
    <row r="129" spans="11:15">
      <c r="L129" s="538">
        <v>22</v>
      </c>
      <c r="M129" s="539">
        <v>23.360142844285715</v>
      </c>
      <c r="N129" s="539">
        <v>64.449287412857146</v>
      </c>
      <c r="O129" s="539">
        <v>107.7964292242857</v>
      </c>
    </row>
    <row r="130" spans="11:15">
      <c r="L130" s="538">
        <v>23</v>
      </c>
      <c r="M130" s="539">
        <v>22.118571418571431</v>
      </c>
      <c r="N130" s="539">
        <v>39.50100054</v>
      </c>
      <c r="O130" s="539">
        <v>35.176713670000005</v>
      </c>
    </row>
    <row r="131" spans="11:15">
      <c r="K131" s="537">
        <v>24</v>
      </c>
      <c r="L131" s="538">
        <v>24</v>
      </c>
      <c r="M131" s="539">
        <v>18.655142918571432</v>
      </c>
      <c r="N131" s="539">
        <v>33.690285274285714</v>
      </c>
      <c r="O131" s="539">
        <v>23.41942841571429</v>
      </c>
    </row>
    <row r="132" spans="11:15">
      <c r="L132" s="538">
        <v>25</v>
      </c>
      <c r="M132" s="539">
        <v>15.664428437142856</v>
      </c>
      <c r="N132" s="539">
        <v>30.228428704285715</v>
      </c>
      <c r="O132" s="539">
        <v>15.98614284142857</v>
      </c>
    </row>
    <row r="133" spans="11:15">
      <c r="L133" s="538">
        <v>26</v>
      </c>
      <c r="M133" s="539">
        <v>13.848143032857147</v>
      </c>
      <c r="N133" s="539">
        <v>27.872285568571431</v>
      </c>
      <c r="O133" s="539">
        <v>14.09042848857143</v>
      </c>
    </row>
    <row r="134" spans="11:15">
      <c r="L134" s="538">
        <v>27</v>
      </c>
      <c r="M134" s="539">
        <v>12.865857259999999</v>
      </c>
      <c r="N134" s="539">
        <v>27.257571358571429</v>
      </c>
      <c r="O134" s="539">
        <v>11.838857105714284</v>
      </c>
    </row>
    <row r="135" spans="11:15">
      <c r="K135" s="537">
        <v>28</v>
      </c>
      <c r="L135" s="538">
        <v>28</v>
      </c>
      <c r="M135" s="539">
        <v>12.915285789999999</v>
      </c>
      <c r="N135" s="575">
        <v>27.217285974285712</v>
      </c>
      <c r="O135" s="539">
        <v>9.7789998731428565</v>
      </c>
    </row>
    <row r="136" spans="11:15">
      <c r="L136" s="538">
        <v>29</v>
      </c>
      <c r="M136" s="539">
        <v>15.908571428571426</v>
      </c>
      <c r="N136" s="575">
        <v>24.955714285714286</v>
      </c>
      <c r="O136" s="539">
        <v>8.4957142857142856</v>
      </c>
    </row>
    <row r="137" spans="11:15">
      <c r="L137" s="538">
        <v>30</v>
      </c>
      <c r="M137" s="539">
        <v>16.584000042857145</v>
      </c>
      <c r="N137" s="575">
        <v>24.80942862142857</v>
      </c>
      <c r="O137" s="539">
        <v>7.807428428142857</v>
      </c>
    </row>
    <row r="138" spans="11:15">
      <c r="L138" s="538">
        <v>31</v>
      </c>
      <c r="M138" s="539">
        <v>18.553000000000001</v>
      </c>
      <c r="N138" s="575">
        <v>25.690999999999999</v>
      </c>
      <c r="O138" s="539">
        <v>7.53</v>
      </c>
    </row>
    <row r="139" spans="11:15">
      <c r="K139" s="537">
        <v>32</v>
      </c>
      <c r="L139" s="538">
        <v>32</v>
      </c>
      <c r="M139" s="539">
        <v>17.769714355714285</v>
      </c>
      <c r="N139" s="575">
        <v>27.630000251428573</v>
      </c>
      <c r="O139" s="539">
        <v>6.4074286734285701</v>
      </c>
    </row>
    <row r="140" spans="11:15">
      <c r="L140" s="538">
        <v>33</v>
      </c>
      <c r="M140" s="539">
        <v>14.782857348571428</v>
      </c>
      <c r="N140" s="575">
        <v>23.78</v>
      </c>
      <c r="O140" s="539">
        <v>4.9400000000000004</v>
      </c>
    </row>
    <row r="141" spans="11:15">
      <c r="L141" s="538">
        <v>34</v>
      </c>
      <c r="M141" s="539">
        <v>15.984000069999999</v>
      </c>
      <c r="N141" s="575">
        <v>23.527999878571428</v>
      </c>
      <c r="O141" s="539">
        <v>4.6688571658571432</v>
      </c>
    </row>
    <row r="142" spans="11:15">
      <c r="L142" s="538">
        <v>35</v>
      </c>
      <c r="M142" s="539">
        <v>15.55</v>
      </c>
      <c r="N142" s="575">
        <v>23.29</v>
      </c>
      <c r="O142" s="539">
        <v>4.5999999999999996</v>
      </c>
    </row>
    <row r="143" spans="11:15">
      <c r="K143" s="537">
        <v>36</v>
      </c>
      <c r="L143" s="538">
        <v>36</v>
      </c>
      <c r="M143" s="539">
        <v>15.042857142857143</v>
      </c>
      <c r="N143" s="539">
        <v>23.007142857142856</v>
      </c>
      <c r="O143" s="539">
        <v>3.9657142857142857</v>
      </c>
    </row>
    <row r="144" spans="11:15">
      <c r="L144" s="538">
        <v>37</v>
      </c>
      <c r="M144" s="539">
        <v>13.386857033</v>
      </c>
      <c r="N144" s="539">
        <v>23.173571724285711</v>
      </c>
      <c r="O144" s="539">
        <v>3.5334285327142858</v>
      </c>
    </row>
    <row r="145" spans="10:15">
      <c r="L145" s="538">
        <v>38</v>
      </c>
      <c r="M145" s="539">
        <v>12.963714189999999</v>
      </c>
      <c r="N145" s="539">
        <v>26.454000201428567</v>
      </c>
      <c r="O145" s="539">
        <v>6.4914285118571433</v>
      </c>
    </row>
    <row r="146" spans="10:15">
      <c r="L146" s="538">
        <v>39</v>
      </c>
      <c r="M146" s="539">
        <v>9.4700000000000006</v>
      </c>
      <c r="N146" s="539">
        <v>23.7</v>
      </c>
      <c r="O146" s="539">
        <v>4.9000000000000004</v>
      </c>
    </row>
    <row r="147" spans="10:15">
      <c r="K147" s="537">
        <v>40</v>
      </c>
      <c r="L147" s="538">
        <v>40</v>
      </c>
      <c r="M147" s="539">
        <v>9.6714286802857146</v>
      </c>
      <c r="N147" s="702">
        <v>23.695143017142858</v>
      </c>
      <c r="O147" s="539">
        <v>4.898285797571428</v>
      </c>
    </row>
    <row r="148" spans="10:15">
      <c r="L148" s="538">
        <v>41</v>
      </c>
      <c r="M148" s="539">
        <v>13.23900018419533</v>
      </c>
      <c r="N148" s="702">
        <v>28.113285882132363</v>
      </c>
      <c r="O148" s="539">
        <v>8.3430000032697169</v>
      </c>
    </row>
    <row r="149" spans="10:15">
      <c r="L149" s="538">
        <v>42</v>
      </c>
      <c r="M149" s="539">
        <v>13.085142816816015</v>
      </c>
      <c r="N149" s="702">
        <v>37.073285511561743</v>
      </c>
      <c r="O149" s="539">
        <v>7.2735712868826683</v>
      </c>
    </row>
    <row r="150" spans="10:15">
      <c r="L150" s="538">
        <v>43</v>
      </c>
      <c r="M150" s="539">
        <v>24.981571742466489</v>
      </c>
      <c r="N150" s="702">
        <v>70.535571507045162</v>
      </c>
      <c r="O150" s="539">
        <v>7.4324284962245324</v>
      </c>
    </row>
    <row r="151" spans="10:15">
      <c r="K151" s="537">
        <v>44</v>
      </c>
      <c r="L151" s="538">
        <v>44</v>
      </c>
      <c r="M151" s="539">
        <v>20.55814279714286</v>
      </c>
      <c r="N151" s="702">
        <v>55.183714184285712</v>
      </c>
      <c r="O151" s="539">
        <v>15.801856994857145</v>
      </c>
    </row>
    <row r="152" spans="10:15">
      <c r="L152" s="538">
        <v>45</v>
      </c>
      <c r="M152" s="539">
        <v>26.170000077142856</v>
      </c>
      <c r="N152" s="539">
        <v>60.445714132857141</v>
      </c>
      <c r="O152" s="539">
        <v>26.432857787142858</v>
      </c>
    </row>
    <row r="153" spans="10:15">
      <c r="L153" s="538">
        <v>46</v>
      </c>
      <c r="M153" s="539">
        <v>19.728571428571428</v>
      </c>
      <c r="N153" s="539">
        <v>57.005714285714291</v>
      </c>
      <c r="O153" s="539">
        <v>53.502857142857145</v>
      </c>
    </row>
    <row r="154" spans="10:15">
      <c r="L154" s="538">
        <v>47</v>
      </c>
      <c r="M154" s="539">
        <v>39.656714302857139</v>
      </c>
      <c r="N154" s="539">
        <v>103.00771440714287</v>
      </c>
      <c r="O154" s="539">
        <v>53.459142955714292</v>
      </c>
    </row>
    <row r="155" spans="10:15">
      <c r="K155" s="537">
        <v>48</v>
      </c>
      <c r="L155" s="538">
        <v>48</v>
      </c>
      <c r="M155" s="539">
        <v>39.656714302857139</v>
      </c>
      <c r="N155" s="539">
        <v>99.828000734285709</v>
      </c>
      <c r="O155" s="539">
        <v>45.539571760000008</v>
      </c>
    </row>
    <row r="156" spans="10:15">
      <c r="L156" s="538">
        <v>49</v>
      </c>
      <c r="M156" s="537">
        <v>22.62857142857143</v>
      </c>
      <c r="N156" s="537">
        <v>60.27571428571428</v>
      </c>
      <c r="O156" s="537">
        <v>17.955714285714286</v>
      </c>
    </row>
    <row r="157" spans="10:15">
      <c r="L157" s="538">
        <v>50</v>
      </c>
      <c r="M157" s="537">
        <v>17.776714461428572</v>
      </c>
      <c r="N157" s="537">
        <v>46.701999664285715</v>
      </c>
      <c r="O157" s="537">
        <v>13.432571411428571</v>
      </c>
    </row>
    <row r="158" spans="10:15">
      <c r="L158" s="538">
        <v>51</v>
      </c>
      <c r="M158" s="537">
        <v>34.085714285714282</v>
      </c>
      <c r="N158" s="537">
        <v>68.7</v>
      </c>
      <c r="O158" s="537">
        <v>39.414285714285711</v>
      </c>
    </row>
    <row r="159" spans="10:15">
      <c r="K159" s="537">
        <v>52</v>
      </c>
      <c r="L159" s="538">
        <v>52</v>
      </c>
      <c r="M159" s="537">
        <v>52.094142914285719</v>
      </c>
      <c r="N159" s="537">
        <v>97.347143448571416</v>
      </c>
      <c r="O159" s="537">
        <v>65.679429182857149</v>
      </c>
    </row>
    <row r="160" spans="10:15">
      <c r="J160" s="25">
        <v>2019</v>
      </c>
      <c r="K160" s="538">
        <v>1</v>
      </c>
      <c r="L160" s="538">
        <v>1</v>
      </c>
      <c r="M160" s="539">
        <v>27.79999951142857</v>
      </c>
      <c r="N160" s="539">
        <v>78.298570904285711</v>
      </c>
      <c r="O160" s="539">
        <v>21.927143370000003</v>
      </c>
    </row>
    <row r="161" spans="11:15">
      <c r="K161" s="538"/>
      <c r="L161" s="538">
        <v>2</v>
      </c>
      <c r="M161" s="539">
        <v>28.678571428571427</v>
      </c>
      <c r="N161" s="539">
        <v>95.081715179999989</v>
      </c>
      <c r="O161" s="539">
        <v>22.397999900000002</v>
      </c>
    </row>
    <row r="162" spans="11:15">
      <c r="K162" s="538"/>
      <c r="L162" s="538">
        <v>3</v>
      </c>
      <c r="M162" s="539">
        <v>44.51</v>
      </c>
      <c r="N162" s="539">
        <v>95.65</v>
      </c>
      <c r="O162" s="539">
        <v>17.61</v>
      </c>
    </row>
    <row r="163" spans="11:15">
      <c r="K163" s="538">
        <v>4</v>
      </c>
      <c r="L163" s="538">
        <v>4</v>
      </c>
      <c r="M163" s="539">
        <v>73.323141914285699</v>
      </c>
      <c r="N163" s="539">
        <v>109.29957036285714</v>
      </c>
      <c r="O163" s="539">
        <v>17.638000354285712</v>
      </c>
    </row>
    <row r="164" spans="11:15">
      <c r="L164" s="538">
        <v>5</v>
      </c>
      <c r="M164" s="539"/>
      <c r="N164" s="539"/>
      <c r="O164" s="539"/>
    </row>
    <row r="165" spans="11:15">
      <c r="L165" s="538">
        <v>6</v>
      </c>
      <c r="M165" s="539"/>
      <c r="N165" s="539"/>
      <c r="O165" s="539"/>
    </row>
    <row r="166" spans="11:15">
      <c r="L166" s="538">
        <v>7</v>
      </c>
      <c r="M166" s="539"/>
      <c r="N166" s="539"/>
      <c r="O166" s="539"/>
    </row>
    <row r="167" spans="11:15">
      <c r="K167" s="537">
        <v>8</v>
      </c>
      <c r="L167" s="538">
        <v>8</v>
      </c>
      <c r="M167" s="539"/>
      <c r="N167" s="539"/>
      <c r="O167" s="539"/>
    </row>
    <row r="168" spans="11:15">
      <c r="L168" s="538">
        <v>9</v>
      </c>
      <c r="M168" s="539"/>
      <c r="N168" s="539"/>
      <c r="O168" s="539"/>
    </row>
    <row r="169" spans="11:15">
      <c r="L169" s="538">
        <v>10</v>
      </c>
      <c r="M169" s="539"/>
      <c r="N169" s="539"/>
      <c r="O169" s="539"/>
    </row>
    <row r="170" spans="11:15">
      <c r="L170" s="538">
        <v>11</v>
      </c>
      <c r="M170" s="539"/>
      <c r="N170" s="539"/>
      <c r="O170" s="539"/>
    </row>
    <row r="171" spans="11:15">
      <c r="K171" s="537">
        <v>12</v>
      </c>
      <c r="L171" s="538">
        <v>12</v>
      </c>
      <c r="M171" s="539"/>
      <c r="N171" s="539"/>
      <c r="O171" s="539"/>
    </row>
    <row r="172" spans="11:15">
      <c r="L172" s="538">
        <v>13</v>
      </c>
      <c r="M172" s="539"/>
      <c r="N172" s="539"/>
      <c r="O172" s="539"/>
    </row>
    <row r="173" spans="11:15">
      <c r="L173" s="538">
        <v>14</v>
      </c>
      <c r="M173" s="539"/>
      <c r="N173" s="539"/>
      <c r="O173" s="539"/>
    </row>
    <row r="174" spans="11:15">
      <c r="L174" s="538">
        <v>15</v>
      </c>
      <c r="M174" s="539"/>
      <c r="N174" s="539"/>
      <c r="O174" s="539"/>
    </row>
    <row r="175" spans="11:15">
      <c r="K175" s="537">
        <v>16</v>
      </c>
      <c r="L175" s="538">
        <v>16</v>
      </c>
      <c r="M175" s="539"/>
      <c r="N175" s="539"/>
      <c r="O175" s="539"/>
    </row>
    <row r="176" spans="11:15">
      <c r="L176" s="538">
        <v>17</v>
      </c>
      <c r="M176" s="539"/>
      <c r="N176" s="539"/>
      <c r="O176" s="539"/>
    </row>
    <row r="177" spans="11:15">
      <c r="L177" s="538">
        <v>18</v>
      </c>
      <c r="M177" s="539"/>
      <c r="N177" s="539"/>
      <c r="O177" s="539"/>
    </row>
    <row r="178" spans="11:15">
      <c r="L178" s="538">
        <v>19</v>
      </c>
      <c r="M178" s="539"/>
      <c r="N178" s="539"/>
      <c r="O178" s="539"/>
    </row>
    <row r="179" spans="11:15">
      <c r="K179" s="537">
        <v>20</v>
      </c>
      <c r="L179" s="538">
        <v>20</v>
      </c>
      <c r="M179" s="539"/>
      <c r="N179" s="539"/>
      <c r="O179" s="539"/>
    </row>
    <row r="180" spans="11:15">
      <c r="L180" s="538">
        <v>21</v>
      </c>
      <c r="M180" s="539"/>
      <c r="N180" s="539"/>
      <c r="O180" s="539"/>
    </row>
    <row r="181" spans="11:15">
      <c r="L181" s="538">
        <v>22</v>
      </c>
      <c r="M181" s="539"/>
      <c r="N181" s="539"/>
      <c r="O181" s="539"/>
    </row>
    <row r="182" spans="11:15">
      <c r="L182" s="538">
        <v>23</v>
      </c>
      <c r="M182" s="539"/>
      <c r="N182" s="539"/>
      <c r="O182" s="539"/>
    </row>
    <row r="183" spans="11:15">
      <c r="K183" s="537">
        <v>24</v>
      </c>
      <c r="L183" s="538">
        <v>24</v>
      </c>
      <c r="M183" s="539"/>
      <c r="N183" s="539"/>
      <c r="O183" s="539"/>
    </row>
    <row r="184" spans="11:15">
      <c r="L184" s="538">
        <v>25</v>
      </c>
      <c r="M184" s="539"/>
      <c r="N184" s="539"/>
      <c r="O184" s="539"/>
    </row>
    <row r="185" spans="11:15">
      <c r="L185" s="538">
        <v>26</v>
      </c>
      <c r="M185" s="539"/>
      <c r="N185" s="539"/>
      <c r="O185" s="539"/>
    </row>
    <row r="186" spans="11:15">
      <c r="L186" s="538">
        <v>27</v>
      </c>
      <c r="M186" s="539"/>
      <c r="N186" s="539"/>
      <c r="O186" s="539"/>
    </row>
    <row r="187" spans="11:15">
      <c r="K187" s="537">
        <v>28</v>
      </c>
      <c r="L187" s="538">
        <v>28</v>
      </c>
      <c r="M187" s="539"/>
      <c r="N187" s="539"/>
      <c r="O187" s="539"/>
    </row>
    <row r="188" spans="11:15">
      <c r="L188" s="538">
        <v>29</v>
      </c>
      <c r="M188" s="539"/>
      <c r="N188" s="539"/>
      <c r="O188" s="539"/>
    </row>
    <row r="189" spans="11:15">
      <c r="L189" s="538">
        <v>30</v>
      </c>
      <c r="M189" s="539"/>
      <c r="N189" s="539"/>
      <c r="O189" s="539"/>
    </row>
    <row r="190" spans="11:15">
      <c r="L190" s="538">
        <v>31</v>
      </c>
      <c r="M190" s="539"/>
      <c r="N190" s="539"/>
      <c r="O190" s="539"/>
    </row>
    <row r="191" spans="11:15">
      <c r="K191" s="537">
        <v>32</v>
      </c>
      <c r="L191" s="538">
        <v>32</v>
      </c>
      <c r="M191" s="539"/>
      <c r="N191" s="539"/>
      <c r="O191" s="539"/>
    </row>
    <row r="192" spans="11:15">
      <c r="L192" s="538">
        <v>33</v>
      </c>
      <c r="M192" s="539"/>
      <c r="N192" s="539"/>
      <c r="O192" s="539"/>
    </row>
    <row r="193" spans="11:15">
      <c r="L193" s="538">
        <v>34</v>
      </c>
      <c r="M193" s="539"/>
      <c r="N193" s="539"/>
      <c r="O193" s="539"/>
    </row>
    <row r="194" spans="11:15">
      <c r="L194" s="538">
        <v>35</v>
      </c>
      <c r="M194" s="539"/>
      <c r="N194" s="539"/>
      <c r="O194" s="539"/>
    </row>
    <row r="195" spans="11:15">
      <c r="K195" s="537">
        <v>36</v>
      </c>
      <c r="L195" s="538">
        <v>36</v>
      </c>
      <c r="M195" s="539"/>
      <c r="N195" s="539"/>
      <c r="O195" s="539"/>
    </row>
    <row r="196" spans="11:15">
      <c r="L196" s="538">
        <v>37</v>
      </c>
      <c r="M196" s="539"/>
      <c r="N196" s="539"/>
      <c r="O196" s="539"/>
    </row>
    <row r="197" spans="11:15">
      <c r="L197" s="538">
        <v>38</v>
      </c>
      <c r="M197" s="539"/>
      <c r="N197" s="539"/>
      <c r="O197" s="539"/>
    </row>
    <row r="198" spans="11:15">
      <c r="K198" s="537">
        <v>39</v>
      </c>
      <c r="L198" s="538">
        <v>39</v>
      </c>
      <c r="M198" s="539"/>
      <c r="N198" s="539"/>
      <c r="O198" s="539"/>
    </row>
    <row r="199" spans="11:15">
      <c r="L199" s="538">
        <v>40</v>
      </c>
      <c r="M199" s="539"/>
      <c r="N199" s="539"/>
      <c r="O199" s="539"/>
    </row>
    <row r="200" spans="11:15">
      <c r="L200" s="538">
        <v>41</v>
      </c>
      <c r="M200" s="539"/>
      <c r="N200" s="539"/>
      <c r="O200" s="539"/>
    </row>
    <row r="201" spans="11:15">
      <c r="L201" s="538">
        <v>42</v>
      </c>
      <c r="M201" s="539"/>
      <c r="N201" s="539"/>
      <c r="O201" s="539"/>
    </row>
    <row r="202" spans="11:15">
      <c r="K202" s="537">
        <v>43</v>
      </c>
      <c r="L202" s="538">
        <v>43</v>
      </c>
      <c r="M202" s="539"/>
      <c r="N202" s="539"/>
      <c r="O202" s="539"/>
    </row>
    <row r="203" spans="11:15">
      <c r="L203" s="538">
        <v>44</v>
      </c>
      <c r="M203" s="539"/>
      <c r="N203" s="539"/>
      <c r="O203" s="539"/>
    </row>
    <row r="204" spans="11:15">
      <c r="L204" s="538">
        <v>45</v>
      </c>
      <c r="M204" s="539"/>
      <c r="N204" s="539"/>
      <c r="O204" s="539"/>
    </row>
    <row r="205" spans="11:15">
      <c r="L205" s="538">
        <v>46</v>
      </c>
      <c r="M205" s="539"/>
      <c r="N205" s="539"/>
      <c r="O205" s="539"/>
    </row>
    <row r="206" spans="11:15">
      <c r="L206" s="538">
        <v>47</v>
      </c>
      <c r="M206" s="539"/>
      <c r="N206" s="539"/>
      <c r="O206" s="539"/>
    </row>
    <row r="207" spans="11:15">
      <c r="K207" s="537">
        <v>48</v>
      </c>
      <c r="L207" s="538">
        <v>48</v>
      </c>
      <c r="M207" s="539"/>
      <c r="N207" s="539"/>
      <c r="O207" s="539"/>
    </row>
    <row r="208" spans="11:15">
      <c r="L208" s="538">
        <v>49</v>
      </c>
      <c r="M208" s="539"/>
      <c r="N208" s="539"/>
      <c r="O208" s="539"/>
    </row>
    <row r="209" spans="11:15">
      <c r="L209" s="538">
        <v>50</v>
      </c>
      <c r="M209" s="539"/>
      <c r="N209" s="539"/>
      <c r="O209" s="539"/>
    </row>
    <row r="210" spans="11:15">
      <c r="L210" s="538">
        <v>51</v>
      </c>
      <c r="M210" s="539"/>
      <c r="N210" s="539"/>
      <c r="O210" s="539"/>
    </row>
    <row r="211" spans="11:15">
      <c r="K211" s="537">
        <v>52</v>
      </c>
      <c r="L211" s="538">
        <v>52</v>
      </c>
      <c r="M211" s="539"/>
      <c r="N211" s="539"/>
      <c r="O211" s="539"/>
    </row>
    <row r="213" spans="11:15">
      <c r="M213" s="537" t="s">
        <v>291</v>
      </c>
      <c r="N213" s="537" t="s">
        <v>292</v>
      </c>
      <c r="O213" s="537" t="s">
        <v>293</v>
      </c>
    </row>
  </sheetData>
  <mergeCells count="2">
    <mergeCell ref="A3:G3"/>
    <mergeCell ref="A35:G35"/>
  </mergeCells>
  <pageMargins left="0.70866141732283472" right="0.70866141732283472" top="1.4311417322834645" bottom="0.62992125984251968" header="0.31496062992125984" footer="0.31496062992125984"/>
  <pageSetup paperSize="9" scale="94" orientation="portrait" r:id="rId1"/>
  <headerFooter>
    <oddHeader>&amp;R&amp;7Informe de la Operación Mensual - Enero 2019
INFSGI-MES-01-2019
13/02/2019
Versión: 01</oddHeader>
    <oddFooter>&amp;L&amp;7COES, 2019&amp;C12&amp;R&amp;7Dirección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sheetPr>
  <dimension ref="A1:AF213"/>
  <sheetViews>
    <sheetView showGridLines="0" view="pageBreakPreview" topLeftCell="A25" zoomScale="145" zoomScaleNormal="100" zoomScaleSheetLayoutView="145" zoomScalePageLayoutView="130" workbookViewId="0">
      <selection activeCell="M24" sqref="M24"/>
    </sheetView>
  </sheetViews>
  <sheetFormatPr defaultColWidth="9.33203125" defaultRowHeight="11.25"/>
  <cols>
    <col min="10" max="11" width="9.33203125" customWidth="1"/>
    <col min="13" max="16" width="9.33203125" style="537"/>
    <col min="17" max="18" width="11.6640625" style="537" bestFit="1" customWidth="1"/>
    <col min="19" max="20" width="9.6640625" style="537" bestFit="1" customWidth="1"/>
    <col min="21" max="23" width="9.5" style="537" bestFit="1" customWidth="1"/>
    <col min="24" max="24" width="9.6640625" style="537" bestFit="1" customWidth="1"/>
    <col min="25" max="25" width="9.5" style="537" bestFit="1" customWidth="1"/>
    <col min="26" max="26" width="9.33203125" style="515"/>
    <col min="27" max="30" width="9.33203125" style="364"/>
    <col min="31" max="32" width="9.33203125" style="336"/>
  </cols>
  <sheetData>
    <row r="1" spans="1:25" ht="11.25" customHeight="1"/>
    <row r="2" spans="1:25" ht="11.25" customHeight="1">
      <c r="A2" s="365"/>
      <c r="B2" s="366"/>
      <c r="C2" s="366"/>
      <c r="D2" s="366"/>
      <c r="E2" s="366"/>
      <c r="F2" s="366"/>
      <c r="G2" s="179"/>
      <c r="H2" s="179"/>
      <c r="I2" s="132"/>
    </row>
    <row r="3" spans="1:25" ht="11.25" customHeight="1">
      <c r="A3" s="132"/>
      <c r="B3" s="132"/>
      <c r="C3" s="132"/>
      <c r="D3" s="132"/>
      <c r="E3" s="132"/>
      <c r="F3" s="132"/>
      <c r="G3" s="138"/>
      <c r="H3" s="138"/>
      <c r="I3" s="138"/>
      <c r="J3" s="148"/>
      <c r="K3" s="148"/>
      <c r="L3" s="148"/>
      <c r="O3" s="537" t="s">
        <v>290</v>
      </c>
      <c r="P3" s="538"/>
      <c r="Q3" s="537" t="s">
        <v>294</v>
      </c>
      <c r="R3" s="537" t="s">
        <v>295</v>
      </c>
      <c r="S3" s="537" t="s">
        <v>296</v>
      </c>
      <c r="T3" s="537" t="s">
        <v>297</v>
      </c>
      <c r="U3" s="537" t="s">
        <v>298</v>
      </c>
      <c r="V3" s="537" t="s">
        <v>299</v>
      </c>
      <c r="W3" s="537" t="s">
        <v>300</v>
      </c>
      <c r="X3" s="537" t="s">
        <v>301</v>
      </c>
      <c r="Y3" s="537" t="s">
        <v>302</v>
      </c>
    </row>
    <row r="4" spans="1:25" ht="11.25" customHeight="1">
      <c r="A4" s="132"/>
      <c r="B4" s="132"/>
      <c r="C4" s="132"/>
      <c r="D4" s="132"/>
      <c r="E4" s="132"/>
      <c r="F4" s="132"/>
      <c r="G4" s="138"/>
      <c r="H4" s="138"/>
      <c r="I4" s="138"/>
      <c r="J4" s="148"/>
      <c r="K4" s="148"/>
      <c r="L4" s="148"/>
      <c r="N4" s="537">
        <v>2016</v>
      </c>
      <c r="O4" s="537">
        <v>1</v>
      </c>
      <c r="P4" s="538">
        <v>1</v>
      </c>
      <c r="Q4" s="539">
        <v>12.12</v>
      </c>
      <c r="R4" s="539">
        <v>8.33</v>
      </c>
      <c r="S4" s="539">
        <v>165.03200000000001</v>
      </c>
      <c r="T4" s="539">
        <v>95.83</v>
      </c>
      <c r="U4" s="539">
        <v>18.5</v>
      </c>
      <c r="V4" s="539">
        <v>10.01</v>
      </c>
      <c r="W4" s="539">
        <v>1.23</v>
      </c>
      <c r="X4" s="539">
        <v>109.19</v>
      </c>
      <c r="Y4" s="539">
        <v>37.270000000000003</v>
      </c>
    </row>
    <row r="5" spans="1:25" ht="11.25" customHeight="1">
      <c r="A5" s="181"/>
      <c r="B5" s="181"/>
      <c r="C5" s="181"/>
      <c r="D5" s="181"/>
      <c r="E5" s="181"/>
      <c r="F5" s="181"/>
      <c r="G5" s="181"/>
      <c r="H5" s="181"/>
      <c r="I5" s="181"/>
      <c r="J5" s="24"/>
      <c r="K5" s="24"/>
      <c r="L5" s="131"/>
      <c r="P5" s="538">
        <v>2</v>
      </c>
      <c r="Q5" s="539">
        <v>10.45</v>
      </c>
      <c r="R5" s="539">
        <v>5.38</v>
      </c>
      <c r="S5" s="539">
        <v>137.04</v>
      </c>
      <c r="T5" s="539">
        <v>78.260000000000005</v>
      </c>
      <c r="U5" s="539">
        <v>13.1</v>
      </c>
      <c r="V5" s="539">
        <v>10</v>
      </c>
      <c r="W5" s="539">
        <v>1.18</v>
      </c>
      <c r="X5" s="539">
        <v>177.91</v>
      </c>
      <c r="Y5" s="539">
        <v>53.34</v>
      </c>
    </row>
    <row r="6" spans="1:25" ht="11.25" customHeight="1">
      <c r="A6" s="132"/>
      <c r="B6" s="367"/>
      <c r="C6" s="368"/>
      <c r="D6" s="369"/>
      <c r="E6" s="369"/>
      <c r="F6" s="182"/>
      <c r="G6" s="183"/>
      <c r="H6" s="183"/>
      <c r="I6" s="184"/>
      <c r="J6" s="24"/>
      <c r="K6" s="24"/>
      <c r="L6" s="19"/>
      <c r="P6" s="538">
        <v>3</v>
      </c>
      <c r="Q6" s="539">
        <v>10.396000000000001</v>
      </c>
      <c r="R6" s="539">
        <v>5.29</v>
      </c>
      <c r="S6" s="539">
        <v>102.45</v>
      </c>
      <c r="T6" s="539">
        <v>101.264</v>
      </c>
      <c r="U6" s="539">
        <v>15.26</v>
      </c>
      <c r="V6" s="539">
        <v>10.01</v>
      </c>
      <c r="W6" s="539">
        <v>1.2529999999999999</v>
      </c>
      <c r="X6" s="539">
        <v>248.28</v>
      </c>
      <c r="Y6" s="539">
        <v>76.69</v>
      </c>
    </row>
    <row r="7" spans="1:25" ht="11.25" customHeight="1">
      <c r="A7" s="132"/>
      <c r="B7" s="185"/>
      <c r="C7" s="185"/>
      <c r="D7" s="186"/>
      <c r="E7" s="186"/>
      <c r="F7" s="182"/>
      <c r="G7" s="183"/>
      <c r="H7" s="183"/>
      <c r="I7" s="184"/>
      <c r="J7" s="25"/>
      <c r="K7" s="25"/>
      <c r="L7" s="22"/>
      <c r="O7" s="537">
        <v>4</v>
      </c>
      <c r="P7" s="538">
        <v>4</v>
      </c>
      <c r="Q7" s="539">
        <v>10.32</v>
      </c>
      <c r="R7" s="539">
        <v>6.0640000000000001</v>
      </c>
      <c r="S7" s="539">
        <v>93.71</v>
      </c>
      <c r="T7" s="539">
        <v>79.73</v>
      </c>
      <c r="U7" s="539">
        <v>12.66</v>
      </c>
      <c r="V7" s="539">
        <v>10.01</v>
      </c>
      <c r="W7" s="539">
        <v>1.22</v>
      </c>
      <c r="X7" s="539">
        <v>142.55000000000001</v>
      </c>
      <c r="Y7" s="539">
        <v>40.92</v>
      </c>
    </row>
    <row r="8" spans="1:25" ht="11.25" customHeight="1">
      <c r="A8" s="132"/>
      <c r="B8" s="187"/>
      <c r="C8" s="132"/>
      <c r="D8" s="157"/>
      <c r="E8" s="157"/>
      <c r="F8" s="182"/>
      <c r="G8" s="183"/>
      <c r="H8" s="183"/>
      <c r="I8" s="184"/>
      <c r="J8" s="23"/>
      <c r="K8" s="23"/>
      <c r="L8" s="24"/>
      <c r="P8" s="538">
        <v>5</v>
      </c>
      <c r="Q8" s="539">
        <v>14.34</v>
      </c>
      <c r="R8" s="539">
        <v>9.59</v>
      </c>
      <c r="S8" s="539">
        <v>142.55000000000001</v>
      </c>
      <c r="T8" s="539">
        <v>128.66</v>
      </c>
      <c r="U8" s="539">
        <v>24.24</v>
      </c>
      <c r="V8" s="539">
        <v>10.01</v>
      </c>
      <c r="W8" s="539">
        <v>1.17</v>
      </c>
      <c r="X8" s="539">
        <v>251.59399999999999</v>
      </c>
      <c r="Y8" s="539">
        <v>58.97</v>
      </c>
    </row>
    <row r="9" spans="1:25" ht="11.25" customHeight="1">
      <c r="A9" s="132"/>
      <c r="B9" s="187"/>
      <c r="C9" s="132"/>
      <c r="D9" s="157"/>
      <c r="E9" s="157"/>
      <c r="F9" s="182"/>
      <c r="G9" s="183"/>
      <c r="H9" s="183"/>
      <c r="I9" s="184"/>
      <c r="J9" s="25"/>
      <c r="K9" s="26"/>
      <c r="L9" s="22"/>
      <c r="P9" s="538">
        <v>6</v>
      </c>
      <c r="Q9" s="539">
        <v>14.98</v>
      </c>
      <c r="R9" s="539">
        <v>12.82</v>
      </c>
      <c r="S9" s="539">
        <v>223.15</v>
      </c>
      <c r="T9" s="539">
        <v>174.87</v>
      </c>
      <c r="U9" s="539">
        <v>35.18</v>
      </c>
      <c r="V9" s="539">
        <v>9.01</v>
      </c>
      <c r="W9" s="539">
        <v>0.82</v>
      </c>
      <c r="X9" s="539">
        <v>388.05428210000002</v>
      </c>
      <c r="Y9" s="539">
        <v>80.41</v>
      </c>
    </row>
    <row r="10" spans="1:25" ht="11.25" customHeight="1">
      <c r="A10" s="132"/>
      <c r="B10" s="187"/>
      <c r="C10" s="132"/>
      <c r="D10" s="157"/>
      <c r="E10" s="157"/>
      <c r="F10" s="182"/>
      <c r="G10" s="183"/>
      <c r="H10" s="183"/>
      <c r="I10" s="184"/>
      <c r="J10" s="25"/>
      <c r="K10" s="25"/>
      <c r="L10" s="22"/>
      <c r="P10" s="538">
        <v>7</v>
      </c>
      <c r="Q10" s="539">
        <v>15.86</v>
      </c>
      <c r="R10" s="539">
        <v>12.43</v>
      </c>
      <c r="S10" s="539">
        <v>223.86</v>
      </c>
      <c r="T10" s="539">
        <v>126.56</v>
      </c>
      <c r="U10" s="539">
        <v>25.04</v>
      </c>
      <c r="V10" s="539">
        <v>9.01</v>
      </c>
      <c r="W10" s="539">
        <v>1.59</v>
      </c>
      <c r="X10" s="539">
        <v>283.21000240000001</v>
      </c>
      <c r="Y10" s="539">
        <v>53.36</v>
      </c>
    </row>
    <row r="11" spans="1:25" ht="11.25" customHeight="1">
      <c r="A11" s="132"/>
      <c r="B11" s="157"/>
      <c r="C11" s="132"/>
      <c r="D11" s="157"/>
      <c r="E11" s="157"/>
      <c r="F11" s="182"/>
      <c r="G11" s="183"/>
      <c r="H11" s="183"/>
      <c r="I11" s="184"/>
      <c r="J11" s="25"/>
      <c r="K11" s="25"/>
      <c r="L11" s="22"/>
      <c r="O11" s="537">
        <v>8</v>
      </c>
      <c r="P11" s="538">
        <v>8</v>
      </c>
      <c r="Q11" s="539">
        <v>22.12</v>
      </c>
      <c r="R11" s="539">
        <v>19.3</v>
      </c>
      <c r="S11" s="539">
        <v>297.45999999999998</v>
      </c>
      <c r="T11" s="539">
        <v>188.83</v>
      </c>
      <c r="U11" s="539">
        <v>26.72</v>
      </c>
      <c r="V11" s="539">
        <v>18.309999999999999</v>
      </c>
      <c r="W11" s="539">
        <v>14.62</v>
      </c>
      <c r="X11" s="539">
        <v>414.29357470000002</v>
      </c>
      <c r="Y11" s="539">
        <v>65.55</v>
      </c>
    </row>
    <row r="12" spans="1:25" ht="11.25" customHeight="1">
      <c r="A12" s="132"/>
      <c r="B12" s="157"/>
      <c r="C12" s="132"/>
      <c r="D12" s="157"/>
      <c r="E12" s="157"/>
      <c r="F12" s="182"/>
      <c r="G12" s="183"/>
      <c r="H12" s="183"/>
      <c r="I12" s="184"/>
      <c r="J12" s="25"/>
      <c r="K12" s="25"/>
      <c r="L12" s="22"/>
      <c r="P12" s="538">
        <v>9</v>
      </c>
      <c r="Q12" s="539">
        <v>31.986428669999999</v>
      </c>
      <c r="R12" s="539">
        <v>19.514333090000001</v>
      </c>
      <c r="S12" s="539">
        <v>326.48699649999998</v>
      </c>
      <c r="T12" s="539">
        <v>170.33500290000001</v>
      </c>
      <c r="U12" s="539">
        <v>30.940000529999999</v>
      </c>
      <c r="V12" s="539">
        <v>16.54985727582655</v>
      </c>
      <c r="W12" s="539">
        <v>7.4597144130000004</v>
      </c>
      <c r="X12" s="539">
        <v>382.60643219999997</v>
      </c>
      <c r="Y12" s="539">
        <v>72.96314185</v>
      </c>
    </row>
    <row r="13" spans="1:25" ht="11.25" customHeight="1">
      <c r="A13" s="132"/>
      <c r="B13" s="157"/>
      <c r="C13" s="132"/>
      <c r="D13" s="157"/>
      <c r="E13" s="157"/>
      <c r="F13" s="182"/>
      <c r="G13" s="183"/>
      <c r="H13" s="183"/>
      <c r="I13" s="184"/>
      <c r="J13" s="23"/>
      <c r="K13" s="23"/>
      <c r="L13" s="24"/>
      <c r="P13" s="538">
        <v>10</v>
      </c>
      <c r="Q13" s="539">
        <v>21.817856924874398</v>
      </c>
      <c r="R13" s="539">
        <v>20.1870002746582</v>
      </c>
      <c r="S13" s="539">
        <v>281.91442869999997</v>
      </c>
      <c r="T13" s="539">
        <v>164.05856977190246</v>
      </c>
      <c r="U13" s="539">
        <v>30.751428604125927</v>
      </c>
      <c r="V13" s="539">
        <v>9.5257144655499921</v>
      </c>
      <c r="W13" s="539">
        <v>2.1815714495522598</v>
      </c>
      <c r="X13" s="539">
        <v>245.78571646554084</v>
      </c>
      <c r="Y13" s="539">
        <v>47.002858298165428</v>
      </c>
    </row>
    <row r="14" spans="1:25" ht="11.25" customHeight="1">
      <c r="A14" s="132"/>
      <c r="B14" s="157"/>
      <c r="C14" s="132"/>
      <c r="D14" s="157"/>
      <c r="E14" s="157"/>
      <c r="F14" s="182"/>
      <c r="G14" s="183"/>
      <c r="H14" s="183"/>
      <c r="I14" s="184"/>
      <c r="J14" s="25"/>
      <c r="K14" s="26"/>
      <c r="L14" s="22"/>
      <c r="P14" s="538">
        <v>11</v>
      </c>
      <c r="Q14" s="539">
        <v>21.645000185285259</v>
      </c>
      <c r="R14" s="539">
        <v>18.452999932425314</v>
      </c>
      <c r="S14" s="539">
        <v>302.97000000000003</v>
      </c>
      <c r="T14" s="539">
        <v>146.11571393694155</v>
      </c>
      <c r="U14" s="539">
        <v>26.230000359671411</v>
      </c>
      <c r="V14" s="539">
        <v>10.001428604125973</v>
      </c>
      <c r="W14" s="539">
        <v>1.7041428429739771</v>
      </c>
      <c r="X14" s="539">
        <v>239.62</v>
      </c>
      <c r="Y14" s="539">
        <v>42.29</v>
      </c>
    </row>
    <row r="15" spans="1:25" ht="11.25" customHeight="1">
      <c r="A15" s="132"/>
      <c r="B15" s="157"/>
      <c r="C15" s="132"/>
      <c r="D15" s="157"/>
      <c r="E15" s="157"/>
      <c r="F15" s="182"/>
      <c r="G15" s="183"/>
      <c r="H15" s="183"/>
      <c r="I15" s="184"/>
      <c r="J15" s="25"/>
      <c r="K15" s="26"/>
      <c r="L15" s="22"/>
      <c r="O15" s="537">
        <v>12</v>
      </c>
      <c r="P15" s="538">
        <v>12</v>
      </c>
      <c r="Q15" s="539">
        <v>15.247000013078916</v>
      </c>
      <c r="R15" s="539">
        <v>12.7100000381469</v>
      </c>
      <c r="S15" s="539">
        <v>179.33771623883899</v>
      </c>
      <c r="T15" s="539">
        <v>114.18428584507485</v>
      </c>
      <c r="U15" s="539">
        <v>18.61999988555905</v>
      </c>
      <c r="V15" s="539">
        <v>9.9999999999999964</v>
      </c>
      <c r="W15" s="539">
        <v>1.2444285835538544</v>
      </c>
      <c r="X15" s="539">
        <v>150.27357046944684</v>
      </c>
      <c r="Y15" s="539">
        <v>24.915714263915959</v>
      </c>
    </row>
    <row r="16" spans="1:25" ht="11.25" customHeight="1">
      <c r="A16" s="132"/>
      <c r="B16" s="157"/>
      <c r="C16" s="132"/>
      <c r="D16" s="157"/>
      <c r="E16" s="157"/>
      <c r="F16" s="182"/>
      <c r="G16" s="183"/>
      <c r="H16" s="183"/>
      <c r="I16" s="184"/>
      <c r="J16" s="25"/>
      <c r="K16" s="26"/>
      <c r="L16" s="22"/>
      <c r="P16" s="538">
        <v>13</v>
      </c>
      <c r="Q16" s="539">
        <v>17.322999954223601</v>
      </c>
      <c r="R16" s="539">
        <v>15.171999931335399</v>
      </c>
      <c r="S16" s="539">
        <v>130.67500305175699</v>
      </c>
      <c r="T16" s="539">
        <v>89.040000915527301</v>
      </c>
      <c r="U16" s="539">
        <v>15.310000419616699</v>
      </c>
      <c r="V16" s="539">
        <v>10</v>
      </c>
      <c r="W16" s="539">
        <v>1.0199999809265099</v>
      </c>
      <c r="X16" s="539">
        <v>116.33999633789</v>
      </c>
      <c r="Y16" s="539">
        <v>24.159999847412099</v>
      </c>
    </row>
    <row r="17" spans="1:25" ht="11.25" customHeight="1">
      <c r="A17" s="132"/>
      <c r="B17" s="157"/>
      <c r="C17" s="132"/>
      <c r="D17" s="157"/>
      <c r="E17" s="157"/>
      <c r="F17" s="182"/>
      <c r="G17" s="183"/>
      <c r="H17" s="183"/>
      <c r="I17" s="184"/>
      <c r="J17" s="25"/>
      <c r="K17" s="26"/>
      <c r="L17" s="22"/>
      <c r="P17" s="538">
        <v>14</v>
      </c>
      <c r="Q17" s="539">
        <v>14.828142711094401</v>
      </c>
      <c r="R17" s="539">
        <v>13.217000007629398</v>
      </c>
      <c r="S17" s="539">
        <v>121.81457192557171</v>
      </c>
      <c r="T17" s="539">
        <v>78.037142072405103</v>
      </c>
      <c r="U17" s="539">
        <v>14.082857131957956</v>
      </c>
      <c r="V17" s="539">
        <v>10.001428604125973</v>
      </c>
      <c r="W17" s="539">
        <v>1.3691428899764975</v>
      </c>
      <c r="X17" s="539">
        <v>126.18428475516127</v>
      </c>
      <c r="Y17" s="539">
        <v>22.646999904087572</v>
      </c>
    </row>
    <row r="18" spans="1:25" ht="11.25" customHeight="1">
      <c r="A18" s="875" t="s">
        <v>842</v>
      </c>
      <c r="B18" s="875"/>
      <c r="C18" s="875"/>
      <c r="D18" s="875"/>
      <c r="E18" s="875"/>
      <c r="F18" s="875"/>
      <c r="G18" s="875"/>
      <c r="H18" s="875"/>
      <c r="I18" s="875"/>
      <c r="J18" s="875"/>
      <c r="K18" s="875"/>
      <c r="L18" s="875"/>
      <c r="P18" s="538">
        <v>15</v>
      </c>
      <c r="Q18" s="539">
        <v>15.017142977033298</v>
      </c>
      <c r="R18" s="539">
        <v>11.291000366210898</v>
      </c>
      <c r="S18" s="539">
        <v>184.69442967006074</v>
      </c>
      <c r="T18" s="539">
        <v>74.048570905412902</v>
      </c>
      <c r="U18" s="539">
        <v>17.312857082911869</v>
      </c>
      <c r="V18" s="539">
        <v>10.005714416503881</v>
      </c>
      <c r="W18" s="539">
        <v>1.6558571543012313</v>
      </c>
      <c r="X18" s="539">
        <v>140.54571315220355</v>
      </c>
      <c r="Y18" s="539">
        <v>22.742571422031897</v>
      </c>
    </row>
    <row r="19" spans="1:25" ht="11.25" customHeight="1">
      <c r="A19" s="25"/>
      <c r="B19" s="157"/>
      <c r="C19" s="132"/>
      <c r="D19" s="157"/>
      <c r="E19" s="157"/>
      <c r="F19" s="182"/>
      <c r="G19" s="183"/>
      <c r="H19" s="183"/>
      <c r="I19" s="184"/>
      <c r="J19" s="25"/>
      <c r="K19" s="26"/>
      <c r="L19" s="22"/>
      <c r="O19" s="537">
        <v>16</v>
      </c>
      <c r="P19" s="538">
        <v>16</v>
      </c>
      <c r="Q19" s="539">
        <v>13.98</v>
      </c>
      <c r="R19" s="539">
        <v>11.63</v>
      </c>
      <c r="S19" s="539">
        <v>164.52</v>
      </c>
      <c r="T19" s="539">
        <v>81.069999999999993</v>
      </c>
      <c r="U19" s="539">
        <v>21.07</v>
      </c>
      <c r="V19" s="539">
        <v>10.01</v>
      </c>
      <c r="W19" s="539">
        <v>1.27</v>
      </c>
      <c r="X19" s="539">
        <v>141.29</v>
      </c>
      <c r="Y19" s="539">
        <v>23.21</v>
      </c>
    </row>
    <row r="20" spans="1:25" ht="11.25" customHeight="1">
      <c r="A20" s="132"/>
      <c r="B20" s="157"/>
      <c r="C20" s="132"/>
      <c r="D20" s="157"/>
      <c r="E20" s="157"/>
      <c r="F20" s="182"/>
      <c r="G20" s="183"/>
      <c r="H20" s="183"/>
      <c r="I20" s="184"/>
      <c r="J20" s="25"/>
      <c r="K20" s="26"/>
      <c r="L20" s="22"/>
      <c r="P20" s="538">
        <v>17</v>
      </c>
      <c r="Q20" s="539">
        <v>12.944285669999999</v>
      </c>
      <c r="R20" s="539">
        <v>10.010000228881799</v>
      </c>
      <c r="S20" s="539">
        <v>152.88357325962556</v>
      </c>
      <c r="T20" s="539">
        <v>64.311428070000005</v>
      </c>
      <c r="U20" s="539">
        <v>16.638571469999999</v>
      </c>
      <c r="V20" s="539">
        <v>10.004285812377887</v>
      </c>
      <c r="W20" s="539">
        <v>1.7342857122421229</v>
      </c>
      <c r="X20" s="539">
        <v>105.73500061035119</v>
      </c>
      <c r="Y20" s="539">
        <v>19.724285806928286</v>
      </c>
    </row>
    <row r="21" spans="1:25" ht="11.25" customHeight="1">
      <c r="A21" s="132"/>
      <c r="B21" s="157"/>
      <c r="C21" s="132"/>
      <c r="D21" s="157"/>
      <c r="E21" s="157"/>
      <c r="F21" s="182"/>
      <c r="G21" s="183"/>
      <c r="H21" s="183"/>
      <c r="I21" s="184"/>
      <c r="J21" s="25"/>
      <c r="K21" s="29"/>
      <c r="L21" s="30"/>
      <c r="P21" s="538">
        <v>18</v>
      </c>
      <c r="Q21" s="539">
        <v>10.727142742701899</v>
      </c>
      <c r="R21" s="539">
        <v>6.3112858363560251</v>
      </c>
      <c r="S21" s="539">
        <v>98.225285121372636</v>
      </c>
      <c r="T21" s="539">
        <v>46.242857796805197</v>
      </c>
      <c r="U21" s="539">
        <v>10.637142998831566</v>
      </c>
      <c r="V21" s="539">
        <v>10.007143020629858</v>
      </c>
      <c r="W21" s="539">
        <v>1.4345714194433998</v>
      </c>
      <c r="X21" s="539">
        <v>72.620000566754968</v>
      </c>
      <c r="Y21" s="539">
        <v>14.075714383806471</v>
      </c>
    </row>
    <row r="22" spans="1:25" ht="11.25" customHeight="1">
      <c r="A22" s="137"/>
      <c r="B22" s="157"/>
      <c r="C22" s="132"/>
      <c r="D22" s="157"/>
      <c r="E22" s="157"/>
      <c r="F22" s="182"/>
      <c r="G22" s="183"/>
      <c r="H22" s="183"/>
      <c r="I22" s="184"/>
      <c r="J22" s="25"/>
      <c r="K22" s="26"/>
      <c r="L22" s="22"/>
      <c r="P22" s="538">
        <v>19</v>
      </c>
      <c r="Q22" s="539">
        <v>9.4342857088361427</v>
      </c>
      <c r="R22" s="539">
        <v>7.4910001754760689</v>
      </c>
      <c r="S22" s="539">
        <v>86.615142822265582</v>
      </c>
      <c r="T22" s="539">
        <v>41.954286302838973</v>
      </c>
      <c r="U22" s="539">
        <v>9.4342857088361427</v>
      </c>
      <c r="V22" s="539">
        <v>10.004285812377914</v>
      </c>
      <c r="W22" s="539">
        <v>1.3051428794860784</v>
      </c>
      <c r="X22" s="539">
        <v>60.497857775006928</v>
      </c>
      <c r="Y22" s="539">
        <v>12.797142846243686</v>
      </c>
    </row>
    <row r="23" spans="1:25" ht="11.25" customHeight="1">
      <c r="A23" s="137"/>
      <c r="B23" s="157"/>
      <c r="C23" s="132"/>
      <c r="D23" s="157"/>
      <c r="E23" s="157"/>
      <c r="F23" s="182"/>
      <c r="G23" s="183"/>
      <c r="H23" s="183"/>
      <c r="I23" s="184"/>
      <c r="J23" s="25"/>
      <c r="K23" s="26"/>
      <c r="L23" s="22"/>
      <c r="O23" s="537">
        <v>20</v>
      </c>
      <c r="P23" s="538">
        <v>20</v>
      </c>
      <c r="Q23" s="539">
        <v>9.1999999999999993</v>
      </c>
      <c r="R23" s="539">
        <v>6.8</v>
      </c>
      <c r="S23" s="539">
        <v>78.2</v>
      </c>
      <c r="T23" s="539">
        <v>39.6</v>
      </c>
      <c r="U23" s="539">
        <v>8.6</v>
      </c>
      <c r="V23" s="539">
        <v>10</v>
      </c>
      <c r="W23" s="539">
        <v>1.6</v>
      </c>
      <c r="X23" s="539">
        <v>56.6</v>
      </c>
      <c r="Y23" s="539">
        <v>12.9</v>
      </c>
    </row>
    <row r="24" spans="1:25" ht="11.25" customHeight="1">
      <c r="A24" s="137"/>
      <c r="B24" s="157"/>
      <c r="C24" s="132"/>
      <c r="D24" s="157"/>
      <c r="E24" s="157"/>
      <c r="F24" s="182"/>
      <c r="G24" s="183"/>
      <c r="H24" s="183"/>
      <c r="I24" s="184"/>
      <c r="J24" s="26"/>
      <c r="K24" s="26"/>
      <c r="L24" s="22"/>
      <c r="P24" s="538">
        <v>21</v>
      </c>
      <c r="Q24" s="539">
        <v>9.0128573008945967</v>
      </c>
      <c r="R24" s="539">
        <v>5.4099998474121005</v>
      </c>
      <c r="S24" s="539">
        <v>73.744141714913454</v>
      </c>
      <c r="T24" s="539">
        <v>44.79285812377924</v>
      </c>
      <c r="U24" s="539">
        <v>10.11999988555907</v>
      </c>
      <c r="V24" s="539">
        <v>10.011428560529414</v>
      </c>
      <c r="W24" s="539">
        <v>1.2349999972752113</v>
      </c>
      <c r="X24" s="539">
        <v>52.17071369716097</v>
      </c>
      <c r="Y24" s="539">
        <v>11.968571390424414</v>
      </c>
    </row>
    <row r="25" spans="1:25" ht="11.25" customHeight="1">
      <c r="A25" s="137"/>
      <c r="B25" s="157"/>
      <c r="C25" s="132"/>
      <c r="D25" s="157"/>
      <c r="E25" s="157"/>
      <c r="F25" s="182"/>
      <c r="G25" s="183"/>
      <c r="H25" s="183"/>
      <c r="I25" s="184"/>
      <c r="J25" s="25"/>
      <c r="K25" s="29"/>
      <c r="L25" s="30"/>
      <c r="P25" s="538">
        <v>22</v>
      </c>
      <c r="Q25" s="539">
        <v>7.95</v>
      </c>
      <c r="R25" s="539">
        <v>3.82</v>
      </c>
      <c r="S25" s="539">
        <v>66.739999999999995</v>
      </c>
      <c r="T25" s="539">
        <v>34.01</v>
      </c>
      <c r="U25" s="539">
        <v>8.15</v>
      </c>
      <c r="V25" s="539">
        <v>10.02</v>
      </c>
      <c r="W25" s="539">
        <v>1.52</v>
      </c>
      <c r="X25" s="539">
        <v>46.88</v>
      </c>
      <c r="Y25" s="539">
        <v>9.89</v>
      </c>
    </row>
    <row r="26" spans="1:25" ht="11.25" customHeight="1">
      <c r="A26" s="137"/>
      <c r="B26" s="157"/>
      <c r="C26" s="132"/>
      <c r="D26" s="157"/>
      <c r="E26" s="157"/>
      <c r="F26" s="138"/>
      <c r="G26" s="138"/>
      <c r="H26" s="138"/>
      <c r="I26" s="138"/>
      <c r="J26" s="23"/>
      <c r="K26" s="26"/>
      <c r="L26" s="22"/>
      <c r="P26" s="538">
        <v>23</v>
      </c>
      <c r="Q26" s="539">
        <v>7.6</v>
      </c>
      <c r="R26" s="539">
        <v>3.22</v>
      </c>
      <c r="S26" s="539">
        <v>59.4</v>
      </c>
      <c r="T26" s="539">
        <v>28.71</v>
      </c>
      <c r="U26" s="539">
        <v>7.74</v>
      </c>
      <c r="V26" s="539">
        <v>10</v>
      </c>
      <c r="W26" s="539">
        <v>1.55</v>
      </c>
      <c r="X26" s="539">
        <v>43.39</v>
      </c>
      <c r="Y26" s="539">
        <v>8.57</v>
      </c>
    </row>
    <row r="27" spans="1:25" ht="11.25" customHeight="1">
      <c r="A27" s="137"/>
      <c r="B27" s="157"/>
      <c r="C27" s="132"/>
      <c r="D27" s="157"/>
      <c r="E27" s="157"/>
      <c r="F27" s="138"/>
      <c r="G27" s="138"/>
      <c r="H27" s="138"/>
      <c r="I27" s="138"/>
      <c r="J27" s="23"/>
      <c r="K27" s="26"/>
      <c r="L27" s="22"/>
      <c r="O27" s="537">
        <v>24</v>
      </c>
      <c r="P27" s="538">
        <v>24</v>
      </c>
      <c r="Q27" s="539">
        <v>9.57</v>
      </c>
      <c r="R27" s="539">
        <v>3.42</v>
      </c>
      <c r="S27" s="539">
        <v>54.3</v>
      </c>
      <c r="T27" s="539">
        <v>30.83</v>
      </c>
      <c r="U27" s="539">
        <v>7.53</v>
      </c>
      <c r="V27" s="539">
        <v>10</v>
      </c>
      <c r="W27" s="539">
        <v>1.6</v>
      </c>
      <c r="X27" s="539">
        <v>40.28</v>
      </c>
      <c r="Y27" s="539">
        <v>9.6</v>
      </c>
    </row>
    <row r="28" spans="1:25" ht="11.25" customHeight="1">
      <c r="A28" s="136"/>
      <c r="B28" s="138"/>
      <c r="C28" s="138"/>
      <c r="D28" s="138"/>
      <c r="E28" s="138"/>
      <c r="F28" s="138"/>
      <c r="G28" s="138"/>
      <c r="H28" s="138"/>
      <c r="I28" s="138"/>
      <c r="J28" s="25"/>
      <c r="K28" s="26"/>
      <c r="L28" s="22"/>
      <c r="P28" s="538">
        <v>25</v>
      </c>
      <c r="Q28" s="539">
        <v>9.0548571179999993</v>
      </c>
      <c r="R28" s="539">
        <v>3.2130000590000001</v>
      </c>
      <c r="S28" s="539">
        <v>56.674428669999998</v>
      </c>
      <c r="T28" s="539">
        <v>25.690000260000001</v>
      </c>
      <c r="U28" s="539">
        <v>6.9342856409999998</v>
      </c>
      <c r="V28" s="539">
        <v>10.00571442</v>
      </c>
      <c r="W28" s="539">
        <v>1.254714302</v>
      </c>
      <c r="X28" s="539">
        <v>37.560714179999998</v>
      </c>
      <c r="Y28" s="539">
        <v>7.91285726</v>
      </c>
    </row>
    <row r="29" spans="1:25" ht="11.25" customHeight="1">
      <c r="A29" s="136"/>
      <c r="B29" s="138"/>
      <c r="C29" s="138"/>
      <c r="D29" s="138"/>
      <c r="E29" s="138"/>
      <c r="F29" s="138"/>
      <c r="G29" s="138"/>
      <c r="H29" s="138"/>
      <c r="I29" s="138"/>
      <c r="J29" s="25"/>
      <c r="K29" s="26"/>
      <c r="L29" s="22"/>
      <c r="P29" s="538">
        <v>26</v>
      </c>
      <c r="Q29" s="539">
        <v>8.8612857550000008</v>
      </c>
      <c r="R29" s="539">
        <v>3.5</v>
      </c>
      <c r="S29" s="539">
        <v>68.087428501674069</v>
      </c>
      <c r="T29" s="539">
        <v>30.317143300000001</v>
      </c>
      <c r="U29" s="539">
        <v>8.8971428190000008</v>
      </c>
      <c r="V29" s="539">
        <v>10</v>
      </c>
      <c r="W29" s="539">
        <v>1.4324285809999999</v>
      </c>
      <c r="X29" s="539">
        <v>37.759999409999999</v>
      </c>
      <c r="Y29" s="539">
        <v>8.911428656</v>
      </c>
    </row>
    <row r="30" spans="1:25" ht="11.25" customHeight="1">
      <c r="A30" s="136"/>
      <c r="B30" s="138"/>
      <c r="C30" s="138"/>
      <c r="D30" s="138"/>
      <c r="E30" s="138"/>
      <c r="F30" s="138"/>
      <c r="G30" s="138"/>
      <c r="H30" s="138"/>
      <c r="I30" s="138"/>
      <c r="J30" s="25"/>
      <c r="K30" s="26"/>
      <c r="L30" s="22"/>
      <c r="P30" s="538">
        <v>27</v>
      </c>
      <c r="Q30" s="539">
        <v>8.3185714990000008</v>
      </c>
      <c r="R30" s="539">
        <v>4.0900001530000001</v>
      </c>
      <c r="S30" s="539">
        <v>60.110428400000004</v>
      </c>
      <c r="T30" s="539">
        <v>28.581429350000001</v>
      </c>
      <c r="U30" s="539">
        <v>7.9442856649999998</v>
      </c>
      <c r="V30" s="539">
        <v>10.001428600000001</v>
      </c>
      <c r="W30" s="539">
        <v>1.455999987</v>
      </c>
      <c r="X30" s="539">
        <v>35.967143470000003</v>
      </c>
      <c r="Y30" s="539">
        <v>7.2057142259999996</v>
      </c>
    </row>
    <row r="31" spans="1:25" ht="11.25" customHeight="1">
      <c r="A31" s="136"/>
      <c r="B31" s="138"/>
      <c r="C31" s="138"/>
      <c r="D31" s="138"/>
      <c r="E31" s="138"/>
      <c r="F31" s="138"/>
      <c r="G31" s="138"/>
      <c r="H31" s="138"/>
      <c r="I31" s="138"/>
      <c r="J31" s="25"/>
      <c r="K31" s="26"/>
      <c r="L31" s="22"/>
      <c r="O31" s="537">
        <v>28</v>
      </c>
      <c r="P31" s="538">
        <v>28</v>
      </c>
      <c r="Q31" s="539">
        <v>7.789714268</v>
      </c>
      <c r="R31" s="539">
        <v>3.119999886</v>
      </c>
      <c r="S31" s="539">
        <v>60.986856189999997</v>
      </c>
      <c r="T31" s="539">
        <v>27.099999836512943</v>
      </c>
      <c r="U31" s="539">
        <v>7.4514284819999999</v>
      </c>
      <c r="V31" s="539">
        <v>10.0128573</v>
      </c>
      <c r="W31" s="539">
        <v>1.5508571609999999</v>
      </c>
      <c r="X31" s="539">
        <v>47.66357095</v>
      </c>
      <c r="Y31" s="539">
        <v>9.9999998639999994</v>
      </c>
    </row>
    <row r="32" spans="1:25" ht="11.25" customHeight="1">
      <c r="A32" s="136"/>
      <c r="B32" s="138"/>
      <c r="C32" s="138"/>
      <c r="D32" s="138"/>
      <c r="E32" s="138"/>
      <c r="F32" s="138"/>
      <c r="G32" s="138"/>
      <c r="H32" s="138"/>
      <c r="I32" s="138"/>
      <c r="J32" s="26"/>
      <c r="K32" s="26"/>
      <c r="L32" s="22"/>
      <c r="P32" s="538">
        <v>29</v>
      </c>
      <c r="Q32" s="539">
        <v>7.1615714349999999</v>
      </c>
      <c r="R32" s="539">
        <v>3.4249999519999998</v>
      </c>
      <c r="S32" s="539">
        <v>56.540714260000001</v>
      </c>
      <c r="T32" s="539">
        <v>23.477142610000001</v>
      </c>
      <c r="U32" s="539">
        <v>6.2828570089999998</v>
      </c>
      <c r="V32" s="539">
        <v>10.001428600000001</v>
      </c>
      <c r="W32" s="539">
        <v>2.1035714489999999</v>
      </c>
      <c r="X32" s="539">
        <v>44.25</v>
      </c>
      <c r="Y32" s="539">
        <v>6.7128572460000004</v>
      </c>
    </row>
    <row r="33" spans="1:25" ht="11.25" customHeight="1">
      <c r="A33" s="136"/>
      <c r="B33" s="138"/>
      <c r="C33" s="138"/>
      <c r="D33" s="138"/>
      <c r="E33" s="138"/>
      <c r="F33" s="138"/>
      <c r="G33" s="138"/>
      <c r="H33" s="138"/>
      <c r="I33" s="138"/>
      <c r="J33" s="25"/>
      <c r="K33" s="26"/>
      <c r="L33" s="22"/>
      <c r="P33" s="538">
        <v>30</v>
      </c>
      <c r="Q33" s="539">
        <v>6.6714285440000003</v>
      </c>
      <c r="R33" s="539">
        <v>2.8789999489999998</v>
      </c>
      <c r="S33" s="539">
        <v>65.491856709999993</v>
      </c>
      <c r="T33" s="539">
        <v>21.095714300000001</v>
      </c>
      <c r="U33" s="539">
        <v>5.8057142669999999</v>
      </c>
      <c r="V33" s="539">
        <v>10.01142883</v>
      </c>
      <c r="W33" s="539">
        <v>1.8491428750000001</v>
      </c>
      <c r="X33" s="539">
        <v>42.498571668352326</v>
      </c>
      <c r="Y33" s="539">
        <v>6.0797142300000004</v>
      </c>
    </row>
    <row r="34" spans="1:25" ht="11.25" customHeight="1">
      <c r="A34" s="136"/>
      <c r="B34" s="138"/>
      <c r="C34" s="138"/>
      <c r="D34" s="138"/>
      <c r="E34" s="138"/>
      <c r="F34" s="138"/>
      <c r="G34" s="138"/>
      <c r="H34" s="138"/>
      <c r="I34" s="138"/>
      <c r="J34" s="25"/>
      <c r="K34" s="34"/>
      <c r="L34" s="22"/>
      <c r="P34" s="538">
        <v>31</v>
      </c>
      <c r="Q34" s="539">
        <v>6.2387143543788328</v>
      </c>
      <c r="R34" s="539">
        <v>2.9382856232779297</v>
      </c>
      <c r="S34" s="539">
        <v>65.491856711251344</v>
      </c>
      <c r="T34" s="539">
        <v>20.037142889840243</v>
      </c>
      <c r="U34" s="539">
        <v>5.4814286231994549</v>
      </c>
      <c r="V34" s="539">
        <v>10.011428833007772</v>
      </c>
      <c r="W34" s="539">
        <v>1.8019999946866672</v>
      </c>
      <c r="X34" s="539">
        <v>39.98428617204933</v>
      </c>
      <c r="Y34" s="539">
        <v>4.9059999329703157</v>
      </c>
    </row>
    <row r="35" spans="1:25" ht="11.25" customHeight="1">
      <c r="A35" s="136"/>
      <c r="B35" s="138"/>
      <c r="C35" s="138"/>
      <c r="D35" s="138"/>
      <c r="E35" s="138"/>
      <c r="F35" s="138"/>
      <c r="G35" s="138"/>
      <c r="H35" s="138"/>
      <c r="I35" s="138"/>
      <c r="J35" s="25"/>
      <c r="K35" s="34"/>
      <c r="L35" s="38"/>
      <c r="O35" s="537">
        <v>32</v>
      </c>
      <c r="P35" s="538">
        <v>32</v>
      </c>
      <c r="Q35" s="539">
        <v>6.1697142459999998</v>
      </c>
      <c r="R35" s="539">
        <v>3.2030000689999998</v>
      </c>
      <c r="S35" s="539">
        <v>49.942714418571427</v>
      </c>
      <c r="T35" s="539">
        <v>23.275714059999999</v>
      </c>
      <c r="U35" s="539">
        <v>5.8257142479999997</v>
      </c>
      <c r="V35" s="539">
        <v>10.004285810000001</v>
      </c>
      <c r="W35" s="539">
        <v>1.2214285650000001</v>
      </c>
      <c r="X35" s="539">
        <v>36.654999320000002</v>
      </c>
      <c r="Y35" s="539">
        <v>4.0242800000000001</v>
      </c>
    </row>
    <row r="36" spans="1:25" ht="11.25" customHeight="1">
      <c r="A36" s="136"/>
      <c r="B36" s="138"/>
      <c r="C36" s="138"/>
      <c r="D36" s="138"/>
      <c r="E36" s="138"/>
      <c r="F36" s="138"/>
      <c r="G36" s="138"/>
      <c r="H36" s="138"/>
      <c r="I36" s="138"/>
      <c r="J36" s="25"/>
      <c r="K36" s="29"/>
      <c r="L36" s="22"/>
      <c r="P36" s="538">
        <v>33</v>
      </c>
      <c r="Q36" s="539">
        <v>6.3728570940000004</v>
      </c>
      <c r="R36" s="539">
        <v>2.841857144</v>
      </c>
      <c r="S36" s="539">
        <v>57.183571406773112</v>
      </c>
      <c r="T36" s="539">
        <v>22.619999750000002</v>
      </c>
      <c r="U36" s="539">
        <v>5.5228571210000004</v>
      </c>
      <c r="V36" s="539">
        <v>10</v>
      </c>
      <c r="W36" s="539">
        <v>1.3032857349940685</v>
      </c>
      <c r="X36" s="539">
        <v>35.152857099999999</v>
      </c>
      <c r="Y36" s="539">
        <v>4.354285752</v>
      </c>
    </row>
    <row r="37" spans="1:25" ht="11.25" customHeight="1">
      <c r="A37" s="136"/>
      <c r="B37" s="138"/>
      <c r="C37" s="138"/>
      <c r="D37" s="138"/>
      <c r="E37" s="138"/>
      <c r="F37" s="138"/>
      <c r="G37" s="138"/>
      <c r="H37" s="138"/>
      <c r="I37" s="138"/>
      <c r="J37" s="25"/>
      <c r="K37" s="29"/>
      <c r="L37" s="22"/>
      <c r="P37" s="538">
        <v>34</v>
      </c>
      <c r="Q37" s="539">
        <v>6.1195714130000001</v>
      </c>
      <c r="R37" s="539">
        <v>3.058000088</v>
      </c>
      <c r="S37" s="539">
        <v>49.366142269999997</v>
      </c>
      <c r="T37" s="539">
        <v>25.04757145</v>
      </c>
      <c r="U37" s="539">
        <v>5.8727143149999996</v>
      </c>
      <c r="V37" s="539">
        <v>10.00857162</v>
      </c>
      <c r="W37" s="539">
        <v>1.2842857160000001</v>
      </c>
      <c r="X37" s="539">
        <v>34.115715029999997</v>
      </c>
      <c r="Y37" s="539">
        <v>4.3511429509999999</v>
      </c>
    </row>
    <row r="38" spans="1:25" ht="11.25" customHeight="1">
      <c r="A38" s="136"/>
      <c r="B38" s="138"/>
      <c r="C38" s="138"/>
      <c r="D38" s="138"/>
      <c r="E38" s="138"/>
      <c r="F38" s="138"/>
      <c r="G38" s="138"/>
      <c r="H38" s="138"/>
      <c r="I38" s="138"/>
      <c r="J38" s="25"/>
      <c r="K38" s="29"/>
      <c r="L38" s="22"/>
      <c r="P38" s="538">
        <v>35</v>
      </c>
      <c r="Q38" s="539">
        <v>5.9814286230000002</v>
      </c>
      <c r="R38" s="539">
        <v>1.506999969</v>
      </c>
      <c r="S38" s="539">
        <v>56.934856959999998</v>
      </c>
      <c r="T38" s="539">
        <v>21.374285830000002</v>
      </c>
      <c r="U38" s="539">
        <v>4.9342857090000001</v>
      </c>
      <c r="V38" s="539">
        <v>10.28714289</v>
      </c>
      <c r="W38" s="539">
        <v>1.5979999810000001</v>
      </c>
      <c r="X38" s="539">
        <v>30.92</v>
      </c>
      <c r="Y38" s="539">
        <v>5.3042856629999999</v>
      </c>
    </row>
    <row r="39" spans="1:25" ht="11.25" customHeight="1">
      <c r="O39" s="537">
        <v>36</v>
      </c>
      <c r="P39" s="538">
        <v>36</v>
      </c>
      <c r="Q39" s="539">
        <v>6.03</v>
      </c>
      <c r="R39" s="539">
        <v>2.8</v>
      </c>
      <c r="S39" s="539">
        <v>48.51</v>
      </c>
      <c r="T39" s="539">
        <v>22.661428449999999</v>
      </c>
      <c r="U39" s="539">
        <v>4.9800000000000004</v>
      </c>
      <c r="V39" s="539">
        <v>11.01</v>
      </c>
      <c r="W39" s="539">
        <v>1.63</v>
      </c>
      <c r="X39" s="539">
        <v>30.922143120000001</v>
      </c>
      <c r="Y39" s="539">
        <v>7.46</v>
      </c>
    </row>
    <row r="40" spans="1:25" ht="11.25" customHeight="1">
      <c r="A40" s="875" t="s">
        <v>843</v>
      </c>
      <c r="B40" s="875"/>
      <c r="C40" s="875"/>
      <c r="D40" s="875"/>
      <c r="E40" s="875"/>
      <c r="F40" s="875"/>
      <c r="G40" s="875"/>
      <c r="H40" s="875"/>
      <c r="I40" s="875"/>
      <c r="J40" s="875"/>
      <c r="K40" s="875"/>
      <c r="L40" s="875"/>
      <c r="P40" s="538">
        <v>37</v>
      </c>
      <c r="Q40" s="539">
        <v>6.03</v>
      </c>
      <c r="R40" s="539">
        <v>2.37</v>
      </c>
      <c r="S40" s="539">
        <v>43.99</v>
      </c>
      <c r="T40" s="539">
        <v>19.149999999999999</v>
      </c>
      <c r="U40" s="539">
        <v>5.31</v>
      </c>
      <c r="V40" s="539">
        <v>11</v>
      </c>
      <c r="W40" s="539">
        <v>1.59</v>
      </c>
      <c r="X40" s="539">
        <v>29.33</v>
      </c>
      <c r="Y40" s="539">
        <v>7.79</v>
      </c>
    </row>
    <row r="41" spans="1:25" ht="11.25" customHeight="1">
      <c r="P41" s="538">
        <v>38</v>
      </c>
      <c r="Q41" s="539">
        <v>6.5951428410000004</v>
      </c>
      <c r="R41" s="539">
        <v>3.0060000420000001</v>
      </c>
      <c r="S41" s="539">
        <v>47.220570700000003</v>
      </c>
      <c r="T41" s="539">
        <v>22.304285589999999</v>
      </c>
      <c r="U41" s="539">
        <v>5.581428528</v>
      </c>
      <c r="V41" s="539">
        <v>10.85142858</v>
      </c>
      <c r="W41" s="539">
        <v>1.5402856890000001</v>
      </c>
      <c r="X41" s="539">
        <v>34.179286410000003</v>
      </c>
      <c r="Y41" s="539">
        <v>8.5442856379999998</v>
      </c>
    </row>
    <row r="42" spans="1:25" ht="11.25" customHeight="1">
      <c r="A42" s="136"/>
      <c r="B42" s="138"/>
      <c r="C42" s="138"/>
      <c r="D42" s="138"/>
      <c r="E42" s="138"/>
      <c r="F42" s="138"/>
      <c r="G42" s="138"/>
      <c r="H42" s="138"/>
      <c r="I42" s="138"/>
      <c r="O42" s="537">
        <v>39</v>
      </c>
      <c r="P42" s="538">
        <v>39</v>
      </c>
      <c r="Q42" s="539">
        <v>6.84</v>
      </c>
      <c r="R42" s="539">
        <v>3.32</v>
      </c>
      <c r="S42" s="539">
        <v>63.05</v>
      </c>
      <c r="T42" s="539">
        <v>48.7</v>
      </c>
      <c r="U42" s="539">
        <v>7.81</v>
      </c>
      <c r="V42" s="539">
        <v>11.15</v>
      </c>
      <c r="W42" s="539">
        <v>1.32</v>
      </c>
      <c r="X42" s="539">
        <v>38.82</v>
      </c>
      <c r="Y42" s="539">
        <v>6.81</v>
      </c>
    </row>
    <row r="43" spans="1:25" ht="11.25" customHeight="1">
      <c r="A43" s="136"/>
      <c r="B43" s="138"/>
      <c r="C43" s="138"/>
      <c r="D43" s="138"/>
      <c r="E43" s="138"/>
      <c r="F43" s="138"/>
      <c r="G43" s="138"/>
      <c r="H43" s="138"/>
      <c r="I43" s="138"/>
      <c r="P43" s="538">
        <v>40</v>
      </c>
      <c r="Q43" s="539">
        <v>7.6862857681428576</v>
      </c>
      <c r="R43" s="539">
        <v>3.1560000009999998</v>
      </c>
      <c r="S43" s="539">
        <v>61.54114314571428</v>
      </c>
      <c r="T43" s="539">
        <v>37.928571428999994</v>
      </c>
      <c r="U43" s="539">
        <v>7.9165713450000004</v>
      </c>
      <c r="V43" s="539">
        <v>11.005714417142856</v>
      </c>
      <c r="W43" s="539">
        <v>1.3828571522857145</v>
      </c>
      <c r="X43" s="539">
        <v>43.879284992857151</v>
      </c>
      <c r="Y43" s="539">
        <v>6.2752857208571422</v>
      </c>
    </row>
    <row r="44" spans="1:25" ht="11.25" customHeight="1">
      <c r="A44" s="136"/>
      <c r="B44" s="138"/>
      <c r="C44" s="138"/>
      <c r="D44" s="138"/>
      <c r="E44" s="138"/>
      <c r="F44" s="138"/>
      <c r="G44" s="138"/>
      <c r="H44" s="138"/>
      <c r="I44" s="138"/>
      <c r="P44" s="538">
        <v>41</v>
      </c>
      <c r="Q44" s="539">
        <v>7.1000001089913463</v>
      </c>
      <c r="R44" s="539">
        <v>2.9028571673801928</v>
      </c>
      <c r="S44" s="539">
        <v>58.117285592215353</v>
      </c>
      <c r="T44" s="539">
        <v>48.921429225376635</v>
      </c>
      <c r="U44" s="539">
        <v>8.5942858287266173</v>
      </c>
      <c r="V44" s="539">
        <v>11.002857208251914</v>
      </c>
      <c r="W44" s="539">
        <v>1.3182857036590543</v>
      </c>
      <c r="X44" s="539">
        <v>45.627857753208637</v>
      </c>
      <c r="Y44" s="539">
        <v>9.9285714966910028</v>
      </c>
    </row>
    <row r="45" spans="1:25" ht="11.25" customHeight="1">
      <c r="A45" s="136"/>
      <c r="B45" s="138"/>
      <c r="C45" s="138"/>
      <c r="D45" s="138"/>
      <c r="E45" s="138"/>
      <c r="F45" s="138"/>
      <c r="G45" s="138"/>
      <c r="H45" s="138"/>
      <c r="I45" s="138"/>
      <c r="P45" s="538">
        <v>42</v>
      </c>
      <c r="Q45" s="539">
        <v>6.7610000201428573</v>
      </c>
      <c r="R45" s="539">
        <v>2.8671428815714286</v>
      </c>
      <c r="S45" s="539">
        <v>58.888142721428572</v>
      </c>
      <c r="T45" s="539">
        <v>55.619142805714283</v>
      </c>
      <c r="U45" s="539">
        <v>9.5089999614285716</v>
      </c>
      <c r="V45" s="539">
        <v>11.007142884285715</v>
      </c>
      <c r="W45" s="539">
        <v>1.2221428497142859</v>
      </c>
      <c r="X45" s="539">
        <v>52.615000045714282</v>
      </c>
      <c r="Y45" s="539">
        <v>9.6800000322857152</v>
      </c>
    </row>
    <row r="46" spans="1:25" ht="11.25" customHeight="1">
      <c r="A46" s="136"/>
      <c r="B46" s="138"/>
      <c r="C46" s="138"/>
      <c r="D46" s="138"/>
      <c r="E46" s="138"/>
      <c r="F46" s="138"/>
      <c r="G46" s="138"/>
      <c r="H46" s="138"/>
      <c r="I46" s="138"/>
      <c r="O46" s="537">
        <v>43</v>
      </c>
      <c r="P46" s="538">
        <v>43</v>
      </c>
      <c r="Q46" s="539">
        <v>6.53</v>
      </c>
      <c r="R46" s="539">
        <v>2.37</v>
      </c>
      <c r="S46" s="539">
        <v>69.2</v>
      </c>
      <c r="T46" s="539">
        <v>54.58</v>
      </c>
      <c r="U46" s="539">
        <v>8.23</v>
      </c>
      <c r="V46" s="539">
        <v>11.01</v>
      </c>
      <c r="W46" s="539">
        <v>1.35</v>
      </c>
      <c r="X46" s="539">
        <v>50.71</v>
      </c>
      <c r="Y46" s="539">
        <v>10.33</v>
      </c>
    </row>
    <row r="47" spans="1:25" ht="11.25" customHeight="1">
      <c r="A47" s="136"/>
      <c r="B47" s="138"/>
      <c r="C47" s="138"/>
      <c r="D47" s="138"/>
      <c r="E47" s="138"/>
      <c r="F47" s="138"/>
      <c r="G47" s="138"/>
      <c r="H47" s="138"/>
      <c r="I47" s="138"/>
      <c r="P47" s="538">
        <v>44</v>
      </c>
      <c r="Q47" s="539">
        <v>7.58</v>
      </c>
      <c r="R47" s="539">
        <v>4.8899999999999997</v>
      </c>
      <c r="S47" s="539">
        <v>51.59</v>
      </c>
      <c r="T47" s="539">
        <v>57.65</v>
      </c>
      <c r="U47" s="539">
        <v>7.72</v>
      </c>
      <c r="V47" s="539">
        <v>11.01</v>
      </c>
      <c r="W47" s="539">
        <v>1.47</v>
      </c>
      <c r="X47" s="539">
        <v>48.41</v>
      </c>
      <c r="Y47" s="539">
        <v>11.29</v>
      </c>
    </row>
    <row r="48" spans="1:25">
      <c r="A48" s="136"/>
      <c r="B48" s="138"/>
      <c r="C48" s="138"/>
      <c r="D48" s="138"/>
      <c r="E48" s="138"/>
      <c r="F48" s="138"/>
      <c r="G48" s="138"/>
      <c r="H48" s="138"/>
      <c r="I48" s="138"/>
      <c r="P48" s="538">
        <v>45</v>
      </c>
      <c r="Q48" s="539">
        <v>6.95</v>
      </c>
      <c r="R48" s="539">
        <v>1.61</v>
      </c>
      <c r="S48" s="539">
        <v>72.92</v>
      </c>
      <c r="T48" s="539">
        <v>67.069999999999993</v>
      </c>
      <c r="U48" s="539">
        <v>6.9</v>
      </c>
      <c r="V48" s="539">
        <v>11</v>
      </c>
      <c r="W48" s="539">
        <v>1.42</v>
      </c>
      <c r="X48" s="539">
        <v>47.24</v>
      </c>
      <c r="Y48" s="539">
        <v>9</v>
      </c>
    </row>
    <row r="49" spans="1:25">
      <c r="A49" s="136"/>
      <c r="B49" s="138"/>
      <c r="C49" s="138"/>
      <c r="D49" s="138"/>
      <c r="E49" s="138"/>
      <c r="F49" s="138"/>
      <c r="G49" s="138"/>
      <c r="H49" s="138"/>
      <c r="I49" s="138"/>
      <c r="P49" s="538">
        <v>46</v>
      </c>
      <c r="Q49" s="539">
        <v>6.8571429249999998</v>
      </c>
      <c r="R49" s="539">
        <v>1.6428571599999999</v>
      </c>
      <c r="S49" s="539">
        <v>58.4</v>
      </c>
      <c r="T49" s="539">
        <v>34.982142860000003</v>
      </c>
      <c r="U49" s="539">
        <v>5.0667143550000002</v>
      </c>
      <c r="V49" s="539">
        <v>11.01</v>
      </c>
      <c r="W49" s="539">
        <v>1.38</v>
      </c>
      <c r="X49" s="539">
        <v>40.61</v>
      </c>
      <c r="Y49" s="539">
        <v>8.81</v>
      </c>
    </row>
    <row r="50" spans="1:25">
      <c r="A50" s="136"/>
      <c r="B50" s="138"/>
      <c r="C50" s="138"/>
      <c r="D50" s="138"/>
      <c r="E50" s="138"/>
      <c r="F50" s="138"/>
      <c r="G50" s="138"/>
      <c r="H50" s="138"/>
      <c r="I50" s="138"/>
      <c r="P50" s="538">
        <v>47</v>
      </c>
      <c r="Q50" s="539">
        <v>6.9940000260000001</v>
      </c>
      <c r="R50" s="539">
        <v>1.5142857009999999</v>
      </c>
      <c r="S50" s="539">
        <v>52.554856440000002</v>
      </c>
      <c r="T50" s="539">
        <v>29.07742855</v>
      </c>
      <c r="U50" s="539">
        <v>4.2727143420000004</v>
      </c>
      <c r="V50" s="539">
        <v>11.00286</v>
      </c>
      <c r="W50" s="539">
        <v>1.63</v>
      </c>
      <c r="X50" s="539">
        <v>41.625</v>
      </c>
      <c r="Y50" s="539">
        <v>9.3542860000000001</v>
      </c>
    </row>
    <row r="51" spans="1:25">
      <c r="A51" s="136"/>
      <c r="B51" s="138"/>
      <c r="C51" s="138"/>
      <c r="D51" s="138"/>
      <c r="E51" s="138"/>
      <c r="F51" s="138"/>
      <c r="G51" s="138"/>
      <c r="H51" s="138"/>
      <c r="I51" s="138"/>
      <c r="O51" s="537">
        <v>48</v>
      </c>
      <c r="P51" s="538">
        <v>48</v>
      </c>
      <c r="Q51" s="539">
        <v>7.1124285970000001</v>
      </c>
      <c r="R51" s="539">
        <v>1.4714285645714287</v>
      </c>
      <c r="S51" s="539">
        <v>53.429429191428575</v>
      </c>
      <c r="T51" s="539">
        <v>88.059571399999996</v>
      </c>
      <c r="U51" s="539">
        <v>7.879285812428571</v>
      </c>
      <c r="V51" s="539">
        <v>10.862857274285714</v>
      </c>
      <c r="W51" s="539">
        <v>1.6007142748571428</v>
      </c>
      <c r="X51" s="539">
        <v>41.014285495714283</v>
      </c>
      <c r="Y51" s="539">
        <v>14.194285802</v>
      </c>
    </row>
    <row r="52" spans="1:25">
      <c r="A52" s="136"/>
      <c r="B52" s="138"/>
      <c r="C52" s="138"/>
      <c r="D52" s="138"/>
      <c r="E52" s="138"/>
      <c r="F52" s="138"/>
      <c r="G52" s="138"/>
      <c r="H52" s="138"/>
      <c r="I52" s="138"/>
      <c r="P52" s="538">
        <v>49</v>
      </c>
      <c r="Q52" s="539">
        <v>8.43</v>
      </c>
      <c r="R52" s="539">
        <v>2.2400000000000002</v>
      </c>
      <c r="S52" s="539">
        <v>61.07</v>
      </c>
      <c r="T52" s="539">
        <v>106.59</v>
      </c>
      <c r="U52" s="539">
        <v>16.09</v>
      </c>
      <c r="V52" s="539">
        <v>10.5</v>
      </c>
      <c r="W52" s="539">
        <v>1.1200000000000001</v>
      </c>
      <c r="X52" s="539">
        <v>83.6</v>
      </c>
      <c r="Y52" s="539">
        <v>22.62</v>
      </c>
    </row>
    <row r="53" spans="1:25">
      <c r="A53" s="136"/>
      <c r="B53" s="138"/>
      <c r="C53" s="138"/>
      <c r="D53" s="138"/>
      <c r="E53" s="138"/>
      <c r="F53" s="138"/>
      <c r="G53" s="138"/>
      <c r="H53" s="138"/>
      <c r="I53" s="138"/>
      <c r="P53" s="538">
        <v>50</v>
      </c>
      <c r="Q53" s="539">
        <v>8.32</v>
      </c>
      <c r="R53" s="539">
        <v>2.19</v>
      </c>
      <c r="S53" s="539">
        <v>78.02</v>
      </c>
      <c r="T53" s="539">
        <v>104.79</v>
      </c>
      <c r="U53" s="539">
        <v>18.649999999999999</v>
      </c>
      <c r="V53" s="539">
        <v>10.51</v>
      </c>
      <c r="W53" s="539">
        <v>1.1399999999999999</v>
      </c>
      <c r="X53" s="539">
        <v>66.8</v>
      </c>
      <c r="Y53" s="539">
        <v>22.62</v>
      </c>
    </row>
    <row r="54" spans="1:25">
      <c r="A54" s="136"/>
      <c r="B54" s="138"/>
      <c r="C54" s="138"/>
      <c r="D54" s="138"/>
      <c r="E54" s="138"/>
      <c r="F54" s="138"/>
      <c r="G54" s="138"/>
      <c r="H54" s="138"/>
      <c r="I54" s="138"/>
      <c r="P54" s="538">
        <v>51</v>
      </c>
      <c r="Q54" s="539">
        <v>9.08</v>
      </c>
      <c r="R54" s="539">
        <v>3.71</v>
      </c>
      <c r="S54" s="539">
        <v>67.64</v>
      </c>
      <c r="T54" s="539">
        <v>69.61</v>
      </c>
      <c r="U54" s="539">
        <v>11.22</v>
      </c>
      <c r="V54" s="539">
        <v>10.5</v>
      </c>
      <c r="W54" s="539">
        <v>1.37</v>
      </c>
      <c r="X54" s="539">
        <v>55.42</v>
      </c>
      <c r="Y54" s="539">
        <v>17.489999999999998</v>
      </c>
    </row>
    <row r="55" spans="1:25">
      <c r="A55" s="136"/>
      <c r="B55" s="138"/>
      <c r="C55" s="138"/>
      <c r="D55" s="138"/>
      <c r="E55" s="138"/>
      <c r="F55" s="138"/>
      <c r="G55" s="138"/>
      <c r="H55" s="138"/>
      <c r="I55" s="138"/>
      <c r="O55" s="537">
        <v>52</v>
      </c>
      <c r="P55" s="538">
        <v>52</v>
      </c>
      <c r="Q55" s="539">
        <v>8.42</v>
      </c>
      <c r="R55" s="539">
        <v>3.57</v>
      </c>
      <c r="S55" s="539">
        <v>56.187571937142856</v>
      </c>
      <c r="T55" s="539">
        <v>58.452428545714284</v>
      </c>
      <c r="U55" s="539">
        <v>8.01</v>
      </c>
      <c r="V55" s="539">
        <v>10.507142884285715</v>
      </c>
      <c r="W55" s="539">
        <v>1.53</v>
      </c>
      <c r="X55" s="539">
        <v>59.550713675714292</v>
      </c>
      <c r="Y55" s="539">
        <v>18.608285904285712</v>
      </c>
    </row>
    <row r="56" spans="1:25">
      <c r="A56" s="136"/>
      <c r="B56" s="138"/>
      <c r="C56" s="138"/>
      <c r="D56" s="138"/>
      <c r="E56" s="138"/>
      <c r="F56" s="138"/>
      <c r="G56" s="138"/>
      <c r="H56" s="138"/>
      <c r="I56" s="138"/>
      <c r="N56" s="537">
        <v>2017</v>
      </c>
      <c r="O56" s="537">
        <v>1</v>
      </c>
      <c r="P56" s="538">
        <v>1</v>
      </c>
      <c r="Q56" s="539">
        <v>13.85</v>
      </c>
      <c r="R56" s="539">
        <v>11.3</v>
      </c>
      <c r="S56" s="539">
        <v>104.02</v>
      </c>
      <c r="T56" s="539">
        <v>148.43</v>
      </c>
      <c r="U56" s="539">
        <v>24.1</v>
      </c>
      <c r="V56" s="539">
        <v>10.220000000000001</v>
      </c>
      <c r="W56" s="539">
        <v>3.28</v>
      </c>
      <c r="X56" s="539">
        <v>89.46</v>
      </c>
      <c r="Y56" s="539">
        <v>25.43</v>
      </c>
    </row>
    <row r="57" spans="1:25">
      <c r="A57" s="136"/>
      <c r="B57" s="138"/>
      <c r="C57" s="138"/>
      <c r="D57" s="138"/>
      <c r="E57" s="138"/>
      <c r="F57" s="138"/>
      <c r="G57" s="138"/>
      <c r="H57" s="138"/>
      <c r="I57" s="138"/>
      <c r="P57" s="538">
        <v>2</v>
      </c>
      <c r="Q57" s="539">
        <v>14.96</v>
      </c>
      <c r="R57" s="539">
        <v>15.4</v>
      </c>
      <c r="S57" s="539">
        <v>143.97</v>
      </c>
      <c r="T57" s="539">
        <v>175.88</v>
      </c>
      <c r="U57" s="539">
        <v>33.74</v>
      </c>
      <c r="V57" s="539">
        <v>10.17</v>
      </c>
      <c r="W57" s="539">
        <v>6.45</v>
      </c>
      <c r="X57" s="539">
        <v>178.14</v>
      </c>
      <c r="Y57" s="539">
        <v>55.67</v>
      </c>
    </row>
    <row r="58" spans="1:25">
      <c r="A58" s="136"/>
      <c r="B58" s="138"/>
      <c r="C58" s="138"/>
      <c r="D58" s="138"/>
      <c r="E58" s="138"/>
      <c r="F58" s="138"/>
      <c r="G58" s="138"/>
      <c r="H58" s="138"/>
      <c r="I58" s="138"/>
      <c r="P58" s="538">
        <v>3</v>
      </c>
      <c r="Q58" s="539">
        <v>28.98</v>
      </c>
      <c r="R58" s="539">
        <v>21.94</v>
      </c>
      <c r="S58" s="539">
        <v>355.12</v>
      </c>
      <c r="T58" s="539">
        <v>177.57</v>
      </c>
      <c r="U58" s="539">
        <v>35.49</v>
      </c>
      <c r="V58" s="539">
        <v>10</v>
      </c>
      <c r="W58" s="539">
        <v>9.0500000000000007</v>
      </c>
      <c r="X58" s="539">
        <v>174.94</v>
      </c>
      <c r="Y58" s="539">
        <v>58.31</v>
      </c>
    </row>
    <row r="59" spans="1:25">
      <c r="A59" s="136"/>
      <c r="B59" s="138"/>
      <c r="C59" s="138"/>
      <c r="D59" s="138"/>
      <c r="E59" s="138"/>
      <c r="F59" s="138"/>
      <c r="G59" s="138"/>
      <c r="H59" s="138"/>
      <c r="I59" s="138"/>
      <c r="O59" s="537">
        <v>4</v>
      </c>
      <c r="P59" s="538">
        <v>4</v>
      </c>
      <c r="Q59" s="539">
        <v>30.46</v>
      </c>
      <c r="R59" s="539">
        <v>23.91</v>
      </c>
      <c r="S59" s="539">
        <v>519.4</v>
      </c>
      <c r="T59" s="539">
        <v>205.76</v>
      </c>
      <c r="U59" s="539">
        <v>48.48</v>
      </c>
      <c r="V59" s="539">
        <v>10</v>
      </c>
      <c r="W59" s="539">
        <v>2.4300000000000002</v>
      </c>
      <c r="X59" s="539">
        <v>141.31</v>
      </c>
      <c r="Y59" s="539">
        <v>47.49</v>
      </c>
    </row>
    <row r="60" spans="1:25">
      <c r="A60" s="136"/>
      <c r="B60" s="138"/>
      <c r="C60" s="138"/>
      <c r="D60" s="138"/>
      <c r="E60" s="138"/>
      <c r="F60" s="138"/>
      <c r="G60" s="138"/>
      <c r="H60" s="138"/>
      <c r="I60" s="138"/>
      <c r="P60" s="538">
        <v>5</v>
      </c>
      <c r="Q60" s="539">
        <v>21.36</v>
      </c>
      <c r="R60" s="539">
        <v>18.07</v>
      </c>
      <c r="S60" s="539">
        <v>330.78</v>
      </c>
      <c r="T60" s="539">
        <v>123.41</v>
      </c>
      <c r="U60" s="539">
        <v>25.33</v>
      </c>
      <c r="V60" s="539">
        <v>11.41</v>
      </c>
      <c r="W60" s="539">
        <v>2.87</v>
      </c>
      <c r="X60" s="539">
        <v>123.59</v>
      </c>
      <c r="Y60" s="539">
        <v>45.46</v>
      </c>
    </row>
    <row r="61" spans="1:25">
      <c r="A61" s="136"/>
      <c r="B61" s="138"/>
      <c r="C61" s="138"/>
      <c r="D61" s="138"/>
      <c r="E61" s="138"/>
      <c r="F61" s="138"/>
      <c r="G61" s="138"/>
      <c r="H61" s="138"/>
      <c r="I61" s="138"/>
      <c r="P61" s="538">
        <v>6</v>
      </c>
      <c r="Q61" s="539">
        <v>25.42</v>
      </c>
      <c r="R61" s="539">
        <v>21.42</v>
      </c>
      <c r="S61" s="539">
        <v>200.58</v>
      </c>
      <c r="T61" s="539">
        <v>108.48</v>
      </c>
      <c r="U61" s="539">
        <v>22.99</v>
      </c>
      <c r="V61" s="539">
        <v>10.57</v>
      </c>
      <c r="W61" s="539">
        <v>3.01</v>
      </c>
      <c r="X61" s="539">
        <v>85.48</v>
      </c>
      <c r="Y61" s="539">
        <v>28.56</v>
      </c>
    </row>
    <row r="62" spans="1:25">
      <c r="A62" s="136"/>
      <c r="B62" s="138"/>
      <c r="C62" s="138"/>
      <c r="D62" s="138"/>
      <c r="E62" s="138"/>
      <c r="F62" s="138"/>
      <c r="G62" s="138"/>
      <c r="H62" s="138"/>
      <c r="I62" s="138"/>
      <c r="P62" s="538">
        <v>7</v>
      </c>
      <c r="Q62" s="539">
        <v>35.43</v>
      </c>
      <c r="R62" s="539">
        <v>25.12</v>
      </c>
      <c r="S62" s="539">
        <v>393.69</v>
      </c>
      <c r="T62" s="539">
        <v>144.62</v>
      </c>
      <c r="U62" s="539">
        <v>39.44</v>
      </c>
      <c r="V62" s="539">
        <v>10</v>
      </c>
      <c r="W62" s="539">
        <v>2.88</v>
      </c>
      <c r="X62" s="539">
        <v>100.57</v>
      </c>
      <c r="Y62" s="539">
        <v>25.04</v>
      </c>
    </row>
    <row r="63" spans="1:25">
      <c r="A63" s="136"/>
      <c r="B63" s="138"/>
      <c r="C63" s="138"/>
      <c r="D63" s="138"/>
      <c r="E63" s="138"/>
      <c r="F63" s="138"/>
      <c r="G63" s="138"/>
      <c r="H63" s="138"/>
      <c r="I63" s="138"/>
      <c r="O63" s="537">
        <v>8</v>
      </c>
      <c r="P63" s="538">
        <v>8</v>
      </c>
      <c r="Q63" s="539">
        <v>30.45</v>
      </c>
      <c r="R63" s="539">
        <v>23.33</v>
      </c>
      <c r="S63" s="539">
        <v>345.37</v>
      </c>
      <c r="T63" s="539">
        <v>140.63</v>
      </c>
      <c r="U63" s="539">
        <v>30.47</v>
      </c>
      <c r="V63" s="539">
        <v>9.58</v>
      </c>
      <c r="W63" s="539">
        <v>2.0699999999999998</v>
      </c>
      <c r="X63" s="539">
        <v>163.72999999999999</v>
      </c>
      <c r="Y63" s="539">
        <v>58.84</v>
      </c>
    </row>
    <row r="64" spans="1:25" ht="6" customHeight="1">
      <c r="A64" s="136"/>
      <c r="B64" s="138"/>
      <c r="C64" s="138"/>
      <c r="D64" s="138"/>
      <c r="E64" s="138"/>
      <c r="F64" s="138"/>
      <c r="G64" s="138"/>
      <c r="H64" s="138"/>
      <c r="I64" s="138"/>
      <c r="P64" s="538">
        <v>9</v>
      </c>
      <c r="Q64" s="539">
        <v>37.72</v>
      </c>
      <c r="R64" s="539">
        <v>24.83</v>
      </c>
      <c r="S64" s="539">
        <v>567.22</v>
      </c>
      <c r="T64" s="539">
        <v>245.85</v>
      </c>
      <c r="U64" s="539">
        <v>67.56</v>
      </c>
      <c r="V64" s="539">
        <v>9.01</v>
      </c>
      <c r="W64" s="539">
        <v>7.33</v>
      </c>
      <c r="X64" s="539">
        <v>285.31</v>
      </c>
      <c r="Y64" s="539">
        <v>102.26</v>
      </c>
    </row>
    <row r="65" spans="1:25" ht="24.75" customHeight="1">
      <c r="A65" s="851" t="s">
        <v>844</v>
      </c>
      <c r="B65" s="851"/>
      <c r="C65" s="851"/>
      <c r="D65" s="851"/>
      <c r="E65" s="851"/>
      <c r="F65" s="851"/>
      <c r="G65" s="851"/>
      <c r="H65" s="851"/>
      <c r="I65" s="851"/>
      <c r="J65" s="851"/>
      <c r="K65" s="851"/>
      <c r="L65" s="851"/>
      <c r="P65" s="538">
        <v>10</v>
      </c>
      <c r="Q65" s="539">
        <v>36.46</v>
      </c>
      <c r="R65" s="539">
        <v>24.95</v>
      </c>
      <c r="S65" s="539">
        <v>467.04</v>
      </c>
      <c r="T65" s="539">
        <v>188.01</v>
      </c>
      <c r="U65" s="539">
        <v>50.5</v>
      </c>
      <c r="V65" s="539">
        <v>10.06</v>
      </c>
      <c r="W65" s="539">
        <v>3.71</v>
      </c>
      <c r="X65" s="539">
        <v>374.33</v>
      </c>
      <c r="Y65" s="539">
        <v>83.74</v>
      </c>
    </row>
    <row r="66" spans="1:25" ht="20.25" customHeight="1">
      <c r="P66" s="538">
        <v>11</v>
      </c>
      <c r="Q66" s="539">
        <v>35.590000000000003</v>
      </c>
      <c r="R66" s="539">
        <v>26.89</v>
      </c>
      <c r="S66" s="539">
        <v>448.3</v>
      </c>
      <c r="T66" s="539">
        <v>169.95</v>
      </c>
      <c r="U66" s="539">
        <v>51.21</v>
      </c>
      <c r="V66" s="539">
        <v>26.15</v>
      </c>
      <c r="W66" s="539">
        <v>8.66</v>
      </c>
      <c r="X66" s="539">
        <v>219.86</v>
      </c>
      <c r="Y66" s="539">
        <v>62.42</v>
      </c>
    </row>
    <row r="67" spans="1:25">
      <c r="O67" s="537">
        <v>12</v>
      </c>
      <c r="P67" s="538">
        <v>12</v>
      </c>
      <c r="Q67" s="539">
        <v>37.82</v>
      </c>
      <c r="R67" s="539">
        <v>20.6</v>
      </c>
      <c r="S67" s="539">
        <v>350.87</v>
      </c>
      <c r="T67" s="539">
        <v>146.01</v>
      </c>
      <c r="U67" s="539">
        <v>38.08</v>
      </c>
      <c r="V67" s="539">
        <v>12.43</v>
      </c>
      <c r="W67" s="539">
        <v>5.63</v>
      </c>
      <c r="X67" s="539">
        <v>190.11</v>
      </c>
      <c r="Y67" s="539">
        <v>52.01</v>
      </c>
    </row>
    <row r="68" spans="1:25">
      <c r="P68" s="538">
        <v>13</v>
      </c>
      <c r="Q68" s="539">
        <v>35.93</v>
      </c>
      <c r="R68" s="539">
        <v>24.02</v>
      </c>
      <c r="S68" s="539">
        <v>380.48</v>
      </c>
      <c r="T68" s="539">
        <v>173.02</v>
      </c>
      <c r="U68" s="539">
        <v>38.869999999999997</v>
      </c>
      <c r="V68" s="539">
        <v>11.98</v>
      </c>
      <c r="W68" s="539">
        <v>5.83</v>
      </c>
      <c r="X68" s="539">
        <v>272.08999999999997</v>
      </c>
      <c r="Y68" s="539">
        <v>65.430000000000007</v>
      </c>
    </row>
    <row r="69" spans="1:25">
      <c r="P69" s="538">
        <v>14</v>
      </c>
      <c r="Q69" s="539">
        <v>42.9</v>
      </c>
      <c r="R69" s="539">
        <v>17.87</v>
      </c>
      <c r="S69" s="539">
        <v>427.28</v>
      </c>
      <c r="T69" s="539">
        <v>137.65</v>
      </c>
      <c r="U69" s="539">
        <v>35.950000000000003</v>
      </c>
      <c r="V69" s="539">
        <v>28.72</v>
      </c>
      <c r="W69" s="539">
        <v>4.95</v>
      </c>
      <c r="X69" s="539">
        <v>301.82</v>
      </c>
      <c r="Y69" s="539">
        <v>71.06</v>
      </c>
    </row>
    <row r="70" spans="1:25">
      <c r="P70" s="538">
        <v>15</v>
      </c>
      <c r="Q70" s="539">
        <v>31.19</v>
      </c>
      <c r="R70" s="539">
        <v>17.87</v>
      </c>
      <c r="S70" s="539">
        <v>334.14</v>
      </c>
      <c r="T70" s="539">
        <v>129.9</v>
      </c>
      <c r="U70" s="539">
        <v>29.93</v>
      </c>
      <c r="V70" s="539">
        <v>16.28</v>
      </c>
      <c r="W70" s="539">
        <v>1.82</v>
      </c>
      <c r="X70" s="539">
        <v>203.49</v>
      </c>
      <c r="Y70" s="539">
        <v>77.099999999999994</v>
      </c>
    </row>
    <row r="71" spans="1:25">
      <c r="O71" s="537">
        <v>16</v>
      </c>
      <c r="P71" s="538">
        <v>16</v>
      </c>
      <c r="Q71" s="539">
        <v>22.8</v>
      </c>
      <c r="R71" s="539">
        <v>11.46</v>
      </c>
      <c r="S71" s="539">
        <v>218.96</v>
      </c>
      <c r="T71" s="539">
        <v>100.66</v>
      </c>
      <c r="U71" s="539">
        <v>21.85</v>
      </c>
      <c r="V71" s="539">
        <v>15.43</v>
      </c>
      <c r="W71" s="539">
        <v>2.33</v>
      </c>
      <c r="X71" s="539">
        <v>155.33000000000001</v>
      </c>
      <c r="Y71" s="539">
        <v>48.77</v>
      </c>
    </row>
    <row r="72" spans="1:25">
      <c r="P72" s="538">
        <v>17</v>
      </c>
      <c r="Q72" s="539">
        <v>20.18</v>
      </c>
      <c r="R72" s="539">
        <v>11.46</v>
      </c>
      <c r="S72" s="539">
        <v>180.47</v>
      </c>
      <c r="T72" s="539">
        <v>91.24</v>
      </c>
      <c r="U72" s="539">
        <v>18.89</v>
      </c>
      <c r="V72" s="539">
        <v>12.29</v>
      </c>
      <c r="W72" s="539">
        <v>1.9</v>
      </c>
      <c r="X72" s="539">
        <v>111.37</v>
      </c>
      <c r="Y72" s="539">
        <v>34.409999999999997</v>
      </c>
    </row>
    <row r="73" spans="1:25">
      <c r="P73" s="538">
        <v>18</v>
      </c>
      <c r="Q73" s="539">
        <v>19.84</v>
      </c>
      <c r="R73" s="539">
        <v>10.36</v>
      </c>
      <c r="S73" s="539">
        <v>212.89</v>
      </c>
      <c r="T73" s="539">
        <v>98.95</v>
      </c>
      <c r="U73" s="539">
        <v>19.899999999999999</v>
      </c>
      <c r="V73" s="539">
        <v>11.64</v>
      </c>
      <c r="W73" s="539">
        <v>1.46</v>
      </c>
      <c r="X73" s="539">
        <v>117.05</v>
      </c>
      <c r="Y73" s="539">
        <v>28.8</v>
      </c>
    </row>
    <row r="74" spans="1:25">
      <c r="P74" s="538">
        <v>19</v>
      </c>
      <c r="Q74" s="539">
        <v>21.4</v>
      </c>
      <c r="R74" s="539">
        <v>9.25</v>
      </c>
      <c r="S74" s="539">
        <v>199.54</v>
      </c>
      <c r="T74" s="539">
        <v>89.02</v>
      </c>
      <c r="U74" s="539">
        <v>15.9</v>
      </c>
      <c r="V74" s="539">
        <v>11</v>
      </c>
      <c r="W74" s="539">
        <v>1.36</v>
      </c>
      <c r="X74" s="539">
        <v>79.2</v>
      </c>
      <c r="Y74" s="539">
        <v>22.78</v>
      </c>
    </row>
    <row r="75" spans="1:25">
      <c r="O75" s="537">
        <v>20</v>
      </c>
      <c r="P75" s="538">
        <v>20</v>
      </c>
      <c r="Q75" s="539">
        <v>17.23</v>
      </c>
      <c r="R75" s="539">
        <v>6.32</v>
      </c>
      <c r="S75" s="539">
        <v>136.84</v>
      </c>
      <c r="T75" s="539">
        <v>72.95</v>
      </c>
      <c r="U75" s="539">
        <v>15.03</v>
      </c>
      <c r="V75" s="539">
        <v>11</v>
      </c>
      <c r="W75" s="539">
        <v>1.98</v>
      </c>
      <c r="X75" s="539">
        <v>69.37</v>
      </c>
      <c r="Y75" s="539">
        <v>17.8</v>
      </c>
    </row>
    <row r="76" spans="1:25">
      <c r="P76" s="538">
        <v>21</v>
      </c>
      <c r="Q76" s="539">
        <v>16.09</v>
      </c>
      <c r="R76" s="539">
        <v>6.32</v>
      </c>
      <c r="S76" s="539">
        <v>116.86</v>
      </c>
      <c r="T76" s="539">
        <v>99.42</v>
      </c>
      <c r="U76" s="539">
        <v>20.059999999999999</v>
      </c>
      <c r="V76" s="539">
        <v>11.01</v>
      </c>
      <c r="W76" s="539">
        <v>1.6</v>
      </c>
      <c r="X76" s="539">
        <v>68.8</v>
      </c>
      <c r="Y76" s="539">
        <v>17.84</v>
      </c>
    </row>
    <row r="77" spans="1:25">
      <c r="P77" s="538">
        <v>22</v>
      </c>
      <c r="Q77" s="539">
        <v>15.1</v>
      </c>
      <c r="R77" s="539">
        <v>5.59</v>
      </c>
      <c r="S77" s="539">
        <v>118.58</v>
      </c>
      <c r="T77" s="539">
        <v>79.099999999999994</v>
      </c>
      <c r="U77" s="539">
        <v>16</v>
      </c>
      <c r="V77" s="539">
        <v>11</v>
      </c>
      <c r="W77" s="539">
        <v>1.01</v>
      </c>
      <c r="X77" s="539">
        <v>69.05</v>
      </c>
      <c r="Y77" s="539">
        <v>16.37</v>
      </c>
    </row>
    <row r="78" spans="1:25">
      <c r="P78" s="538">
        <v>23</v>
      </c>
      <c r="Q78" s="539">
        <v>14.28</v>
      </c>
      <c r="R78" s="539">
        <v>4.8499999999999996</v>
      </c>
      <c r="S78" s="539">
        <v>112.05</v>
      </c>
      <c r="T78" s="539">
        <v>63.27</v>
      </c>
      <c r="U78" s="539">
        <v>13.78</v>
      </c>
      <c r="V78" s="539">
        <v>11</v>
      </c>
      <c r="W78" s="539">
        <v>1.82</v>
      </c>
      <c r="X78" s="539">
        <v>54.09</v>
      </c>
      <c r="Y78" s="539">
        <v>13.15</v>
      </c>
    </row>
    <row r="79" spans="1:25">
      <c r="O79" s="537">
        <v>24</v>
      </c>
      <c r="P79" s="538">
        <v>24</v>
      </c>
      <c r="Q79" s="539">
        <v>13.3</v>
      </c>
      <c r="R79" s="539">
        <v>4.8499999999999996</v>
      </c>
      <c r="S79" s="539">
        <v>91.62</v>
      </c>
      <c r="T79" s="539">
        <v>49.79</v>
      </c>
      <c r="U79" s="539">
        <v>11.29</v>
      </c>
      <c r="V79" s="539">
        <v>11</v>
      </c>
      <c r="W79" s="539">
        <v>1.89</v>
      </c>
      <c r="X79" s="539">
        <v>45.31</v>
      </c>
      <c r="Y79" s="539">
        <v>10.85</v>
      </c>
    </row>
    <row r="80" spans="1:25">
      <c r="P80" s="538">
        <v>25</v>
      </c>
      <c r="Q80" s="539">
        <v>12.63</v>
      </c>
      <c r="R80" s="539">
        <v>3.77</v>
      </c>
      <c r="S80" s="539">
        <v>81.33</v>
      </c>
      <c r="T80" s="539">
        <v>46.74</v>
      </c>
      <c r="U80" s="539">
        <v>10.02</v>
      </c>
      <c r="V80" s="539">
        <v>11</v>
      </c>
      <c r="W80" s="539">
        <v>1.77</v>
      </c>
      <c r="X80" s="539">
        <v>40.42</v>
      </c>
      <c r="Y80" s="539">
        <v>8.98</v>
      </c>
    </row>
    <row r="81" spans="15:25">
      <c r="P81" s="538">
        <v>26</v>
      </c>
      <c r="Q81" s="539">
        <v>11.92</v>
      </c>
      <c r="R81" s="539">
        <v>3.77</v>
      </c>
      <c r="S81" s="539">
        <v>80.900000000000006</v>
      </c>
      <c r="T81" s="539">
        <v>41.45</v>
      </c>
      <c r="U81" s="539">
        <v>9.24</v>
      </c>
      <c r="V81" s="539">
        <v>12</v>
      </c>
      <c r="W81" s="539">
        <v>1.86</v>
      </c>
      <c r="X81" s="539">
        <v>37.89</v>
      </c>
      <c r="Y81" s="539">
        <v>9.41</v>
      </c>
    </row>
    <row r="82" spans="15:25">
      <c r="P82" s="538">
        <v>27</v>
      </c>
      <c r="Q82" s="539">
        <v>11.92</v>
      </c>
      <c r="R82" s="539">
        <v>3.91</v>
      </c>
      <c r="S82" s="539">
        <v>82.99</v>
      </c>
      <c r="T82" s="539">
        <v>60.31</v>
      </c>
      <c r="U82" s="539">
        <v>9.73</v>
      </c>
      <c r="V82" s="539">
        <v>12</v>
      </c>
      <c r="W82" s="539">
        <v>1.9</v>
      </c>
      <c r="X82" s="539">
        <v>38.229999999999997</v>
      </c>
      <c r="Y82" s="539">
        <v>8.58</v>
      </c>
    </row>
    <row r="83" spans="15:25">
      <c r="O83" s="537">
        <v>28</v>
      </c>
      <c r="P83" s="538">
        <v>28</v>
      </c>
      <c r="Q83" s="539">
        <v>11.04</v>
      </c>
      <c r="R83" s="539">
        <v>3.91</v>
      </c>
      <c r="S83" s="539">
        <v>71.739999999999995</v>
      </c>
      <c r="T83" s="539">
        <v>39.090000000000003</v>
      </c>
      <c r="U83" s="539">
        <v>8.42</v>
      </c>
      <c r="V83" s="539">
        <v>12</v>
      </c>
      <c r="W83" s="539">
        <v>1.65</v>
      </c>
      <c r="X83" s="539">
        <v>33.9</v>
      </c>
      <c r="Y83" s="539">
        <v>6.64</v>
      </c>
    </row>
    <row r="84" spans="15:25">
      <c r="P84" s="538">
        <v>29</v>
      </c>
      <c r="Q84" s="539">
        <v>10.27</v>
      </c>
      <c r="R84" s="539">
        <v>3.42</v>
      </c>
      <c r="S84" s="539">
        <v>67.8</v>
      </c>
      <c r="T84" s="539">
        <v>32.590000000000003</v>
      </c>
      <c r="U84" s="539">
        <v>7.7</v>
      </c>
      <c r="V84" s="539">
        <v>10.51</v>
      </c>
      <c r="W84" s="539">
        <v>1.79</v>
      </c>
      <c r="X84" s="539">
        <v>31.97</v>
      </c>
      <c r="Y84" s="539">
        <v>6.49</v>
      </c>
    </row>
    <row r="85" spans="15:25">
      <c r="P85" s="538">
        <v>30</v>
      </c>
      <c r="Q85" s="539">
        <v>9.4700000000000006</v>
      </c>
      <c r="R85" s="539">
        <v>3.42</v>
      </c>
      <c r="S85" s="539">
        <v>69.62</v>
      </c>
      <c r="T85" s="539">
        <v>28.39</v>
      </c>
      <c r="U85" s="539">
        <v>7.39</v>
      </c>
      <c r="V85" s="539">
        <v>12</v>
      </c>
      <c r="W85" s="539">
        <v>1.64</v>
      </c>
      <c r="X85" s="539">
        <v>31.76</v>
      </c>
      <c r="Y85" s="539">
        <v>6.15</v>
      </c>
    </row>
    <row r="86" spans="15:25">
      <c r="P86" s="538">
        <v>31</v>
      </c>
      <c r="Q86" s="539">
        <v>9.0500000000000007</v>
      </c>
      <c r="R86" s="539">
        <v>3.3</v>
      </c>
      <c r="S86" s="539">
        <v>61.71</v>
      </c>
      <c r="T86" s="539">
        <v>26.51</v>
      </c>
      <c r="U86" s="539">
        <v>7.02</v>
      </c>
      <c r="V86" s="539">
        <v>12</v>
      </c>
      <c r="W86" s="539">
        <v>1.87</v>
      </c>
      <c r="X86" s="539">
        <v>31.68</v>
      </c>
      <c r="Y86" s="539">
        <v>5.51</v>
      </c>
    </row>
    <row r="87" spans="15:25">
      <c r="O87" s="537">
        <v>32</v>
      </c>
      <c r="P87" s="538">
        <v>32</v>
      </c>
      <c r="Q87" s="539">
        <v>9.9</v>
      </c>
      <c r="R87" s="539">
        <v>2.68</v>
      </c>
      <c r="S87" s="539">
        <v>65.38</v>
      </c>
      <c r="T87" s="539">
        <v>24.1</v>
      </c>
      <c r="U87" s="539">
        <v>6.7</v>
      </c>
      <c r="V87" s="539">
        <v>12</v>
      </c>
      <c r="W87" s="539">
        <v>1.95</v>
      </c>
      <c r="X87" s="539">
        <v>31.01</v>
      </c>
      <c r="Y87" s="539">
        <v>5.16</v>
      </c>
    </row>
    <row r="88" spans="15:25">
      <c r="P88" s="538">
        <v>33</v>
      </c>
      <c r="Q88" s="539">
        <v>9.17</v>
      </c>
      <c r="R88" s="539">
        <v>2.4300000000000002</v>
      </c>
      <c r="S88" s="539">
        <v>59.63</v>
      </c>
      <c r="T88" s="539">
        <v>24.29</v>
      </c>
      <c r="U88" s="539">
        <v>6.44</v>
      </c>
      <c r="V88" s="539">
        <v>12</v>
      </c>
      <c r="W88" s="539">
        <v>1.82</v>
      </c>
      <c r="X88" s="539">
        <v>30.23</v>
      </c>
      <c r="Y88" s="539">
        <v>5.27</v>
      </c>
    </row>
    <row r="89" spans="15:25">
      <c r="P89" s="538">
        <v>34</v>
      </c>
      <c r="Q89" s="539">
        <v>7.78</v>
      </c>
      <c r="R89" s="539">
        <v>2.61</v>
      </c>
      <c r="S89" s="539">
        <v>60.62</v>
      </c>
      <c r="T89" s="539">
        <v>25.9</v>
      </c>
      <c r="U89" s="539">
        <v>6.62</v>
      </c>
      <c r="V89" s="539">
        <v>12</v>
      </c>
      <c r="W89" s="539">
        <v>1.89</v>
      </c>
      <c r="X89" s="539">
        <v>32.17</v>
      </c>
      <c r="Y89" s="539">
        <v>5.0599999999999996</v>
      </c>
    </row>
    <row r="90" spans="15:25">
      <c r="P90" s="538">
        <v>35</v>
      </c>
      <c r="Q90" s="539">
        <v>7.73</v>
      </c>
      <c r="R90" s="539">
        <v>3.07</v>
      </c>
      <c r="S90" s="539">
        <v>58.47</v>
      </c>
      <c r="T90" s="539">
        <v>26.33</v>
      </c>
      <c r="U90" s="539">
        <v>6.66</v>
      </c>
      <c r="V90" s="539">
        <v>12.14</v>
      </c>
      <c r="W90" s="539">
        <v>1.97</v>
      </c>
      <c r="X90" s="539">
        <v>31.63</v>
      </c>
      <c r="Y90" s="539">
        <v>4.84</v>
      </c>
    </row>
    <row r="91" spans="15:25">
      <c r="O91" s="537">
        <v>36</v>
      </c>
      <c r="P91" s="538">
        <v>36</v>
      </c>
      <c r="Q91" s="539">
        <v>7.1</v>
      </c>
      <c r="R91" s="539">
        <v>3.57</v>
      </c>
      <c r="S91" s="539">
        <v>61.13</v>
      </c>
      <c r="T91" s="539">
        <v>27.35</v>
      </c>
      <c r="U91" s="539">
        <v>6.84</v>
      </c>
      <c r="V91" s="539">
        <v>13</v>
      </c>
      <c r="W91" s="539">
        <v>1.76</v>
      </c>
      <c r="X91" s="539">
        <v>34.090000000000003</v>
      </c>
      <c r="Y91" s="539">
        <v>4.8899999999999997</v>
      </c>
    </row>
    <row r="92" spans="15:25">
      <c r="P92" s="538">
        <v>37</v>
      </c>
      <c r="Q92" s="539">
        <v>7.53</v>
      </c>
      <c r="R92" s="539">
        <v>5.04</v>
      </c>
      <c r="S92" s="539">
        <v>59.93</v>
      </c>
      <c r="T92" s="539">
        <v>34.56</v>
      </c>
      <c r="U92" s="539">
        <v>7.96</v>
      </c>
      <c r="V92" s="539">
        <v>13</v>
      </c>
      <c r="W92" s="539">
        <v>1.7</v>
      </c>
      <c r="X92" s="539">
        <v>38.06</v>
      </c>
      <c r="Y92" s="539">
        <v>8.4</v>
      </c>
    </row>
    <row r="93" spans="15:25">
      <c r="P93" s="538">
        <v>38</v>
      </c>
      <c r="Q93" s="539">
        <v>9.73</v>
      </c>
      <c r="R93" s="539">
        <v>3.75</v>
      </c>
      <c r="S93" s="539">
        <v>64.319999999999993</v>
      </c>
      <c r="T93" s="539">
        <v>41.74</v>
      </c>
      <c r="U93" s="539">
        <v>9.43</v>
      </c>
      <c r="V93" s="539">
        <v>13</v>
      </c>
      <c r="W93" s="539">
        <v>1.77</v>
      </c>
      <c r="X93" s="539">
        <v>41.12</v>
      </c>
      <c r="Y93" s="539">
        <v>6.42</v>
      </c>
    </row>
    <row r="94" spans="15:25">
      <c r="O94" s="537">
        <v>39</v>
      </c>
      <c r="P94" s="538">
        <v>39</v>
      </c>
      <c r="Q94" s="539">
        <v>7.21</v>
      </c>
      <c r="R94" s="539">
        <v>3.83</v>
      </c>
      <c r="S94" s="539">
        <v>66.83</v>
      </c>
      <c r="T94" s="539">
        <v>46.48</v>
      </c>
      <c r="U94" s="539">
        <v>7.93</v>
      </c>
      <c r="V94" s="539">
        <v>13</v>
      </c>
      <c r="W94" s="539">
        <v>1.99</v>
      </c>
      <c r="X94" s="539">
        <v>33.06</v>
      </c>
      <c r="Y94" s="539">
        <v>7.98</v>
      </c>
    </row>
    <row r="95" spans="15:25">
      <c r="P95" s="538">
        <v>40</v>
      </c>
      <c r="Q95" s="539">
        <v>6.89</v>
      </c>
      <c r="R95" s="539">
        <v>3.2</v>
      </c>
      <c r="S95" s="539">
        <v>56.32</v>
      </c>
      <c r="T95" s="539">
        <v>28.11</v>
      </c>
      <c r="U95" s="539">
        <v>6.02</v>
      </c>
      <c r="V95" s="539">
        <v>13</v>
      </c>
      <c r="W95" s="539">
        <v>1.48</v>
      </c>
      <c r="X95" s="539">
        <v>35.54</v>
      </c>
      <c r="Y95" s="539">
        <v>5.32</v>
      </c>
    </row>
    <row r="96" spans="15:25">
      <c r="P96" s="538">
        <v>41</v>
      </c>
      <c r="Q96" s="539">
        <v>7.51</v>
      </c>
      <c r="R96" s="539">
        <v>3.26</v>
      </c>
      <c r="S96" s="539">
        <v>57.18</v>
      </c>
      <c r="T96" s="539">
        <v>32.11</v>
      </c>
      <c r="U96" s="539">
        <v>6.5</v>
      </c>
      <c r="V96" s="539">
        <v>13</v>
      </c>
      <c r="W96" s="539">
        <v>1.53</v>
      </c>
      <c r="X96" s="539">
        <v>37.47</v>
      </c>
      <c r="Y96" s="539">
        <v>4.95</v>
      </c>
    </row>
    <row r="97" spans="14:25">
      <c r="P97" s="538">
        <v>42</v>
      </c>
      <c r="Q97" s="539">
        <v>7.92</v>
      </c>
      <c r="R97" s="539">
        <v>3.59</v>
      </c>
      <c r="S97" s="539">
        <v>71.87</v>
      </c>
      <c r="T97" s="539">
        <v>64.69</v>
      </c>
      <c r="U97" s="539">
        <v>9.44</v>
      </c>
      <c r="V97" s="539">
        <v>13</v>
      </c>
      <c r="W97" s="539">
        <v>1.93</v>
      </c>
      <c r="X97" s="539">
        <v>52.42</v>
      </c>
      <c r="Y97" s="539">
        <v>7.39</v>
      </c>
    </row>
    <row r="98" spans="14:25">
      <c r="O98" s="537">
        <v>43</v>
      </c>
      <c r="P98" s="538">
        <v>43</v>
      </c>
      <c r="Q98" s="539">
        <v>9.16</v>
      </c>
      <c r="R98" s="539">
        <v>3.99</v>
      </c>
      <c r="S98" s="539">
        <v>73.22</v>
      </c>
      <c r="T98" s="539">
        <v>71.16</v>
      </c>
      <c r="U98" s="539">
        <v>8.8800000000000008</v>
      </c>
      <c r="V98" s="539">
        <v>13</v>
      </c>
      <c r="W98" s="539">
        <v>1.69</v>
      </c>
      <c r="X98" s="539">
        <v>43.93</v>
      </c>
      <c r="Y98" s="539">
        <v>6.18</v>
      </c>
    </row>
    <row r="99" spans="14:25">
      <c r="P99" s="538">
        <v>44</v>
      </c>
      <c r="Q99" s="539">
        <v>8.81</v>
      </c>
      <c r="R99" s="539">
        <v>5.0199999999999996</v>
      </c>
      <c r="S99" s="539">
        <v>75.150000000000006</v>
      </c>
      <c r="T99" s="539">
        <v>62.33</v>
      </c>
      <c r="U99" s="539">
        <v>10.59</v>
      </c>
      <c r="V99" s="539">
        <v>13</v>
      </c>
      <c r="W99" s="539">
        <v>1.65</v>
      </c>
      <c r="X99" s="539">
        <v>40.229999999999997</v>
      </c>
      <c r="Y99" s="539">
        <v>8.7899999999999991</v>
      </c>
    </row>
    <row r="100" spans="14:25">
      <c r="P100" s="538">
        <v>45</v>
      </c>
      <c r="Q100" s="539">
        <v>8.3800000000000008</v>
      </c>
      <c r="R100" s="539">
        <v>4.2</v>
      </c>
      <c r="S100" s="539">
        <v>67.39</v>
      </c>
      <c r="T100" s="539">
        <v>61.76</v>
      </c>
      <c r="U100" s="539">
        <v>10.039999999999999</v>
      </c>
      <c r="V100" s="539">
        <v>13</v>
      </c>
      <c r="W100" s="539">
        <v>1.51</v>
      </c>
      <c r="X100" s="539">
        <v>41.85</v>
      </c>
      <c r="Y100" s="539">
        <v>11.45</v>
      </c>
    </row>
    <row r="101" spans="14:25">
      <c r="P101" s="538">
        <v>46</v>
      </c>
      <c r="Q101" s="539">
        <v>7.55</v>
      </c>
      <c r="R101" s="539">
        <v>3.7</v>
      </c>
      <c r="S101" s="539">
        <v>66.959999999999994</v>
      </c>
      <c r="T101" s="539">
        <v>66.040000000000006</v>
      </c>
      <c r="U101" s="539">
        <v>8.7799999999999994</v>
      </c>
      <c r="V101" s="539">
        <v>13</v>
      </c>
      <c r="W101" s="539">
        <v>1.65</v>
      </c>
      <c r="X101" s="539">
        <v>70.849999999999994</v>
      </c>
      <c r="Y101" s="539">
        <v>14.58</v>
      </c>
    </row>
    <row r="102" spans="14:25">
      <c r="P102" s="538">
        <v>47</v>
      </c>
      <c r="Q102" s="539">
        <v>7.39</v>
      </c>
      <c r="R102" s="539">
        <v>3.85</v>
      </c>
      <c r="S102" s="539">
        <v>67.72</v>
      </c>
      <c r="T102" s="539">
        <v>52.82</v>
      </c>
      <c r="U102" s="539">
        <v>7.81</v>
      </c>
      <c r="V102" s="539">
        <v>13</v>
      </c>
      <c r="W102" s="539">
        <v>1.6</v>
      </c>
      <c r="X102" s="539">
        <v>64.819999999999993</v>
      </c>
      <c r="Y102" s="539">
        <v>12.14</v>
      </c>
    </row>
    <row r="103" spans="14:25">
      <c r="O103" s="537">
        <v>48</v>
      </c>
      <c r="P103" s="538">
        <v>48</v>
      </c>
      <c r="Q103" s="539">
        <v>7.9678571564285718</v>
      </c>
      <c r="R103" s="539">
        <v>3.558142900428571</v>
      </c>
      <c r="S103" s="539">
        <v>77.366571698571434</v>
      </c>
      <c r="T103" s="539">
        <v>66.577285762857144</v>
      </c>
      <c r="U103" s="539">
        <v>9.1851428580000007</v>
      </c>
      <c r="V103" s="539">
        <v>13.005714417142858</v>
      </c>
      <c r="W103" s="539">
        <v>1.6</v>
      </c>
      <c r="X103" s="539">
        <v>47.846427917142854</v>
      </c>
      <c r="Y103" s="539">
        <v>12.516714369142859</v>
      </c>
    </row>
    <row r="104" spans="14:25">
      <c r="P104" s="538">
        <v>49</v>
      </c>
      <c r="Q104" s="539">
        <v>8.4875713758571436</v>
      </c>
      <c r="R104" s="539">
        <v>3.2600000074285718</v>
      </c>
      <c r="S104" s="539">
        <v>84.55585806714285</v>
      </c>
      <c r="T104" s="539">
        <v>72.732000077142857</v>
      </c>
      <c r="U104" s="539">
        <v>14.04828548342857</v>
      </c>
      <c r="V104" s="539">
        <v>13.002857208571429</v>
      </c>
      <c r="W104" s="539">
        <v>1.6</v>
      </c>
      <c r="X104" s="539">
        <v>57.322143555714298</v>
      </c>
      <c r="Y104" s="539">
        <v>18.826999800000003</v>
      </c>
    </row>
    <row r="105" spans="14:25">
      <c r="P105" s="538">
        <v>50</v>
      </c>
      <c r="Q105" s="539">
        <v>8.7257142747142868</v>
      </c>
      <c r="R105" s="539">
        <v>3.4628571441428577</v>
      </c>
      <c r="S105" s="539">
        <v>77.460142951428566</v>
      </c>
      <c r="T105" s="539">
        <v>64.097142899999994</v>
      </c>
      <c r="U105" s="539">
        <v>11.032857077571427</v>
      </c>
      <c r="V105" s="539">
        <v>13</v>
      </c>
      <c r="W105" s="539">
        <v>1.6000000240000001</v>
      </c>
      <c r="X105" s="539">
        <v>51.470714571428573</v>
      </c>
      <c r="Y105" s="539">
        <v>20.280285972857143</v>
      </c>
    </row>
    <row r="106" spans="14:25">
      <c r="P106" s="538">
        <v>51</v>
      </c>
      <c r="Q106" s="539">
        <v>9.7215715127142861</v>
      </c>
      <c r="R106" s="539">
        <v>4.2539999484285715</v>
      </c>
      <c r="S106" s="539">
        <v>78.166143688571424</v>
      </c>
      <c r="T106" s="539">
        <v>94.237856191428577</v>
      </c>
      <c r="U106" s="539">
        <v>14.381428445285712</v>
      </c>
      <c r="V106" s="539">
        <v>13.01285743857143</v>
      </c>
      <c r="W106" s="539">
        <v>1.6257142851428572</v>
      </c>
      <c r="X106" s="539">
        <v>65.58357184285714</v>
      </c>
      <c r="Y106" s="539">
        <v>34.849000112857141</v>
      </c>
    </row>
    <row r="107" spans="14:25">
      <c r="O107" s="537">
        <v>52</v>
      </c>
      <c r="P107" s="538">
        <v>52</v>
      </c>
      <c r="Q107" s="539">
        <v>10.323285784571427</v>
      </c>
      <c r="R107" s="539">
        <v>4.6457142829999993</v>
      </c>
      <c r="S107" s="539">
        <v>86.972714017142849</v>
      </c>
      <c r="T107" s="539">
        <v>94.357285634285716</v>
      </c>
      <c r="U107" s="539">
        <v>13.293999945714287</v>
      </c>
      <c r="V107" s="539">
        <v>13.09681579142857</v>
      </c>
      <c r="W107" s="539">
        <v>1.644999981</v>
      </c>
      <c r="X107" s="539">
        <v>104.27285767571428</v>
      </c>
      <c r="Y107" s="539">
        <v>35.335714887142856</v>
      </c>
    </row>
    <row r="108" spans="14:25">
      <c r="N108" s="537">
        <v>2018</v>
      </c>
      <c r="O108" s="537">
        <v>1</v>
      </c>
      <c r="P108" s="538">
        <v>1</v>
      </c>
      <c r="Q108" s="539">
        <v>10.34</v>
      </c>
      <c r="R108" s="539">
        <v>4.4628571428571426</v>
      </c>
      <c r="S108" s="539">
        <v>140.04142857142858</v>
      </c>
      <c r="T108" s="539">
        <v>143.09</v>
      </c>
      <c r="U108" s="539">
        <v>20.63</v>
      </c>
      <c r="V108" s="539">
        <v>13</v>
      </c>
      <c r="W108" s="539">
        <v>1.64</v>
      </c>
      <c r="X108" s="539">
        <v>201.2428571428571</v>
      </c>
      <c r="Y108" s="539">
        <v>63.23</v>
      </c>
    </row>
    <row r="109" spans="14:25">
      <c r="P109" s="538">
        <v>2</v>
      </c>
      <c r="Q109" s="539">
        <v>13.730999947142859</v>
      </c>
      <c r="R109" s="539">
        <v>3.5944285392857145</v>
      </c>
      <c r="S109" s="539">
        <v>209.91800362857143</v>
      </c>
      <c r="T109" s="539">
        <v>160.98214394285716</v>
      </c>
      <c r="U109" s="539">
        <v>36.213856559999996</v>
      </c>
      <c r="V109" s="539">
        <v>11.774285724285715</v>
      </c>
      <c r="W109" s="539">
        <v>1.5914286031428568</v>
      </c>
      <c r="X109" s="539">
        <v>229.4250030571429</v>
      </c>
      <c r="Y109" s="539">
        <v>56.654285431428562</v>
      </c>
    </row>
    <row r="110" spans="14:25">
      <c r="P110" s="538">
        <v>3</v>
      </c>
      <c r="Q110" s="539">
        <v>15.983285902857142</v>
      </c>
      <c r="R110" s="539">
        <v>8.3045714242857152</v>
      </c>
      <c r="S110" s="539">
        <v>223.6645725857143</v>
      </c>
      <c r="T110" s="539">
        <v>190.44042751428574</v>
      </c>
      <c r="U110" s="539">
        <v>30.819142750000001</v>
      </c>
      <c r="V110" s="539">
        <v>11.857142857142858</v>
      </c>
      <c r="W110" s="539">
        <v>1.5814286125714285</v>
      </c>
      <c r="X110" s="539">
        <v>261.56357028571426</v>
      </c>
      <c r="Y110" s="539">
        <v>68.516428267142857</v>
      </c>
    </row>
    <row r="111" spans="14:25">
      <c r="O111" s="537">
        <v>4</v>
      </c>
      <c r="P111" s="538">
        <v>4</v>
      </c>
      <c r="Q111" s="539">
        <v>21.988571574285714</v>
      </c>
      <c r="R111" s="539">
        <v>15.598142828000002</v>
      </c>
      <c r="S111" s="539">
        <v>346.88342720000003</v>
      </c>
      <c r="T111" s="539">
        <v>205.5832868285714</v>
      </c>
      <c r="U111" s="539">
        <v>40.893000467142862</v>
      </c>
      <c r="V111" s="539">
        <v>18.734285627142857</v>
      </c>
      <c r="W111" s="539">
        <v>1.5700000519999997</v>
      </c>
      <c r="X111" s="539">
        <v>261.98000009999998</v>
      </c>
      <c r="Y111" s="539">
        <v>58.935427530000005</v>
      </c>
    </row>
    <row r="112" spans="14:25">
      <c r="P112" s="538">
        <v>5</v>
      </c>
      <c r="Q112" s="539">
        <v>17.729000225714284</v>
      </c>
      <c r="R112" s="539">
        <v>13.724571365714285</v>
      </c>
      <c r="S112" s="539">
        <v>214.95928737142859</v>
      </c>
      <c r="T112" s="539">
        <v>93.607142857142861</v>
      </c>
      <c r="U112" s="539">
        <v>17.748285841428572</v>
      </c>
      <c r="V112" s="539">
        <v>23.390000208571426</v>
      </c>
      <c r="W112" s="539">
        <v>1.5700000519999997</v>
      </c>
      <c r="X112" s="539">
        <v>141.83571514285714</v>
      </c>
      <c r="Y112" s="539">
        <v>45.332857951428579</v>
      </c>
    </row>
    <row r="113" spans="15:25">
      <c r="P113" s="538">
        <v>6</v>
      </c>
      <c r="Q113" s="539">
        <v>13.582571572857143</v>
      </c>
      <c r="R113" s="539">
        <v>8.6634286477142854</v>
      </c>
      <c r="S113" s="539">
        <v>166.34242902857142</v>
      </c>
      <c r="T113" s="539">
        <v>108.25571334000001</v>
      </c>
      <c r="U113" s="539">
        <v>18.79157175142857</v>
      </c>
      <c r="V113" s="539">
        <v>20.201017107142857</v>
      </c>
      <c r="W113" s="539">
        <v>2.3694285491428571</v>
      </c>
      <c r="X113" s="539">
        <v>164.55714089999998</v>
      </c>
      <c r="Y113" s="539">
        <v>65.987571171428584</v>
      </c>
    </row>
    <row r="114" spans="15:25">
      <c r="P114" s="538">
        <v>7</v>
      </c>
      <c r="Q114" s="539">
        <v>14.722571237142859</v>
      </c>
      <c r="R114" s="539">
        <v>11.071428435428571</v>
      </c>
      <c r="S114" s="539">
        <v>239.50057330000001</v>
      </c>
      <c r="T114" s="539">
        <v>202.98199900000003</v>
      </c>
      <c r="U114" s="539">
        <v>42.088571821428573</v>
      </c>
      <c r="V114" s="539">
        <v>15.283185821428571</v>
      </c>
      <c r="W114" s="539">
        <v>3.1689999100000001</v>
      </c>
      <c r="X114" s="539">
        <v>355.31285748571423</v>
      </c>
      <c r="Y114" s="539">
        <v>97.722999031428586</v>
      </c>
    </row>
    <row r="115" spans="15:25">
      <c r="O115" s="537">
        <v>8</v>
      </c>
      <c r="P115" s="538">
        <v>8</v>
      </c>
      <c r="Q115" s="539">
        <v>18.48</v>
      </c>
      <c r="R115" s="539">
        <v>14.97</v>
      </c>
      <c r="S115" s="539">
        <v>357.61814662857148</v>
      </c>
      <c r="T115" s="539">
        <v>251.1</v>
      </c>
      <c r="U115" s="539">
        <v>43.74</v>
      </c>
      <c r="V115" s="539">
        <v>16.564</v>
      </c>
      <c r="W115" s="539">
        <v>3.16</v>
      </c>
      <c r="X115" s="539">
        <v>437.78</v>
      </c>
      <c r="Y115" s="539">
        <v>142.13</v>
      </c>
    </row>
    <row r="116" spans="15:25">
      <c r="P116" s="538">
        <v>9</v>
      </c>
      <c r="Q116" s="539">
        <v>21.652428627142854</v>
      </c>
      <c r="R116" s="539">
        <v>14.185285431142857</v>
      </c>
      <c r="S116" s="539">
        <v>333.90885488571433</v>
      </c>
      <c r="T116" s="539">
        <v>204.95843285714287</v>
      </c>
      <c r="U116" s="539">
        <v>31.755000522857138</v>
      </c>
      <c r="V116" s="539">
        <v>15.852976190476195</v>
      </c>
      <c r="W116" s="539">
        <v>3.1689999100000001</v>
      </c>
      <c r="X116" s="539">
        <v>424.14571271428576</v>
      </c>
      <c r="Y116" s="539">
        <v>142.13857270714286</v>
      </c>
    </row>
    <row r="117" spans="15:25">
      <c r="P117" s="538">
        <v>10</v>
      </c>
      <c r="Q117" s="539">
        <v>30.272714344285713</v>
      </c>
      <c r="R117" s="539">
        <v>17.434571538571429</v>
      </c>
      <c r="S117" s="539">
        <v>431.64157101428572</v>
      </c>
      <c r="T117" s="539">
        <v>177.15485925714287</v>
      </c>
      <c r="U117" s="539">
        <v>31.196571622857142</v>
      </c>
      <c r="V117" s="539">
        <v>14.442</v>
      </c>
      <c r="W117" s="539">
        <v>4.7437142644285712</v>
      </c>
      <c r="X117" s="539">
        <v>293.69142804285718</v>
      </c>
      <c r="Y117" s="539">
        <v>72.30971418</v>
      </c>
    </row>
    <row r="118" spans="15:25">
      <c r="P118" s="538">
        <v>11</v>
      </c>
      <c r="Q118" s="539">
        <v>28.071857179999999</v>
      </c>
      <c r="R118" s="539">
        <v>17.048571724285715</v>
      </c>
      <c r="S118" s="539">
        <v>485.98543439999997</v>
      </c>
      <c r="T118" s="539">
        <v>169.375</v>
      </c>
      <c r="U118" s="539">
        <v>52.626284462857136</v>
      </c>
      <c r="V118" s="539">
        <v>18.273</v>
      </c>
      <c r="W118" s="539">
        <v>3.0879999738571429</v>
      </c>
      <c r="X118" s="539">
        <v>511.54500034285724</v>
      </c>
      <c r="Y118" s="539">
        <v>119.7894287057143</v>
      </c>
    </row>
    <row r="119" spans="15:25">
      <c r="O119" s="537">
        <v>12</v>
      </c>
      <c r="P119" s="538">
        <v>12</v>
      </c>
      <c r="Q119" s="539">
        <v>29.90999984714286</v>
      </c>
      <c r="R119" s="539">
        <v>21.62</v>
      </c>
      <c r="S119" s="539">
        <v>465.24414497142863</v>
      </c>
      <c r="T119" s="539">
        <v>201.58328465714288</v>
      </c>
      <c r="U119" s="539">
        <v>57.669144221428567</v>
      </c>
      <c r="V119" s="539">
        <v>23.244</v>
      </c>
      <c r="W119" s="539">
        <v>4.5095714328571432</v>
      </c>
      <c r="X119" s="539">
        <v>433.89143152857145</v>
      </c>
      <c r="Y119" s="539">
        <v>152.80443028571429</v>
      </c>
    </row>
    <row r="120" spans="15:25">
      <c r="P120" s="538">
        <v>13</v>
      </c>
      <c r="Q120" s="539">
        <v>28.360142844285718</v>
      </c>
      <c r="R120" s="539">
        <v>17.439428465714283</v>
      </c>
      <c r="S120" s="539">
        <v>396.37686155714289</v>
      </c>
      <c r="T120" s="539">
        <v>163.75585502857143</v>
      </c>
      <c r="U120" s="539">
        <v>35.725570951428573</v>
      </c>
      <c r="V120" s="539">
        <v>23.143392837142859</v>
      </c>
      <c r="W120" s="539">
        <v>3.3929999999999998</v>
      </c>
      <c r="X120" s="539">
        <v>281.79928587142859</v>
      </c>
      <c r="Y120" s="539">
        <v>107.32928468714286</v>
      </c>
    </row>
    <row r="121" spans="15:25">
      <c r="P121" s="538">
        <v>14</v>
      </c>
      <c r="Q121" s="539">
        <v>23.830285752857144</v>
      </c>
      <c r="R121" s="539">
        <v>12.833285604571429</v>
      </c>
      <c r="S121" s="539">
        <v>226.32643345714288</v>
      </c>
      <c r="T121" s="539">
        <v>133.53585814285714</v>
      </c>
      <c r="U121" s="539">
        <v>28.622000282857147</v>
      </c>
      <c r="V121" s="539">
        <v>19.16</v>
      </c>
      <c r="W121" s="539">
        <v>1.736</v>
      </c>
      <c r="X121" s="539">
        <v>176.23214502857144</v>
      </c>
      <c r="Y121" s="539">
        <v>80.936570849999995</v>
      </c>
    </row>
    <row r="122" spans="15:25">
      <c r="P122" s="538">
        <v>15</v>
      </c>
      <c r="Q122" s="539">
        <v>27</v>
      </c>
      <c r="R122" s="539">
        <v>15.571285655714286</v>
      </c>
      <c r="S122" s="539">
        <v>207.40800040000002</v>
      </c>
      <c r="T122" s="539">
        <v>107.59514291428572</v>
      </c>
      <c r="U122" s="539">
        <v>30.753999982857145</v>
      </c>
      <c r="V122" s="539">
        <v>14.377143042857142</v>
      </c>
      <c r="W122" s="539">
        <v>1.8612856864285716</v>
      </c>
      <c r="X122" s="539">
        <v>130.09</v>
      </c>
      <c r="Y122" s="539">
        <v>42.693143572857146</v>
      </c>
    </row>
    <row r="123" spans="15:25">
      <c r="O123" s="537">
        <v>16</v>
      </c>
      <c r="P123" s="538">
        <v>16</v>
      </c>
      <c r="Q123" s="539">
        <v>19.899999999999999</v>
      </c>
      <c r="R123" s="539">
        <v>12.83</v>
      </c>
      <c r="S123" s="539">
        <v>166.38871437142856</v>
      </c>
      <c r="T123" s="539">
        <v>95.78</v>
      </c>
      <c r="U123" s="539">
        <v>29.88</v>
      </c>
      <c r="V123" s="539">
        <v>12.36</v>
      </c>
      <c r="W123" s="539">
        <v>1.9</v>
      </c>
      <c r="X123" s="539">
        <v>96.9</v>
      </c>
      <c r="Y123" s="539">
        <v>33.717142651428574</v>
      </c>
    </row>
    <row r="124" spans="15:25">
      <c r="P124" s="538">
        <v>17</v>
      </c>
      <c r="Q124" s="539">
        <v>19.14</v>
      </c>
      <c r="R124" s="539">
        <v>13.52</v>
      </c>
      <c r="S124" s="539">
        <v>168.19342804285716</v>
      </c>
      <c r="T124" s="539">
        <v>95.39</v>
      </c>
      <c r="U124" s="539">
        <v>22.257285525714284</v>
      </c>
      <c r="V124" s="539">
        <v>13.4</v>
      </c>
      <c r="W124" s="539">
        <v>1.7940000124285713</v>
      </c>
      <c r="X124" s="539">
        <v>89.59</v>
      </c>
      <c r="Y124" s="539">
        <v>27.06</v>
      </c>
    </row>
    <row r="125" spans="15:25">
      <c r="P125" s="538">
        <v>18</v>
      </c>
      <c r="Q125" s="539">
        <v>19.703571455714286</v>
      </c>
      <c r="R125" s="539">
        <v>14.166857039571427</v>
      </c>
      <c r="S125" s="539">
        <v>171.5428597714286</v>
      </c>
      <c r="T125" s="539">
        <v>85.958285739999994</v>
      </c>
      <c r="U125" s="539">
        <v>21.651714052857141</v>
      </c>
      <c r="V125" s="539">
        <v>12.785805702857145</v>
      </c>
      <c r="W125" s="539">
        <v>2.3024285860000004</v>
      </c>
      <c r="X125" s="539">
        <v>89.602142331428567</v>
      </c>
      <c r="Y125" s="539">
        <v>22.269714081428571</v>
      </c>
    </row>
    <row r="126" spans="15:25">
      <c r="P126" s="538">
        <v>19</v>
      </c>
      <c r="Q126" s="539">
        <v>15.48828561</v>
      </c>
      <c r="R126" s="539">
        <v>12.650857108142857</v>
      </c>
      <c r="S126" s="539">
        <v>146.54485865714287</v>
      </c>
      <c r="T126" s="539">
        <v>88.244000028571435</v>
      </c>
      <c r="U126" s="539">
        <v>19.037142890000002</v>
      </c>
      <c r="V126" s="539">
        <v>11.328391347142857</v>
      </c>
      <c r="W126" s="539">
        <v>1.8057142665714285</v>
      </c>
      <c r="X126" s="539">
        <v>75.568572998571426</v>
      </c>
      <c r="Y126" s="539">
        <v>17.565999711428571</v>
      </c>
    </row>
    <row r="127" spans="15:25">
      <c r="O127" s="537">
        <v>20</v>
      </c>
      <c r="P127" s="538">
        <v>20</v>
      </c>
      <c r="Q127" s="539">
        <v>14.601142882857145</v>
      </c>
      <c r="R127" s="539">
        <v>10.013285772</v>
      </c>
      <c r="S127" s="539">
        <v>112.76242937142857</v>
      </c>
      <c r="T127" s="539">
        <v>64.809571402857145</v>
      </c>
      <c r="U127" s="539">
        <v>16.531571660000001</v>
      </c>
      <c r="V127" s="539">
        <v>10.899261474285714</v>
      </c>
      <c r="W127" s="539">
        <v>1.7767143248571429</v>
      </c>
      <c r="X127" s="539">
        <v>62.208570752857149</v>
      </c>
      <c r="Y127" s="539">
        <v>14.502285821428572</v>
      </c>
    </row>
    <row r="128" spans="15:25">
      <c r="P128" s="538">
        <v>21</v>
      </c>
      <c r="Q128" s="539">
        <v>13.411285537142858</v>
      </c>
      <c r="R128" s="539">
        <v>7.8631429672857154</v>
      </c>
      <c r="S128" s="539">
        <v>94.636570517142857</v>
      </c>
      <c r="T128" s="539">
        <v>49.303714208571428</v>
      </c>
      <c r="U128" s="539">
        <v>13.450571468571427</v>
      </c>
      <c r="V128" s="539">
        <v>11.166911400000002</v>
      </c>
      <c r="W128" s="539">
        <v>1.8437143055714282</v>
      </c>
      <c r="X128" s="539">
        <v>54.38714218285714</v>
      </c>
      <c r="Y128" s="539">
        <v>12.214999879999999</v>
      </c>
    </row>
    <row r="129" spans="15:26">
      <c r="P129" s="538">
        <v>22</v>
      </c>
      <c r="Q129" s="539">
        <v>12.490285737142855</v>
      </c>
      <c r="R129" s="539">
        <v>6.4215714250000007</v>
      </c>
      <c r="S129" s="539">
        <v>81.718714031428576</v>
      </c>
      <c r="T129" s="539">
        <v>42.928571428571431</v>
      </c>
      <c r="U129" s="539">
        <v>11.897571562857141</v>
      </c>
      <c r="V129" s="539">
        <v>10.57333578442857</v>
      </c>
      <c r="W129" s="539">
        <v>1.8770000252857142</v>
      </c>
      <c r="X129" s="539">
        <v>48.837857382857138</v>
      </c>
      <c r="Y129" s="539">
        <v>10.894571441428569</v>
      </c>
    </row>
    <row r="130" spans="15:26">
      <c r="P130" s="538">
        <v>23</v>
      </c>
      <c r="Q130" s="539">
        <v>12.278000014285713</v>
      </c>
      <c r="R130" s="539">
        <v>5.5577142921428564</v>
      </c>
      <c r="S130" s="539">
        <v>83.760285512857152</v>
      </c>
      <c r="T130" s="539">
        <v>67.797571451428567</v>
      </c>
      <c r="U130" s="539">
        <v>15.801714215714284</v>
      </c>
      <c r="V130" s="539">
        <v>11.341294289999999</v>
      </c>
      <c r="W130" s="539">
        <v>1.7928571701428571</v>
      </c>
      <c r="X130" s="539">
        <v>58.175000328571436</v>
      </c>
      <c r="Y130" s="539">
        <v>13.860571451428571</v>
      </c>
    </row>
    <row r="131" spans="15:26">
      <c r="O131" s="537">
        <v>24</v>
      </c>
      <c r="P131" s="538">
        <v>24</v>
      </c>
      <c r="Q131" s="539">
        <v>10.882714271142857</v>
      </c>
      <c r="R131" s="539">
        <v>5.3317142215714286</v>
      </c>
      <c r="S131" s="539">
        <v>82.799001421428557</v>
      </c>
      <c r="T131" s="539">
        <v>63.982142857142854</v>
      </c>
      <c r="U131" s="539">
        <v>15.595999989999999</v>
      </c>
      <c r="V131" s="539">
        <v>11.96411841142857</v>
      </c>
      <c r="W131" s="539">
        <v>2.0252857377142854</v>
      </c>
      <c r="X131" s="539">
        <v>61.988572801428582</v>
      </c>
      <c r="Y131" s="539">
        <v>13.392856871428572</v>
      </c>
    </row>
    <row r="132" spans="15:26">
      <c r="P132" s="538">
        <v>25</v>
      </c>
      <c r="Q132" s="539">
        <v>10.290999957142857</v>
      </c>
      <c r="R132" s="539">
        <v>3.7498572211428569</v>
      </c>
      <c r="S132" s="539">
        <v>74.093855721428568</v>
      </c>
      <c r="T132" s="539">
        <v>53.035571505714287</v>
      </c>
      <c r="U132" s="539">
        <v>14.135857038571428</v>
      </c>
      <c r="V132" s="539">
        <v>11.79</v>
      </c>
      <c r="W132" s="539">
        <v>2.0514285564285717</v>
      </c>
      <c r="X132" s="539">
        <v>51.970714024285719</v>
      </c>
      <c r="Y132" s="539">
        <v>10.749428476857142</v>
      </c>
    </row>
    <row r="133" spans="15:26">
      <c r="P133" s="538">
        <v>26</v>
      </c>
      <c r="Q133" s="539">
        <v>9.5591429302857147</v>
      </c>
      <c r="R133" s="539">
        <v>3.5651427677142853</v>
      </c>
      <c r="S133" s="539">
        <v>66.795142037142867</v>
      </c>
      <c r="T133" s="539">
        <v>40.369000025714286</v>
      </c>
      <c r="U133" s="539">
        <v>10.912428581428573</v>
      </c>
      <c r="V133" s="539">
        <v>10.93</v>
      </c>
      <c r="W133" s="539">
        <v>2.1038571597142854</v>
      </c>
      <c r="X133" s="539">
        <v>44.390714371428579</v>
      </c>
      <c r="Y133" s="539">
        <v>9.1145714351428584</v>
      </c>
    </row>
    <row r="134" spans="15:26">
      <c r="P134" s="538">
        <v>27</v>
      </c>
      <c r="Q134" s="539">
        <v>9.3137141635714293</v>
      </c>
      <c r="R134" s="539">
        <v>4.7600000245714282</v>
      </c>
      <c r="S134" s="539">
        <v>67.368571689999996</v>
      </c>
      <c r="T134" s="539">
        <v>33.409999999999997</v>
      </c>
      <c r="U134" s="539">
        <v>9.4035714009999989</v>
      </c>
      <c r="V134" s="539">
        <v>12.51</v>
      </c>
      <c r="W134" s="539">
        <v>2.0499999999999998</v>
      </c>
      <c r="X134" s="539">
        <v>39.173571994285716</v>
      </c>
      <c r="Y134" s="539">
        <v>7.6487142698571438</v>
      </c>
    </row>
    <row r="135" spans="15:26">
      <c r="O135" s="537">
        <v>28</v>
      </c>
      <c r="P135" s="538">
        <v>28</v>
      </c>
      <c r="Q135" s="539">
        <v>8.7544284548571447</v>
      </c>
      <c r="R135" s="539">
        <v>2.5707143034285713</v>
      </c>
      <c r="S135" s="539">
        <v>65.073571887142847</v>
      </c>
      <c r="T135" s="539">
        <v>33.160714285714285</v>
      </c>
      <c r="U135" s="539">
        <v>9.4155716217142871</v>
      </c>
      <c r="V135" s="539">
        <v>12.3</v>
      </c>
      <c r="W135" s="539">
        <v>2.2505714212857142</v>
      </c>
      <c r="X135" s="539">
        <v>36.999285560000011</v>
      </c>
      <c r="Y135" s="539">
        <v>7.0544285774285713</v>
      </c>
    </row>
    <row r="136" spans="15:26">
      <c r="P136" s="538">
        <v>29</v>
      </c>
      <c r="Q136" s="539">
        <v>8.6149000000000004</v>
      </c>
      <c r="R136" s="539">
        <v>3.7006000000000001</v>
      </c>
      <c r="S136" s="539">
        <v>62.515714285714289</v>
      </c>
      <c r="T136" s="539">
        <v>35.738</v>
      </c>
      <c r="U136" s="539">
        <v>9.5503999999999998</v>
      </c>
      <c r="V136" s="539">
        <v>12.245714285714286</v>
      </c>
      <c r="W136" s="539">
        <v>1.9771428571428571</v>
      </c>
      <c r="X136" s="539">
        <v>38.677142857142861</v>
      </c>
      <c r="Y136" s="539">
        <v>6.3400000000000007</v>
      </c>
    </row>
    <row r="137" spans="15:26">
      <c r="P137" s="538">
        <v>30</v>
      </c>
      <c r="Q137" s="539">
        <v>8.1221428598571439</v>
      </c>
      <c r="R137" s="539">
        <v>4.9111429789999992</v>
      </c>
      <c r="S137" s="539">
        <v>57.148857115714286</v>
      </c>
      <c r="T137" s="539">
        <v>85.065429679999994</v>
      </c>
      <c r="U137" s="539">
        <v>15.534142631428571</v>
      </c>
      <c r="V137" s="539">
        <v>10.995952741142858</v>
      </c>
      <c r="W137" s="539">
        <v>2.2859999964285715</v>
      </c>
      <c r="X137" s="539">
        <v>56.166428702857139</v>
      </c>
      <c r="Y137" s="539">
        <v>9.4385714285714304</v>
      </c>
    </row>
    <row r="138" spans="15:26">
      <c r="P138" s="538">
        <v>31</v>
      </c>
      <c r="Q138" s="539">
        <v>7.5620000000000003</v>
      </c>
      <c r="R138" s="539">
        <v>3.28</v>
      </c>
      <c r="S138" s="539">
        <v>58.768000000000001</v>
      </c>
      <c r="T138" s="539">
        <v>40.375</v>
      </c>
      <c r="U138" s="539">
        <v>8.5579999999999998</v>
      </c>
      <c r="V138" s="539">
        <v>13.18</v>
      </c>
      <c r="W138" s="539">
        <v>2</v>
      </c>
      <c r="X138" s="539">
        <v>50.215000000000003</v>
      </c>
      <c r="Y138" s="539">
        <v>8.5770238095238049</v>
      </c>
    </row>
    <row r="139" spans="15:26">
      <c r="O139" s="537">
        <v>32</v>
      </c>
      <c r="P139" s="538">
        <v>32</v>
      </c>
      <c r="Q139" s="539">
        <v>8.4994284765714276</v>
      </c>
      <c r="R139" s="539">
        <v>4.8781427315714287</v>
      </c>
      <c r="S139" s="539">
        <v>54.703428540000004</v>
      </c>
      <c r="T139" s="539">
        <v>52.946428571428569</v>
      </c>
      <c r="U139" s="539">
        <v>10.739857128857144</v>
      </c>
      <c r="V139" s="539">
        <v>10.850328444285712</v>
      </c>
      <c r="W139" s="539">
        <v>2.0667142697142857</v>
      </c>
      <c r="X139" s="539">
        <v>50.460713522857141</v>
      </c>
      <c r="Y139" s="539">
        <v>9.7962856299999999</v>
      </c>
    </row>
    <row r="140" spans="15:26">
      <c r="P140" s="538">
        <v>33</v>
      </c>
      <c r="Q140" s="539">
        <v>7.8117142411428571</v>
      </c>
      <c r="R140" s="539">
        <v>4.5999999999999996</v>
      </c>
      <c r="S140" s="539">
        <v>59.066285269999995</v>
      </c>
      <c r="T140" s="539">
        <v>47.13</v>
      </c>
      <c r="U140" s="539">
        <v>9.23</v>
      </c>
      <c r="V140" s="539">
        <v>10.84</v>
      </c>
      <c r="W140" s="539">
        <v>2.0499999999999998</v>
      </c>
      <c r="X140" s="539">
        <v>44.64</v>
      </c>
      <c r="Y140" s="539">
        <v>8.7822855541428577</v>
      </c>
    </row>
    <row r="141" spans="15:26">
      <c r="P141" s="538">
        <v>34</v>
      </c>
      <c r="Q141" s="539">
        <v>6.44</v>
      </c>
      <c r="R141" s="539">
        <v>5.1568571165714285</v>
      </c>
      <c r="S141" s="539">
        <v>82.033571515714272</v>
      </c>
      <c r="T141" s="539">
        <v>63.892999920000001</v>
      </c>
      <c r="U141" s="539">
        <v>10.917285918714287</v>
      </c>
      <c r="V141" s="539">
        <v>10.534582955714285</v>
      </c>
      <c r="W141" s="539">
        <v>1.8788571358571429</v>
      </c>
      <c r="X141" s="539">
        <v>35.627857751428571</v>
      </c>
      <c r="Y141" s="539">
        <v>11.383714402571428</v>
      </c>
    </row>
    <row r="142" spans="15:26">
      <c r="P142" s="538">
        <v>35</v>
      </c>
      <c r="Q142" s="539">
        <v>7.5428571428571427</v>
      </c>
      <c r="R142" s="539">
        <v>2.15</v>
      </c>
      <c r="S142" s="539">
        <v>71.48</v>
      </c>
      <c r="T142" s="539">
        <v>45.64</v>
      </c>
      <c r="U142" s="539">
        <v>9.4700000000000006</v>
      </c>
      <c r="V142" s="539">
        <v>10.92</v>
      </c>
      <c r="W142" s="539">
        <v>1.88</v>
      </c>
      <c r="X142" s="539">
        <v>32.979999999999997</v>
      </c>
      <c r="Y142" s="539">
        <v>7.88</v>
      </c>
    </row>
    <row r="143" spans="15:26">
      <c r="O143" s="537">
        <v>36</v>
      </c>
      <c r="P143" s="538">
        <v>36</v>
      </c>
      <c r="Q143" s="539">
        <v>7.1671427998571433</v>
      </c>
      <c r="R143" s="539">
        <v>4.8342857142857136</v>
      </c>
      <c r="S143" s="539">
        <v>63.092857142857149</v>
      </c>
      <c r="T143" s="539">
        <v>34.571428571428569</v>
      </c>
      <c r="U143" s="539">
        <v>7.5942857142857134</v>
      </c>
      <c r="V143" s="539">
        <v>11.091428571428571</v>
      </c>
      <c r="W143" s="539">
        <v>1.8442857142857143</v>
      </c>
      <c r="X143" s="539">
        <v>31.20428571428571</v>
      </c>
      <c r="Y143" s="539">
        <v>8.0857142857142854</v>
      </c>
      <c r="Z143" s="577"/>
    </row>
    <row r="144" spans="15:26">
      <c r="P144" s="538">
        <v>37</v>
      </c>
      <c r="Q144" s="539">
        <v>7.1637143408571422</v>
      </c>
      <c r="R144" s="539">
        <v>3.1535714688571423</v>
      </c>
      <c r="S144" s="539">
        <v>61.141713821428574</v>
      </c>
      <c r="T144" s="539">
        <v>28.744000025714286</v>
      </c>
      <c r="U144" s="539">
        <v>6.5637142318571433</v>
      </c>
      <c r="V144" s="539">
        <v>10.825238499999999</v>
      </c>
      <c r="W144" s="539">
        <v>1.8114285809999999</v>
      </c>
      <c r="X144" s="539">
        <v>29.614285605714283</v>
      </c>
      <c r="Y144" s="539">
        <v>8.6452856064285708</v>
      </c>
    </row>
    <row r="145" spans="14:25">
      <c r="P145" s="538">
        <v>38</v>
      </c>
      <c r="Q145" s="539">
        <v>8.31</v>
      </c>
      <c r="R145" s="539">
        <v>3.3441428289999995</v>
      </c>
      <c r="S145" s="539">
        <v>49.664428712857145</v>
      </c>
      <c r="T145" s="539">
        <v>35.571571351428574</v>
      </c>
      <c r="U145" s="539">
        <v>7.2939999444285712</v>
      </c>
      <c r="V145" s="539">
        <v>11.159824370000001</v>
      </c>
      <c r="W145" s="539">
        <v>1.8427142925714282</v>
      </c>
      <c r="X145" s="539">
        <v>30.912857054285716</v>
      </c>
      <c r="Y145" s="539">
        <v>8.6452856064285708</v>
      </c>
    </row>
    <row r="146" spans="14:25">
      <c r="P146" s="538">
        <v>39</v>
      </c>
      <c r="Q146" s="539">
        <v>7.621428489714285</v>
      </c>
      <c r="R146" s="539">
        <v>4.6500000000000004</v>
      </c>
      <c r="S146" s="539">
        <v>42.24</v>
      </c>
      <c r="T146" s="539">
        <v>39.39</v>
      </c>
      <c r="U146" s="539">
        <v>7.68</v>
      </c>
      <c r="V146" s="539">
        <v>11.33</v>
      </c>
      <c r="W146" s="539">
        <v>1.64</v>
      </c>
      <c r="X146" s="539">
        <v>37.200000000000003</v>
      </c>
      <c r="Y146" s="539">
        <v>7.4194285528571422</v>
      </c>
    </row>
    <row r="147" spans="14:25">
      <c r="O147" s="537">
        <v>40</v>
      </c>
      <c r="P147" s="538">
        <v>40</v>
      </c>
      <c r="Q147" s="539">
        <v>7.621428489714285</v>
      </c>
      <c r="R147" s="539">
        <v>5.128571373571428</v>
      </c>
      <c r="S147" s="539">
        <v>38.906285422857138</v>
      </c>
      <c r="T147" s="539">
        <v>41.34000069857143</v>
      </c>
      <c r="U147" s="539">
        <v>9.112857137571428</v>
      </c>
      <c r="V147" s="539">
        <v>11.565001485714285</v>
      </c>
      <c r="W147" s="539">
        <v>1.8221428395714285</v>
      </c>
      <c r="X147" s="539">
        <v>42.197143011428572</v>
      </c>
      <c r="Y147" s="539">
        <v>9.6005713597142837</v>
      </c>
    </row>
    <row r="148" spans="14:25">
      <c r="P148" s="538">
        <v>41</v>
      </c>
      <c r="Q148" s="539">
        <v>7.2698572022574259</v>
      </c>
      <c r="R148" s="539">
        <v>4.8594285079410948</v>
      </c>
      <c r="S148" s="539">
        <v>42.923713956560341</v>
      </c>
      <c r="T148" s="539">
        <v>56.607142857142847</v>
      </c>
      <c r="U148" s="539">
        <v>11.170142854962995</v>
      </c>
      <c r="V148" s="539">
        <v>12.740178653172041</v>
      </c>
      <c r="W148" s="539">
        <v>1.7041428429739784</v>
      </c>
      <c r="X148" s="539">
        <v>49.475714547293492</v>
      </c>
      <c r="Y148" s="539">
        <v>10.943285942077617</v>
      </c>
    </row>
    <row r="149" spans="14:25">
      <c r="P149" s="538">
        <v>42</v>
      </c>
      <c r="Q149" s="539">
        <v>6.2732856614249064</v>
      </c>
      <c r="R149" s="539">
        <v>4.00314286776951</v>
      </c>
      <c r="S149" s="539">
        <v>73.976001194545148</v>
      </c>
      <c r="T149" s="539">
        <v>89.232285635811792</v>
      </c>
      <c r="U149" s="539">
        <v>19.282285690307582</v>
      </c>
      <c r="V149" s="539">
        <v>11.792381422860229</v>
      </c>
      <c r="W149" s="539">
        <v>1.5524285691124997</v>
      </c>
      <c r="X149" s="539">
        <v>72.350713457379968</v>
      </c>
      <c r="Y149" s="539">
        <v>17.972571236746628</v>
      </c>
    </row>
    <row r="150" spans="14:25">
      <c r="P150" s="538">
        <v>43</v>
      </c>
      <c r="Q150" s="539">
        <v>8.3208571161542526</v>
      </c>
      <c r="R150" s="539">
        <v>6.0481427737644662</v>
      </c>
      <c r="S150" s="539">
        <v>97.234427315848038</v>
      </c>
      <c r="T150" s="539">
        <v>125.70828465052978</v>
      </c>
      <c r="U150" s="539">
        <v>26.382142475673081</v>
      </c>
      <c r="V150" s="539">
        <v>12.0416071755545</v>
      </c>
      <c r="W150" s="539">
        <v>1.585428544453207</v>
      </c>
      <c r="X150" s="539">
        <v>82.484284537179079</v>
      </c>
      <c r="Y150" s="539">
        <v>19.552571432931028</v>
      </c>
    </row>
    <row r="151" spans="14:25">
      <c r="O151" s="537">
        <v>44</v>
      </c>
      <c r="P151" s="538">
        <v>44</v>
      </c>
      <c r="Q151" s="539">
        <v>9.2941429947142868</v>
      </c>
      <c r="R151" s="539">
        <v>7.6531428608571428</v>
      </c>
      <c r="S151" s="539">
        <v>120.62971387142855</v>
      </c>
      <c r="T151" s="539">
        <v>157.60714285714286</v>
      </c>
      <c r="U151" s="539">
        <v>33.364427840000005</v>
      </c>
      <c r="V151" s="539">
        <v>12.188929967142856</v>
      </c>
      <c r="W151" s="539">
        <v>1.6864285471428571</v>
      </c>
      <c r="X151" s="539">
        <v>110.40928649571428</v>
      </c>
      <c r="Y151" s="539">
        <v>33.081571032857141</v>
      </c>
    </row>
    <row r="152" spans="14:25">
      <c r="P152" s="538">
        <v>45</v>
      </c>
      <c r="Q152" s="539">
        <v>8.6642857274285721</v>
      </c>
      <c r="R152" s="539">
        <v>4.2061428341428568</v>
      </c>
      <c r="S152" s="539">
        <v>125.43157086857143</v>
      </c>
      <c r="T152" s="539">
        <v>105.63685608857143</v>
      </c>
      <c r="U152" s="539">
        <v>18.735571588571428</v>
      </c>
      <c r="V152" s="539">
        <v>13</v>
      </c>
      <c r="W152" s="539">
        <v>1.7397142818571427</v>
      </c>
      <c r="X152" s="539">
        <v>114.14357212285714</v>
      </c>
      <c r="Y152" s="539">
        <v>39.80185754</v>
      </c>
    </row>
    <row r="153" spans="14:25">
      <c r="P153" s="538">
        <v>46</v>
      </c>
      <c r="Q153" s="539">
        <v>8.5371428571428574</v>
      </c>
      <c r="R153" s="539">
        <v>5.9</v>
      </c>
      <c r="S153" s="539">
        <v>78.757142857142853</v>
      </c>
      <c r="T153" s="539">
        <v>79.304285714285712</v>
      </c>
      <c r="U153" s="539">
        <v>13.16</v>
      </c>
      <c r="V153" s="539">
        <v>13.001428571428571</v>
      </c>
      <c r="W153" s="539">
        <v>1.5</v>
      </c>
      <c r="X153" s="539">
        <v>93.457142857142841</v>
      </c>
      <c r="Y153" s="539">
        <v>37.212857142857146</v>
      </c>
    </row>
    <row r="154" spans="14:25">
      <c r="P154" s="538">
        <v>47</v>
      </c>
      <c r="Q154" s="539">
        <v>9.0094285692857135</v>
      </c>
      <c r="R154" s="539">
        <v>7.1015714912857133</v>
      </c>
      <c r="S154" s="539">
        <v>88.111712864285735</v>
      </c>
      <c r="T154" s="539">
        <v>74.684428622857141</v>
      </c>
      <c r="U154" s="539">
        <v>13.483142988571428</v>
      </c>
      <c r="V154" s="539">
        <v>12.142405645714286</v>
      </c>
      <c r="W154" s="539">
        <v>1.5</v>
      </c>
      <c r="X154" s="539">
        <v>104.10500007571429</v>
      </c>
      <c r="Y154" s="539">
        <v>35.055428368571434</v>
      </c>
    </row>
    <row r="155" spans="14:25">
      <c r="O155" s="537">
        <v>48</v>
      </c>
      <c r="P155" s="538">
        <v>48</v>
      </c>
      <c r="Q155" s="539">
        <v>8.5042856081428582</v>
      </c>
      <c r="R155" s="539">
        <v>4.3617142950000005</v>
      </c>
      <c r="S155" s="539">
        <v>80.151286534285717</v>
      </c>
      <c r="T155" s="539">
        <v>95.303570342857142</v>
      </c>
      <c r="U155" s="539">
        <v>12.543571337142859</v>
      </c>
      <c r="V155" s="539">
        <v>11.975262778571429</v>
      </c>
      <c r="W155" s="539">
        <v>1.5</v>
      </c>
      <c r="X155" s="539">
        <v>91.569999695714287</v>
      </c>
      <c r="Y155" s="539">
        <v>28.370000294285713</v>
      </c>
    </row>
    <row r="156" spans="14:25">
      <c r="P156" s="538">
        <v>49</v>
      </c>
      <c r="Q156" s="539">
        <v>8.27</v>
      </c>
      <c r="R156" s="539">
        <v>6.9099999999999993</v>
      </c>
      <c r="S156" s="539">
        <v>66.555714285714288</v>
      </c>
      <c r="T156" s="539">
        <v>54.31</v>
      </c>
      <c r="U156" s="539">
        <v>8.99</v>
      </c>
      <c r="V156" s="539">
        <v>12.26</v>
      </c>
      <c r="W156" s="539">
        <v>1.5</v>
      </c>
      <c r="X156" s="539">
        <v>62.974285714285706</v>
      </c>
      <c r="Y156" s="539">
        <v>22.919999999999998</v>
      </c>
    </row>
    <row r="157" spans="14:25">
      <c r="P157" s="538">
        <v>50</v>
      </c>
      <c r="Q157" s="539">
        <v>8.1765714374285707</v>
      </c>
      <c r="R157" s="539">
        <v>6.5639999597142857</v>
      </c>
      <c r="S157" s="539">
        <v>61.602715082857152</v>
      </c>
      <c r="T157" s="539">
        <v>52.47614288285714</v>
      </c>
      <c r="U157" s="539">
        <v>10.909571511285714</v>
      </c>
      <c r="V157" s="539">
        <v>13.001428604285715</v>
      </c>
      <c r="W157" s="539">
        <v>1.457142846857143</v>
      </c>
      <c r="X157" s="539">
        <v>52.244286674285718</v>
      </c>
      <c r="Y157" s="539">
        <v>17.695714271428571</v>
      </c>
    </row>
    <row r="158" spans="14:25">
      <c r="P158" s="538">
        <v>51</v>
      </c>
      <c r="Q158" s="539">
        <v>10.342857142857142</v>
      </c>
      <c r="R158" s="539">
        <v>7.3285714285714283</v>
      </c>
      <c r="S158" s="539">
        <v>53.9</v>
      </c>
      <c r="T158" s="539">
        <v>126.14285714285714</v>
      </c>
      <c r="U158" s="539">
        <v>16.8</v>
      </c>
      <c r="V158" s="539">
        <v>12.257142857142856</v>
      </c>
      <c r="W158" s="539">
        <v>1.3857142857142859</v>
      </c>
      <c r="X158" s="539">
        <v>86.528571428571439</v>
      </c>
      <c r="Y158" s="539">
        <v>33.51428571428572</v>
      </c>
    </row>
    <row r="159" spans="14:25">
      <c r="O159" s="537">
        <v>52</v>
      </c>
      <c r="P159" s="538">
        <v>52</v>
      </c>
      <c r="Q159" s="539">
        <v>10.661999840142856</v>
      </c>
      <c r="R159" s="539">
        <v>7.4820000789999996</v>
      </c>
      <c r="S159" s="539">
        <v>57.504999978571433</v>
      </c>
      <c r="T159" s="539">
        <v>100.38085719714286</v>
      </c>
      <c r="U159" s="539">
        <v>16.435142652857145</v>
      </c>
      <c r="V159" s="539">
        <v>12.222315514285714</v>
      </c>
      <c r="W159" s="539">
        <v>1.2999999520000001</v>
      </c>
      <c r="X159" s="539">
        <v>103.53357153142858</v>
      </c>
      <c r="Y159" s="539">
        <v>52.753143308571431</v>
      </c>
    </row>
    <row r="160" spans="14:25">
      <c r="N160" s="537">
        <v>2019</v>
      </c>
      <c r="O160" s="537">
        <v>1</v>
      </c>
      <c r="P160" s="538">
        <v>1</v>
      </c>
      <c r="Q160" s="539">
        <v>8.992857251428573</v>
      </c>
      <c r="R160" s="539">
        <v>4.4642857141428571</v>
      </c>
      <c r="S160" s="539">
        <v>57.514999934285704</v>
      </c>
      <c r="T160" s="539">
        <v>79.871427261428579</v>
      </c>
      <c r="U160" s="539">
        <v>13.115714484285716</v>
      </c>
      <c r="V160" s="539">
        <v>11.571904317142856</v>
      </c>
      <c r="W160" s="539">
        <v>1.2999999520000001</v>
      </c>
      <c r="X160" s="539">
        <v>121.75642612857142</v>
      </c>
      <c r="Y160" s="539">
        <v>64.398429325714275</v>
      </c>
    </row>
    <row r="161" spans="15:25">
      <c r="P161" s="538">
        <v>2</v>
      </c>
      <c r="Q161" s="539">
        <v>7.4904285157142843</v>
      </c>
      <c r="R161" s="539">
        <v>3.3685714177142856</v>
      </c>
      <c r="S161" s="539">
        <v>63.363856724285711</v>
      </c>
      <c r="T161" s="539">
        <v>84.184571402857145</v>
      </c>
      <c r="U161" s="539">
        <v>16.11014284285714</v>
      </c>
      <c r="V161" s="539">
        <v>11.570298602857141</v>
      </c>
      <c r="W161" s="539">
        <v>1.2999999520000001</v>
      </c>
      <c r="X161" s="539">
        <v>180.32999965714288</v>
      </c>
      <c r="Y161" s="539">
        <v>70.997858864285703</v>
      </c>
    </row>
    <row r="162" spans="15:25">
      <c r="P162" s="538">
        <v>3</v>
      </c>
      <c r="Q162" s="539">
        <v>14.36</v>
      </c>
      <c r="R162" s="539">
        <v>10.74</v>
      </c>
      <c r="S162" s="539">
        <v>80.75</v>
      </c>
      <c r="T162" s="539">
        <v>149.30000000000001</v>
      </c>
      <c r="U162" s="539">
        <v>29.23</v>
      </c>
      <c r="V162" s="539">
        <v>11.28</v>
      </c>
      <c r="W162" s="539">
        <v>1.33</v>
      </c>
      <c r="X162" s="539">
        <v>167.22</v>
      </c>
      <c r="Y162" s="539">
        <v>68.83</v>
      </c>
    </row>
    <row r="163" spans="15:25">
      <c r="O163" s="537">
        <v>4</v>
      </c>
      <c r="P163" s="538">
        <v>4</v>
      </c>
      <c r="Q163" s="539">
        <v>17.131428719999999</v>
      </c>
      <c r="R163" s="539">
        <v>11.155714580142858</v>
      </c>
      <c r="S163" s="539">
        <v>85.689570837142853</v>
      </c>
      <c r="T163" s="539">
        <v>168.80999974285714</v>
      </c>
      <c r="U163" s="539">
        <v>36.200000218571425</v>
      </c>
      <c r="V163" s="539">
        <v>11.843988554285716</v>
      </c>
      <c r="W163" s="539">
        <v>3.0287143159999999</v>
      </c>
      <c r="X163" s="539">
        <v>185.51500375714286</v>
      </c>
      <c r="Y163" s="539">
        <v>70.089428494285713</v>
      </c>
    </row>
    <row r="164" spans="15:25">
      <c r="P164" s="538">
        <v>5</v>
      </c>
      <c r="Q164" s="539"/>
      <c r="R164" s="539"/>
      <c r="S164" s="539"/>
      <c r="T164" s="539"/>
      <c r="U164" s="539"/>
      <c r="V164" s="539"/>
      <c r="W164" s="539"/>
      <c r="X164" s="539"/>
      <c r="Y164" s="539"/>
    </row>
    <row r="165" spans="15:25">
      <c r="P165" s="538">
        <v>6</v>
      </c>
      <c r="Q165" s="539"/>
      <c r="R165" s="539"/>
      <c r="S165" s="539"/>
      <c r="T165" s="539"/>
      <c r="U165" s="539"/>
      <c r="V165" s="539"/>
      <c r="W165" s="539"/>
      <c r="X165" s="539"/>
      <c r="Y165" s="539"/>
    </row>
    <row r="166" spans="15:25">
      <c r="P166" s="538">
        <v>7</v>
      </c>
      <c r="Q166" s="539"/>
      <c r="R166" s="539"/>
      <c r="S166" s="539"/>
      <c r="T166" s="539"/>
      <c r="U166" s="539"/>
      <c r="V166" s="539"/>
      <c r="W166" s="539"/>
      <c r="X166" s="539"/>
      <c r="Y166" s="539"/>
    </row>
    <row r="167" spans="15:25">
      <c r="O167" s="537">
        <v>8</v>
      </c>
      <c r="P167" s="538">
        <v>8</v>
      </c>
      <c r="Q167" s="539"/>
      <c r="R167" s="539"/>
      <c r="S167" s="539"/>
      <c r="T167" s="539"/>
      <c r="U167" s="539"/>
      <c r="V167" s="539"/>
      <c r="W167" s="539"/>
      <c r="X167" s="539"/>
      <c r="Y167" s="539"/>
    </row>
    <row r="168" spans="15:25">
      <c r="P168" s="538">
        <v>9</v>
      </c>
      <c r="Q168" s="539"/>
      <c r="R168" s="539"/>
      <c r="S168" s="539"/>
      <c r="T168" s="539"/>
      <c r="U168" s="539"/>
      <c r="V168" s="539"/>
      <c r="W168" s="539"/>
      <c r="X168" s="539"/>
      <c r="Y168" s="539"/>
    </row>
    <row r="169" spans="15:25">
      <c r="P169" s="538">
        <v>10</v>
      </c>
      <c r="Q169" s="539"/>
      <c r="R169" s="539"/>
      <c r="S169" s="539"/>
      <c r="T169" s="539"/>
      <c r="U169" s="539"/>
      <c r="V169" s="539"/>
      <c r="W169" s="539"/>
      <c r="X169" s="539"/>
      <c r="Y169" s="539"/>
    </row>
    <row r="170" spans="15:25">
      <c r="P170" s="538">
        <v>11</v>
      </c>
      <c r="Q170" s="539"/>
      <c r="R170" s="539"/>
      <c r="S170" s="539"/>
      <c r="T170" s="539"/>
      <c r="U170" s="539"/>
      <c r="V170" s="539"/>
      <c r="W170" s="539"/>
      <c r="X170" s="539"/>
      <c r="Y170" s="539"/>
    </row>
    <row r="171" spans="15:25">
      <c r="O171" s="537">
        <v>12</v>
      </c>
      <c r="P171" s="538">
        <v>12</v>
      </c>
      <c r="Q171" s="539"/>
      <c r="R171" s="539"/>
      <c r="S171" s="539"/>
      <c r="T171" s="539"/>
      <c r="U171" s="539"/>
      <c r="V171" s="539"/>
      <c r="W171" s="539"/>
      <c r="X171" s="539"/>
      <c r="Y171" s="539"/>
    </row>
    <row r="172" spans="15:25">
      <c r="P172" s="538">
        <v>13</v>
      </c>
      <c r="Q172" s="539"/>
      <c r="R172" s="539"/>
      <c r="S172" s="539"/>
      <c r="T172" s="539"/>
      <c r="U172" s="539"/>
      <c r="V172" s="539"/>
      <c r="W172" s="539"/>
      <c r="X172" s="539"/>
      <c r="Y172" s="539"/>
    </row>
    <row r="173" spans="15:25">
      <c r="P173" s="538">
        <v>14</v>
      </c>
      <c r="Q173" s="539"/>
      <c r="R173" s="539"/>
      <c r="S173" s="539"/>
      <c r="T173" s="539"/>
      <c r="U173" s="539"/>
      <c r="V173" s="539"/>
      <c r="W173" s="539"/>
      <c r="X173" s="539"/>
      <c r="Y173" s="539"/>
    </row>
    <row r="174" spans="15:25">
      <c r="P174" s="538">
        <v>15</v>
      </c>
      <c r="Q174" s="539"/>
      <c r="R174" s="539"/>
      <c r="S174" s="539"/>
      <c r="T174" s="539"/>
      <c r="U174" s="539"/>
      <c r="V174" s="539"/>
      <c r="W174" s="539"/>
      <c r="X174" s="539"/>
      <c r="Y174" s="539"/>
    </row>
    <row r="175" spans="15:25">
      <c r="O175" s="537">
        <v>16</v>
      </c>
      <c r="P175" s="538">
        <v>16</v>
      </c>
      <c r="Q175" s="539"/>
      <c r="R175" s="539"/>
      <c r="S175" s="539"/>
      <c r="T175" s="539"/>
      <c r="U175" s="539"/>
      <c r="V175" s="539"/>
      <c r="W175" s="539"/>
      <c r="X175" s="539"/>
      <c r="Y175" s="539"/>
    </row>
    <row r="176" spans="15:25">
      <c r="P176" s="538">
        <v>17</v>
      </c>
      <c r="Q176" s="539"/>
      <c r="R176" s="539"/>
      <c r="S176" s="539"/>
      <c r="T176" s="539"/>
      <c r="U176" s="539"/>
      <c r="V176" s="539"/>
      <c r="W176" s="539"/>
      <c r="X176" s="539"/>
      <c r="Y176" s="539"/>
    </row>
    <row r="177" spans="15:25">
      <c r="P177" s="538">
        <v>18</v>
      </c>
      <c r="Q177" s="539"/>
      <c r="R177" s="539"/>
      <c r="S177" s="539"/>
      <c r="T177" s="539"/>
      <c r="U177" s="539"/>
      <c r="V177" s="539"/>
      <c r="W177" s="539"/>
      <c r="X177" s="539"/>
      <c r="Y177" s="539"/>
    </row>
    <row r="178" spans="15:25">
      <c r="P178" s="538">
        <v>19</v>
      </c>
      <c r="Q178" s="539"/>
      <c r="R178" s="539"/>
      <c r="S178" s="539"/>
      <c r="T178" s="539"/>
      <c r="U178" s="539"/>
      <c r="V178" s="539"/>
      <c r="W178" s="539"/>
      <c r="X178" s="539"/>
      <c r="Y178" s="539"/>
    </row>
    <row r="179" spans="15:25">
      <c r="O179" s="537">
        <v>20</v>
      </c>
      <c r="P179" s="538">
        <v>20</v>
      </c>
      <c r="Q179" s="539"/>
      <c r="R179" s="539"/>
      <c r="S179" s="539"/>
      <c r="T179" s="539"/>
      <c r="U179" s="539"/>
      <c r="V179" s="539"/>
      <c r="W179" s="539"/>
      <c r="X179" s="539"/>
      <c r="Y179" s="539"/>
    </row>
    <row r="180" spans="15:25">
      <c r="P180" s="538">
        <v>21</v>
      </c>
      <c r="Q180" s="539"/>
      <c r="R180" s="539"/>
      <c r="S180" s="539"/>
      <c r="T180" s="539"/>
      <c r="U180" s="539"/>
      <c r="V180" s="539"/>
      <c r="W180" s="539"/>
      <c r="X180" s="539"/>
      <c r="Y180" s="539"/>
    </row>
    <row r="181" spans="15:25">
      <c r="P181" s="538">
        <v>22</v>
      </c>
      <c r="Q181" s="539"/>
      <c r="R181" s="539"/>
      <c r="S181" s="539"/>
      <c r="T181" s="539"/>
      <c r="U181" s="539"/>
      <c r="V181" s="539"/>
      <c r="W181" s="539"/>
      <c r="X181" s="539"/>
      <c r="Y181" s="539"/>
    </row>
    <row r="182" spans="15:25">
      <c r="P182" s="538">
        <v>23</v>
      </c>
      <c r="Q182" s="539"/>
      <c r="R182" s="539"/>
      <c r="S182" s="539"/>
      <c r="T182" s="539"/>
      <c r="U182" s="539"/>
      <c r="V182" s="539"/>
      <c r="W182" s="539"/>
      <c r="X182" s="539"/>
      <c r="Y182" s="539"/>
    </row>
    <row r="183" spans="15:25">
      <c r="O183" s="537">
        <v>24</v>
      </c>
      <c r="P183" s="538">
        <v>24</v>
      </c>
      <c r="Q183" s="539"/>
      <c r="R183" s="539"/>
      <c r="S183" s="539"/>
      <c r="T183" s="539"/>
      <c r="U183" s="539"/>
      <c r="V183" s="539"/>
      <c r="W183" s="539"/>
      <c r="X183" s="539"/>
      <c r="Y183" s="539"/>
    </row>
    <row r="184" spans="15:25">
      <c r="P184" s="538">
        <v>25</v>
      </c>
      <c r="Q184" s="539"/>
      <c r="R184" s="539"/>
      <c r="S184" s="539"/>
      <c r="T184" s="539"/>
      <c r="U184" s="539"/>
      <c r="V184" s="539"/>
      <c r="W184" s="539"/>
      <c r="X184" s="539"/>
      <c r="Y184" s="539"/>
    </row>
    <row r="185" spans="15:25">
      <c r="P185" s="538">
        <v>26</v>
      </c>
      <c r="Q185" s="539"/>
      <c r="R185" s="539"/>
      <c r="S185" s="539"/>
      <c r="T185" s="539"/>
      <c r="U185" s="539"/>
      <c r="V185" s="539"/>
      <c r="W185" s="539"/>
      <c r="X185" s="539"/>
      <c r="Y185" s="539"/>
    </row>
    <row r="186" spans="15:25">
      <c r="P186" s="538">
        <v>27</v>
      </c>
      <c r="Q186" s="539"/>
      <c r="R186" s="539"/>
      <c r="S186" s="539"/>
      <c r="T186" s="539"/>
      <c r="U186" s="539"/>
      <c r="V186" s="539"/>
      <c r="W186" s="539"/>
      <c r="X186" s="539"/>
      <c r="Y186" s="539"/>
    </row>
    <row r="187" spans="15:25">
      <c r="O187" s="537">
        <v>28</v>
      </c>
      <c r="P187" s="538">
        <v>28</v>
      </c>
      <c r="Q187" s="539"/>
      <c r="R187" s="539"/>
      <c r="S187" s="539"/>
      <c r="T187" s="539"/>
      <c r="U187" s="539"/>
      <c r="V187" s="539"/>
      <c r="W187" s="539"/>
      <c r="X187" s="539"/>
      <c r="Y187" s="539"/>
    </row>
    <row r="188" spans="15:25">
      <c r="P188" s="538">
        <v>29</v>
      </c>
      <c r="Q188" s="539"/>
      <c r="R188" s="539"/>
      <c r="S188" s="539"/>
      <c r="T188" s="539"/>
      <c r="U188" s="539"/>
      <c r="V188" s="539"/>
      <c r="W188" s="539"/>
      <c r="X188" s="539"/>
      <c r="Y188" s="539"/>
    </row>
    <row r="189" spans="15:25">
      <c r="P189" s="538">
        <v>30</v>
      </c>
      <c r="Q189" s="539"/>
      <c r="R189" s="539"/>
      <c r="S189" s="539"/>
      <c r="T189" s="539"/>
      <c r="U189" s="539"/>
      <c r="V189" s="539"/>
      <c r="W189" s="539"/>
      <c r="X189" s="539"/>
      <c r="Y189" s="539"/>
    </row>
    <row r="190" spans="15:25">
      <c r="P190" s="538">
        <v>31</v>
      </c>
      <c r="Q190" s="539"/>
      <c r="R190" s="539"/>
      <c r="S190" s="539"/>
      <c r="T190" s="539"/>
      <c r="U190" s="539"/>
      <c r="V190" s="539"/>
      <c r="W190" s="539"/>
      <c r="X190" s="539"/>
      <c r="Y190" s="539"/>
    </row>
    <row r="191" spans="15:25">
      <c r="O191" s="537">
        <v>32</v>
      </c>
      <c r="P191" s="538">
        <v>32</v>
      </c>
      <c r="Q191" s="539"/>
      <c r="R191" s="539"/>
      <c r="S191" s="539"/>
      <c r="T191" s="539"/>
      <c r="U191" s="539"/>
      <c r="V191" s="539"/>
      <c r="W191" s="539"/>
      <c r="X191" s="539"/>
      <c r="Y191" s="539"/>
    </row>
    <row r="192" spans="15:25">
      <c r="P192" s="538">
        <v>33</v>
      </c>
      <c r="Q192" s="539"/>
      <c r="R192" s="539"/>
      <c r="S192" s="539"/>
      <c r="T192" s="539"/>
      <c r="U192" s="539"/>
      <c r="V192" s="539"/>
      <c r="W192" s="539"/>
      <c r="X192" s="539"/>
      <c r="Y192" s="539"/>
    </row>
    <row r="193" spans="15:25">
      <c r="P193" s="538">
        <v>34</v>
      </c>
      <c r="Q193" s="539"/>
      <c r="R193" s="539"/>
      <c r="S193" s="539"/>
      <c r="T193" s="539"/>
      <c r="U193" s="539"/>
      <c r="V193" s="539"/>
      <c r="W193" s="539"/>
      <c r="X193" s="539"/>
      <c r="Y193" s="539"/>
    </row>
    <row r="194" spans="15:25">
      <c r="P194" s="538">
        <v>35</v>
      </c>
      <c r="Q194" s="539"/>
      <c r="R194" s="539"/>
      <c r="S194" s="539"/>
      <c r="T194" s="539"/>
      <c r="U194" s="539"/>
      <c r="V194" s="539"/>
      <c r="W194" s="539"/>
      <c r="X194" s="539"/>
      <c r="Y194" s="539"/>
    </row>
    <row r="195" spans="15:25">
      <c r="O195" s="537">
        <v>36</v>
      </c>
      <c r="P195" s="538">
        <v>36</v>
      </c>
      <c r="Q195" s="539"/>
      <c r="R195" s="539"/>
      <c r="S195" s="539"/>
      <c r="T195" s="539"/>
      <c r="U195" s="539"/>
      <c r="V195" s="539"/>
      <c r="W195" s="539"/>
      <c r="X195" s="539"/>
      <c r="Y195" s="539"/>
    </row>
    <row r="196" spans="15:25">
      <c r="P196" s="538">
        <v>37</v>
      </c>
      <c r="Q196" s="539"/>
      <c r="R196" s="539"/>
      <c r="S196" s="539"/>
      <c r="T196" s="539"/>
      <c r="U196" s="539"/>
      <c r="V196" s="539"/>
      <c r="W196" s="539"/>
      <c r="X196" s="539"/>
      <c r="Y196" s="539"/>
    </row>
    <row r="197" spans="15:25">
      <c r="P197" s="538">
        <v>38</v>
      </c>
      <c r="Q197" s="539"/>
      <c r="R197" s="539"/>
      <c r="S197" s="539"/>
      <c r="T197" s="539"/>
      <c r="U197" s="539"/>
      <c r="V197" s="539"/>
      <c r="W197" s="539"/>
      <c r="X197" s="539"/>
      <c r="Y197" s="539"/>
    </row>
    <row r="198" spans="15:25">
      <c r="P198" s="538">
        <v>39</v>
      </c>
      <c r="Q198" s="539"/>
      <c r="R198" s="539"/>
      <c r="S198" s="539"/>
      <c r="T198" s="539"/>
      <c r="U198" s="539"/>
      <c r="V198" s="539"/>
      <c r="W198" s="539"/>
      <c r="X198" s="539"/>
      <c r="Y198" s="539"/>
    </row>
    <row r="199" spans="15:25">
      <c r="O199" s="537">
        <v>40</v>
      </c>
      <c r="P199" s="538">
        <v>40</v>
      </c>
      <c r="Q199" s="539"/>
      <c r="R199" s="539"/>
      <c r="S199" s="539"/>
      <c r="T199" s="539"/>
      <c r="U199" s="539"/>
      <c r="V199" s="539"/>
      <c r="W199" s="539"/>
      <c r="X199" s="539"/>
      <c r="Y199" s="539"/>
    </row>
    <row r="200" spans="15:25">
      <c r="P200" s="538">
        <v>41</v>
      </c>
      <c r="Q200" s="539"/>
      <c r="R200" s="539"/>
      <c r="S200" s="539"/>
      <c r="T200" s="539"/>
      <c r="U200" s="539"/>
      <c r="V200" s="539"/>
      <c r="W200" s="539"/>
      <c r="X200" s="539"/>
      <c r="Y200" s="539"/>
    </row>
    <row r="201" spans="15:25">
      <c r="P201" s="538">
        <v>42</v>
      </c>
      <c r="Q201" s="539"/>
      <c r="R201" s="539"/>
      <c r="S201" s="539"/>
      <c r="T201" s="539"/>
      <c r="U201" s="539"/>
      <c r="V201" s="539"/>
      <c r="W201" s="539"/>
      <c r="X201" s="539"/>
      <c r="Y201" s="539"/>
    </row>
    <row r="202" spans="15:25">
      <c r="P202" s="538">
        <v>43</v>
      </c>
      <c r="Q202" s="539"/>
      <c r="R202" s="539"/>
      <c r="S202" s="539"/>
      <c r="T202" s="539"/>
      <c r="U202" s="539"/>
      <c r="V202" s="539"/>
      <c r="W202" s="539"/>
      <c r="X202" s="539"/>
      <c r="Y202" s="539"/>
    </row>
    <row r="203" spans="15:25">
      <c r="O203" s="537">
        <v>44</v>
      </c>
      <c r="P203" s="538">
        <v>44</v>
      </c>
      <c r="Q203" s="539"/>
      <c r="R203" s="539"/>
      <c r="S203" s="539"/>
      <c r="T203" s="539"/>
      <c r="U203" s="539"/>
      <c r="V203" s="539"/>
      <c r="W203" s="539"/>
      <c r="X203" s="539"/>
      <c r="Y203" s="539"/>
    </row>
    <row r="204" spans="15:25">
      <c r="P204" s="538">
        <v>45</v>
      </c>
      <c r="Q204" s="539"/>
      <c r="R204" s="539"/>
      <c r="S204" s="539"/>
      <c r="T204" s="539"/>
      <c r="U204" s="539"/>
      <c r="V204" s="539"/>
      <c r="W204" s="539"/>
      <c r="X204" s="539"/>
      <c r="Y204" s="539"/>
    </row>
    <row r="205" spans="15:25">
      <c r="P205" s="538">
        <v>46</v>
      </c>
      <c r="Q205" s="539"/>
      <c r="R205" s="539"/>
      <c r="S205" s="539"/>
      <c r="T205" s="539"/>
      <c r="U205" s="539"/>
      <c r="V205" s="539"/>
      <c r="W205" s="539"/>
      <c r="X205" s="539"/>
      <c r="Y205" s="539"/>
    </row>
    <row r="206" spans="15:25">
      <c r="P206" s="538">
        <v>47</v>
      </c>
      <c r="Q206" s="539"/>
      <c r="R206" s="539"/>
      <c r="S206" s="539"/>
      <c r="T206" s="539"/>
      <c r="U206" s="539"/>
      <c r="V206" s="539"/>
      <c r="W206" s="539"/>
      <c r="X206" s="539"/>
      <c r="Y206" s="539"/>
    </row>
    <row r="207" spans="15:25">
      <c r="O207" s="537">
        <v>48</v>
      </c>
      <c r="P207" s="538">
        <v>48</v>
      </c>
      <c r="Q207" s="539"/>
      <c r="R207" s="539"/>
      <c r="S207" s="539"/>
      <c r="T207" s="539"/>
      <c r="U207" s="539"/>
      <c r="V207" s="539"/>
      <c r="W207" s="539"/>
      <c r="X207" s="539"/>
      <c r="Y207" s="539"/>
    </row>
    <row r="208" spans="15:25">
      <c r="P208" s="538">
        <v>49</v>
      </c>
      <c r="Q208" s="539"/>
      <c r="R208" s="539"/>
      <c r="S208" s="539"/>
      <c r="T208" s="539"/>
      <c r="U208" s="539"/>
      <c r="V208" s="539"/>
      <c r="W208" s="539"/>
      <c r="X208" s="539"/>
      <c r="Y208" s="539"/>
    </row>
    <row r="209" spans="15:25">
      <c r="P209" s="538">
        <v>50</v>
      </c>
      <c r="Q209" s="539"/>
      <c r="R209" s="539"/>
      <c r="S209" s="539"/>
      <c r="T209" s="539"/>
      <c r="U209" s="539"/>
      <c r="V209" s="539"/>
      <c r="W209" s="539"/>
      <c r="X209" s="539"/>
      <c r="Y209" s="539"/>
    </row>
    <row r="210" spans="15:25">
      <c r="P210" s="538">
        <v>51</v>
      </c>
      <c r="Q210" s="539"/>
      <c r="R210" s="539"/>
      <c r="S210" s="539"/>
      <c r="T210" s="539"/>
      <c r="U210" s="539"/>
      <c r="V210" s="539"/>
      <c r="W210" s="539"/>
      <c r="X210" s="539"/>
      <c r="Y210" s="539"/>
    </row>
    <row r="211" spans="15:25">
      <c r="O211" s="537">
        <v>52</v>
      </c>
      <c r="P211" s="538">
        <v>52</v>
      </c>
      <c r="Q211" s="539"/>
      <c r="R211" s="539"/>
      <c r="S211" s="539"/>
      <c r="T211" s="539"/>
      <c r="U211" s="539"/>
      <c r="V211" s="539"/>
      <c r="W211" s="539"/>
      <c r="X211" s="539"/>
      <c r="Y211" s="539"/>
    </row>
    <row r="213" spans="15:25">
      <c r="Q213" s="576" t="s">
        <v>294</v>
      </c>
      <c r="R213" s="576" t="s">
        <v>295</v>
      </c>
      <c r="S213" s="576" t="s">
        <v>296</v>
      </c>
      <c r="T213" s="576" t="s">
        <v>297</v>
      </c>
      <c r="U213" s="576" t="s">
        <v>298</v>
      </c>
      <c r="V213" s="576" t="s">
        <v>299</v>
      </c>
      <c r="W213" s="576" t="s">
        <v>300</v>
      </c>
      <c r="X213" s="576" t="s">
        <v>301</v>
      </c>
      <c r="Y213" s="576" t="s">
        <v>302</v>
      </c>
    </row>
  </sheetData>
  <mergeCells count="3">
    <mergeCell ref="A65:L65"/>
    <mergeCell ref="A40:L40"/>
    <mergeCell ref="A18:L18"/>
  </mergeCells>
  <pageMargins left="0.70866141732283472" right="0.70866141732283472" top="1.4311417322834645" bottom="0.62992125984251968" header="0.31496062992125984" footer="0.31496062992125984"/>
  <pageSetup paperSize="9" scale="95" orientation="portrait" r:id="rId1"/>
  <headerFooter>
    <oddHeader>&amp;R&amp;7Informe de la Operación Mensual - Enero 2019
INFSGI-MES-01-2019
13/02/2019
Versión: 01</oddHeader>
    <oddFooter>&amp;L&amp;7COES, 2019&amp;C13&amp;R&amp;7Dirección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sheetPr>
  <dimension ref="A1:O59"/>
  <sheetViews>
    <sheetView showGridLines="0" view="pageBreakPreview" zoomScale="130" zoomScaleNormal="100" zoomScaleSheetLayoutView="130" zoomScalePageLayoutView="160" workbookViewId="0">
      <selection activeCell="M24" sqref="M24"/>
    </sheetView>
  </sheetViews>
  <sheetFormatPr defaultColWidth="9.33203125" defaultRowHeight="11.25"/>
  <cols>
    <col min="1" max="1" width="6" customWidth="1"/>
    <col min="2" max="3" width="13.5" customWidth="1"/>
    <col min="4" max="4" width="12.5" customWidth="1"/>
    <col min="5" max="5" width="12.1640625" customWidth="1"/>
    <col min="6" max="6" width="15.83203125" customWidth="1"/>
    <col min="7" max="7" width="13.5" customWidth="1"/>
    <col min="8" max="8" width="12.5" customWidth="1"/>
    <col min="9" max="9" width="11.6640625" customWidth="1"/>
    <col min="10" max="11" width="9.33203125" customWidth="1"/>
    <col min="13" max="13" width="20.5" style="516" customWidth="1"/>
    <col min="14" max="15" width="9.33203125" style="515"/>
  </cols>
  <sheetData>
    <row r="1" spans="1:15" ht="11.25" customHeight="1"/>
    <row r="2" spans="1:15" ht="11.25" customHeight="1">
      <c r="A2" s="856" t="s">
        <v>472</v>
      </c>
      <c r="B2" s="856"/>
      <c r="C2" s="856"/>
      <c r="D2" s="856"/>
      <c r="E2" s="856"/>
      <c r="F2" s="856"/>
      <c r="G2" s="856"/>
      <c r="H2" s="856"/>
      <c r="I2" s="856"/>
      <c r="J2" s="856"/>
      <c r="K2" s="856"/>
    </row>
    <row r="3" spans="1:15" ht="11.25" customHeight="1">
      <c r="A3" s="18"/>
      <c r="B3" s="18"/>
      <c r="C3" s="18"/>
      <c r="D3" s="18"/>
      <c r="E3" s="18"/>
      <c r="F3" s="18"/>
      <c r="G3" s="18"/>
      <c r="H3" s="18"/>
      <c r="I3" s="18"/>
      <c r="J3" s="18"/>
      <c r="K3" s="18"/>
      <c r="L3" s="36"/>
    </row>
    <row r="4" spans="1:15" ht="11.25" customHeight="1">
      <c r="A4" s="841" t="s">
        <v>473</v>
      </c>
      <c r="B4" s="841"/>
      <c r="C4" s="841"/>
      <c r="D4" s="841"/>
      <c r="E4" s="841"/>
      <c r="F4" s="841"/>
      <c r="G4" s="841"/>
      <c r="H4" s="841"/>
      <c r="I4" s="188"/>
      <c r="J4" s="188"/>
      <c r="L4" s="36"/>
    </row>
    <row r="5" spans="1:15" ht="7.5" customHeight="1">
      <c r="A5" s="189"/>
      <c r="B5" s="189"/>
      <c r="C5" s="189"/>
      <c r="D5" s="189"/>
      <c r="E5" s="189"/>
      <c r="F5" s="189"/>
      <c r="G5" s="189"/>
      <c r="H5" s="189"/>
      <c r="I5" s="189"/>
      <c r="J5" s="189"/>
      <c r="L5" s="8"/>
    </row>
    <row r="6" spans="1:15" ht="11.25" customHeight="1">
      <c r="A6" s="189"/>
      <c r="B6" s="193" t="s">
        <v>474</v>
      </c>
      <c r="C6" s="189"/>
      <c r="D6" s="189"/>
      <c r="E6" s="189"/>
      <c r="F6" s="189"/>
      <c r="G6" s="189"/>
      <c r="H6" s="189"/>
      <c r="I6" s="189"/>
      <c r="J6" s="189"/>
      <c r="L6" s="15"/>
    </row>
    <row r="7" spans="1:15" ht="7.5" customHeight="1">
      <c r="A7" s="189"/>
      <c r="B7" s="190"/>
      <c r="C7" s="189"/>
      <c r="D7" s="189"/>
      <c r="E7" s="189"/>
      <c r="F7" s="189"/>
      <c r="G7" s="189"/>
      <c r="H7" s="189"/>
      <c r="I7" s="189"/>
      <c r="J7" s="189"/>
      <c r="L7" s="12"/>
    </row>
    <row r="8" spans="1:15" ht="21" customHeight="1">
      <c r="A8" s="189"/>
      <c r="B8" s="646" t="s">
        <v>171</v>
      </c>
      <c r="C8" s="647" t="s">
        <v>172</v>
      </c>
      <c r="D8" s="647" t="s">
        <v>173</v>
      </c>
      <c r="E8" s="647" t="s">
        <v>175</v>
      </c>
      <c r="F8" s="647" t="s">
        <v>174</v>
      </c>
      <c r="G8" s="648" t="s">
        <v>176</v>
      </c>
      <c r="H8" s="185"/>
      <c r="I8" s="185"/>
      <c r="J8" s="185"/>
      <c r="L8" s="22"/>
      <c r="M8" s="517" t="s">
        <v>172</v>
      </c>
      <c r="N8" s="518" t="str">
        <f>M8&amp;"
 ("&amp;ROUND(HLOOKUP(M8,$C$8:$G$9,2,0),2)&amp;"   USD/MWh)"</f>
        <v>PIURA OESTE 220
 (8,39   USD/MWh)</v>
      </c>
    </row>
    <row r="9" spans="1:15" ht="18" customHeight="1">
      <c r="A9" s="189"/>
      <c r="B9" s="649" t="s">
        <v>177</v>
      </c>
      <c r="C9" s="300">
        <v>8.3941954186213383</v>
      </c>
      <c r="D9" s="300">
        <v>8.1689595952024039</v>
      </c>
      <c r="E9" s="300">
        <v>8.0676118430704147</v>
      </c>
      <c r="F9" s="300">
        <v>7.9993808319630553</v>
      </c>
      <c r="G9" s="300">
        <v>7.8898797540745615</v>
      </c>
      <c r="H9" s="185"/>
      <c r="I9" s="185"/>
      <c r="J9" s="185"/>
      <c r="K9" s="185"/>
      <c r="L9" s="22"/>
      <c r="M9" s="517" t="s">
        <v>173</v>
      </c>
      <c r="N9" s="518" t="str">
        <f>M9&amp;"
("&amp;ROUND(HLOOKUP(M9,$C$8:$G$9,2,0),2)&amp;" USD/MWh)"</f>
        <v>CHICLAYO 220
(8,17 USD/MWh)</v>
      </c>
    </row>
    <row r="10" spans="1:15" ht="14.25" customHeight="1">
      <c r="A10" s="189"/>
      <c r="B10" s="876" t="str">
        <f>"Cuadro N°11: Valor de los costos marginales medios registrados en las principales barras del área norte durante el mes de "&amp;'1. Resumen'!Q4</f>
        <v>Cuadro N°11: Valor de los costos marginales medios registrados en las principales barras del área norte durante el mes de enero</v>
      </c>
      <c r="C10" s="876"/>
      <c r="D10" s="876"/>
      <c r="E10" s="876"/>
      <c r="F10" s="876"/>
      <c r="G10" s="876"/>
      <c r="H10" s="876"/>
      <c r="I10" s="876"/>
      <c r="J10" s="185"/>
      <c r="K10" s="185"/>
      <c r="L10" s="22"/>
      <c r="M10" s="517" t="s">
        <v>175</v>
      </c>
      <c r="N10" s="518" t="str">
        <f>M10&amp;"
("&amp;ROUND(HLOOKUP(M10,$C$8:$G$9,2,0),2)&amp;" USD/MWh)"</f>
        <v>TRUJILLO 220
(8,07 USD/MWh)</v>
      </c>
    </row>
    <row r="11" spans="1:15" ht="11.25" customHeight="1">
      <c r="A11" s="189"/>
      <c r="B11" s="197"/>
      <c r="C11" s="185"/>
      <c r="D11" s="185"/>
      <c r="E11" s="185"/>
      <c r="F11" s="185"/>
      <c r="G11" s="185"/>
      <c r="H11" s="185"/>
      <c r="I11" s="185"/>
      <c r="J11" s="185"/>
      <c r="K11" s="185"/>
      <c r="L11" s="22"/>
      <c r="M11" s="517" t="s">
        <v>174</v>
      </c>
      <c r="N11" s="518" t="str">
        <f>M11&amp;"
("&amp;ROUND(HLOOKUP(M11,$C$8:$G$9,2,0),2)&amp;" USD/MWh)"</f>
        <v>CHIMBOTE1 138
(8 USD/MWh)</v>
      </c>
    </row>
    <row r="12" spans="1:15" ht="11.25" customHeight="1">
      <c r="A12" s="189"/>
      <c r="B12" s="185"/>
      <c r="C12" s="185"/>
      <c r="D12" s="185"/>
      <c r="E12" s="185"/>
      <c r="F12" s="185"/>
      <c r="G12" s="185"/>
      <c r="H12" s="185"/>
      <c r="I12" s="185"/>
      <c r="J12" s="185"/>
      <c r="K12" s="185"/>
      <c r="L12" s="24"/>
      <c r="M12" s="517" t="s">
        <v>176</v>
      </c>
      <c r="N12" s="518" t="str">
        <f>M12&amp;"
("&amp;ROUND(HLOOKUP(M12,$C$8:$G$9,2,0),2)&amp;" USD/MWh)"</f>
        <v>CAJAMARCA 220
(7,89 USD/MWh)</v>
      </c>
    </row>
    <row r="13" spans="1:15" ht="11.25" customHeight="1">
      <c r="A13" s="189"/>
      <c r="B13" s="185"/>
      <c r="C13" s="185"/>
      <c r="D13" s="185"/>
      <c r="E13" s="185"/>
      <c r="F13" s="185"/>
      <c r="G13" s="185"/>
      <c r="H13" s="185"/>
      <c r="I13" s="185"/>
      <c r="J13" s="185"/>
      <c r="K13" s="185"/>
      <c r="L13" s="22"/>
      <c r="M13" s="517"/>
      <c r="N13" s="518"/>
      <c r="O13" s="517"/>
    </row>
    <row r="14" spans="1:15" ht="11.25" customHeight="1">
      <c r="A14" s="189"/>
      <c r="B14" s="185"/>
      <c r="C14" s="185"/>
      <c r="D14" s="185"/>
      <c r="E14" s="185"/>
      <c r="F14" s="185"/>
      <c r="G14" s="185"/>
      <c r="H14" s="185"/>
      <c r="I14" s="185"/>
      <c r="J14" s="185"/>
      <c r="K14" s="185"/>
      <c r="L14" s="22"/>
      <c r="M14" s="517" t="s">
        <v>179</v>
      </c>
      <c r="N14" s="518" t="str">
        <f t="shared" ref="N14:N20" si="0">M14&amp;"
("&amp;ROUND(HLOOKUP(M14,$C$26:$I$27,2,0),2)&amp;" USD/MWh)"</f>
        <v>CHAVARRIA 220
(8,01 USD/MWh)</v>
      </c>
    </row>
    <row r="15" spans="1:15" ht="11.25" customHeight="1">
      <c r="A15" s="189"/>
      <c r="B15" s="185"/>
      <c r="C15" s="185"/>
      <c r="D15" s="185"/>
      <c r="E15" s="185"/>
      <c r="F15" s="185"/>
      <c r="G15" s="185"/>
      <c r="H15" s="185"/>
      <c r="I15" s="185"/>
      <c r="J15" s="185"/>
      <c r="K15" s="185"/>
      <c r="L15" s="22"/>
      <c r="M15" s="517" t="s">
        <v>181</v>
      </c>
      <c r="N15" s="518" t="str">
        <f t="shared" si="0"/>
        <v>INDEPENDENCIA 220
(7,99 USD/MWh)</v>
      </c>
    </row>
    <row r="16" spans="1:15" ht="11.25" customHeight="1">
      <c r="A16" s="189"/>
      <c r="B16" s="185"/>
      <c r="C16" s="185"/>
      <c r="D16" s="185"/>
      <c r="E16" s="185"/>
      <c r="F16" s="185"/>
      <c r="G16" s="185"/>
      <c r="H16" s="185"/>
      <c r="I16" s="185"/>
      <c r="J16" s="185"/>
      <c r="K16" s="185"/>
      <c r="L16" s="22"/>
      <c r="M16" s="517" t="s">
        <v>182</v>
      </c>
      <c r="N16" s="518" t="str">
        <f t="shared" si="0"/>
        <v>CARABAYLLO 220
(7,96 USD/MWh)</v>
      </c>
    </row>
    <row r="17" spans="1:14" ht="11.25" customHeight="1">
      <c r="A17" s="189"/>
      <c r="B17" s="185"/>
      <c r="C17" s="185"/>
      <c r="D17" s="185"/>
      <c r="E17" s="185"/>
      <c r="F17" s="185"/>
      <c r="G17" s="185"/>
      <c r="H17" s="185"/>
      <c r="I17" s="185"/>
      <c r="J17" s="185"/>
      <c r="K17" s="185"/>
      <c r="L17" s="22"/>
      <c r="M17" s="517" t="s">
        <v>178</v>
      </c>
      <c r="N17" s="518" t="str">
        <f t="shared" si="0"/>
        <v>SANTA ROSA 220
(8,02 USD/MWh)</v>
      </c>
    </row>
    <row r="18" spans="1:14" ht="11.25" customHeight="1">
      <c r="A18" s="189"/>
      <c r="B18" s="185"/>
      <c r="C18" s="185"/>
      <c r="D18" s="185"/>
      <c r="E18" s="185"/>
      <c r="F18" s="185"/>
      <c r="G18" s="185"/>
      <c r="H18" s="185"/>
      <c r="I18" s="185"/>
      <c r="J18" s="185"/>
      <c r="K18" s="185"/>
      <c r="L18" s="22"/>
      <c r="M18" s="517" t="s">
        <v>180</v>
      </c>
      <c r="N18" s="518" t="str">
        <f t="shared" si="0"/>
        <v>SAN JUAN 220
(8,06 USD/MWh)</v>
      </c>
    </row>
    <row r="19" spans="1:14" ht="11.25" customHeight="1">
      <c r="A19" s="189"/>
      <c r="B19" s="185"/>
      <c r="C19" s="185"/>
      <c r="D19" s="185"/>
      <c r="E19" s="185"/>
      <c r="F19" s="185"/>
      <c r="G19" s="185"/>
      <c r="H19" s="185"/>
      <c r="I19" s="185"/>
      <c r="J19" s="185"/>
      <c r="K19" s="185"/>
      <c r="L19" s="30"/>
      <c r="M19" s="517" t="s">
        <v>183</v>
      </c>
      <c r="N19" s="518" t="str">
        <f t="shared" si="0"/>
        <v>POMACOCHA 220
(7,37 USD/MWh)</v>
      </c>
    </row>
    <row r="20" spans="1:14" ht="11.25" customHeight="1">
      <c r="A20" s="189"/>
      <c r="B20" s="195"/>
      <c r="C20" s="195"/>
      <c r="D20" s="195"/>
      <c r="E20" s="195"/>
      <c r="F20" s="195"/>
      <c r="G20" s="185"/>
      <c r="H20" s="185"/>
      <c r="I20" s="185"/>
      <c r="J20" s="185"/>
      <c r="K20" s="185"/>
      <c r="L20" s="22"/>
      <c r="M20" s="517" t="s">
        <v>184</v>
      </c>
      <c r="N20" s="518" t="str">
        <f t="shared" si="0"/>
        <v>OROYA NUEVA 50
(7,27 USD/MWh)</v>
      </c>
    </row>
    <row r="21" spans="1:14" ht="11.25" customHeight="1">
      <c r="A21" s="189"/>
      <c r="B21" s="877" t="str">
        <f>"Gráfico N°20: Costos marginales medios registrados en las principales barras del área norte durante el mes de "&amp;'1. Resumen'!Q4</f>
        <v>Gráfico N°20: Costos marginales medios registrados en las principales barras del área norte durante el mes de enero</v>
      </c>
      <c r="C21" s="877"/>
      <c r="D21" s="877"/>
      <c r="E21" s="877"/>
      <c r="F21" s="877"/>
      <c r="G21" s="877"/>
      <c r="H21" s="877"/>
      <c r="I21" s="877"/>
      <c r="J21" s="185"/>
      <c r="K21" s="185"/>
      <c r="L21" s="22"/>
      <c r="M21" s="517"/>
      <c r="N21" s="518"/>
    </row>
    <row r="22" spans="1:14" ht="7.5" customHeight="1">
      <c r="A22" s="189"/>
      <c r="B22" s="191"/>
      <c r="C22" s="191"/>
      <c r="D22" s="191"/>
      <c r="E22" s="191"/>
      <c r="F22" s="191"/>
      <c r="G22" s="189"/>
      <c r="H22" s="189"/>
      <c r="I22" s="189"/>
      <c r="J22" s="189"/>
      <c r="K22" s="189"/>
      <c r="L22" s="15"/>
      <c r="M22" s="517"/>
      <c r="N22" s="518"/>
    </row>
    <row r="23" spans="1:14" ht="11.25" customHeight="1">
      <c r="A23" s="189"/>
      <c r="B23" s="191"/>
      <c r="C23" s="191"/>
      <c r="D23" s="191"/>
      <c r="E23" s="191"/>
      <c r="F23" s="191"/>
      <c r="G23" s="189"/>
      <c r="H23" s="189"/>
      <c r="I23" s="189"/>
      <c r="J23" s="189"/>
      <c r="K23" s="189"/>
      <c r="L23" s="16"/>
      <c r="M23" s="517" t="s">
        <v>185</v>
      </c>
      <c r="N23" s="518" t="str">
        <f t="shared" ref="N23:N29" si="1">M23&amp;"
("&amp;ROUND(HLOOKUP(M23,$C$45:$I$46,2,0),2)&amp;" USD/MWh)"</f>
        <v>TINTAYA NUEVA 220
(8,5 USD/MWh)</v>
      </c>
    </row>
    <row r="24" spans="1:14" ht="11.25" customHeight="1">
      <c r="A24" s="189"/>
      <c r="B24" s="194" t="s">
        <v>475</v>
      </c>
      <c r="C24" s="191"/>
      <c r="D24" s="191"/>
      <c r="E24" s="191"/>
      <c r="F24" s="191"/>
      <c r="G24" s="189"/>
      <c r="H24" s="189"/>
      <c r="I24" s="189"/>
      <c r="J24" s="189"/>
      <c r="K24" s="189"/>
      <c r="L24" s="15"/>
      <c r="M24" s="517" t="s">
        <v>186</v>
      </c>
      <c r="N24" s="518" t="str">
        <f t="shared" si="1"/>
        <v>PUNO 138
(8,16 USD/MWh)</v>
      </c>
    </row>
    <row r="25" spans="1:14" ht="6.75" customHeight="1">
      <c r="A25" s="189"/>
      <c r="B25" s="191"/>
      <c r="C25" s="191"/>
      <c r="D25" s="191"/>
      <c r="E25" s="191"/>
      <c r="F25" s="191"/>
      <c r="G25" s="189"/>
      <c r="H25" s="189"/>
      <c r="I25" s="189"/>
      <c r="J25" s="189"/>
      <c r="K25" s="189"/>
      <c r="L25" s="15"/>
      <c r="M25" s="517" t="s">
        <v>187</v>
      </c>
      <c r="N25" s="518" t="str">
        <f t="shared" si="1"/>
        <v>SOCABAYA 220
(8,22 USD/MWh)</v>
      </c>
    </row>
    <row r="26" spans="1:14" ht="25.5" customHeight="1">
      <c r="A26" s="189"/>
      <c r="B26" s="650" t="s">
        <v>171</v>
      </c>
      <c r="C26" s="647" t="s">
        <v>180</v>
      </c>
      <c r="D26" s="647" t="s">
        <v>178</v>
      </c>
      <c r="E26" s="647" t="s">
        <v>179</v>
      </c>
      <c r="F26" s="647" t="s">
        <v>181</v>
      </c>
      <c r="G26" s="647" t="s">
        <v>182</v>
      </c>
      <c r="H26" s="647" t="s">
        <v>183</v>
      </c>
      <c r="I26" s="648" t="s">
        <v>184</v>
      </c>
      <c r="J26" s="186"/>
      <c r="K26" s="185"/>
      <c r="L26" s="22"/>
      <c r="M26" s="517" t="s">
        <v>188</v>
      </c>
      <c r="N26" s="518" t="str">
        <f t="shared" si="1"/>
        <v>MOQUEGUA 138
(8,2 USD/MWh)</v>
      </c>
    </row>
    <row r="27" spans="1:14" ht="18" customHeight="1">
      <c r="A27" s="189"/>
      <c r="B27" s="651" t="s">
        <v>177</v>
      </c>
      <c r="C27" s="300">
        <v>8.0615743583853234</v>
      </c>
      <c r="D27" s="300">
        <v>8.0183972912737307</v>
      </c>
      <c r="E27" s="300">
        <v>8.0129280992568361</v>
      </c>
      <c r="F27" s="300">
        <v>7.9939563032999441</v>
      </c>
      <c r="G27" s="300">
        <v>7.9620642630297827</v>
      </c>
      <c r="H27" s="300">
        <v>7.3679580798310358</v>
      </c>
      <c r="I27" s="300">
        <v>7.2656075657735517</v>
      </c>
      <c r="J27" s="196"/>
      <c r="K27" s="185"/>
      <c r="L27" s="22"/>
      <c r="M27" s="517" t="s">
        <v>189</v>
      </c>
      <c r="N27" s="518" t="str">
        <f t="shared" si="1"/>
        <v>DOLORESPATA 138
(7,91 USD/MWh)</v>
      </c>
    </row>
    <row r="28" spans="1:14" ht="19.5" customHeight="1">
      <c r="A28" s="189"/>
      <c r="B28" s="878" t="str">
        <f>"Cuadro N°12: Valor de los costos marginales medios registrados en las principales barras del área centro durante el mes de "&amp;'1. Resumen'!Q4</f>
        <v>Cuadro N°12: Valor de los costos marginales medios registrados en las principales barras del área centro durante el mes de enero</v>
      </c>
      <c r="C28" s="878"/>
      <c r="D28" s="878"/>
      <c r="E28" s="878"/>
      <c r="F28" s="878"/>
      <c r="G28" s="878"/>
      <c r="H28" s="878"/>
      <c r="I28" s="878"/>
      <c r="J28" s="185"/>
      <c r="K28" s="185"/>
      <c r="L28" s="22"/>
      <c r="M28" s="517" t="s">
        <v>190</v>
      </c>
      <c r="N28" s="518" t="str">
        <f t="shared" si="1"/>
        <v>COTARUSE 220
(7,85 USD/MWh)</v>
      </c>
    </row>
    <row r="29" spans="1:14" ht="11.25" customHeight="1">
      <c r="A29" s="189"/>
      <c r="B29" s="195"/>
      <c r="C29" s="195"/>
      <c r="D29" s="195"/>
      <c r="E29" s="195"/>
      <c r="F29" s="195"/>
      <c r="G29" s="195"/>
      <c r="H29" s="195"/>
      <c r="I29" s="195"/>
      <c r="J29" s="195"/>
      <c r="K29" s="195"/>
      <c r="L29" s="22"/>
      <c r="M29" s="517" t="s">
        <v>191</v>
      </c>
      <c r="N29" s="518" t="str">
        <f t="shared" si="1"/>
        <v>SAN GABAN 138
(7,19 USD/MWh)</v>
      </c>
    </row>
    <row r="30" spans="1:14" ht="11.25" customHeight="1">
      <c r="A30" s="189"/>
      <c r="B30" s="195"/>
      <c r="C30" s="195"/>
      <c r="D30" s="195"/>
      <c r="E30" s="195"/>
      <c r="F30" s="195"/>
      <c r="G30" s="195"/>
      <c r="H30" s="195"/>
      <c r="I30" s="195"/>
      <c r="J30" s="195"/>
      <c r="K30" s="195"/>
      <c r="L30" s="22"/>
      <c r="M30" s="517"/>
      <c r="N30" s="514"/>
    </row>
    <row r="31" spans="1:14" ht="11.25" customHeight="1">
      <c r="A31" s="189"/>
      <c r="B31" s="195"/>
      <c r="C31" s="195"/>
      <c r="D31" s="195"/>
      <c r="E31" s="195"/>
      <c r="F31" s="195"/>
      <c r="G31" s="195"/>
      <c r="H31" s="195"/>
      <c r="I31" s="195"/>
      <c r="J31" s="195"/>
      <c r="K31" s="195"/>
      <c r="L31" s="22"/>
      <c r="M31" s="517"/>
      <c r="N31" s="514"/>
    </row>
    <row r="32" spans="1:14" ht="11.25" customHeight="1">
      <c r="A32" s="189"/>
      <c r="B32" s="195"/>
      <c r="C32" s="195"/>
      <c r="D32" s="195"/>
      <c r="E32" s="195"/>
      <c r="F32" s="195"/>
      <c r="G32" s="195"/>
      <c r="H32" s="195"/>
      <c r="I32" s="195"/>
      <c r="J32" s="195"/>
      <c r="K32" s="195"/>
      <c r="L32" s="22"/>
      <c r="M32" s="517"/>
    </row>
    <row r="33" spans="1:12" ht="11.25" customHeight="1">
      <c r="A33" s="189"/>
      <c r="B33" s="195"/>
      <c r="C33" s="195"/>
      <c r="D33" s="195"/>
      <c r="E33" s="195"/>
      <c r="F33" s="195"/>
      <c r="G33" s="195"/>
      <c r="H33" s="195"/>
      <c r="I33" s="195"/>
      <c r="J33" s="195"/>
      <c r="K33" s="195"/>
      <c r="L33" s="22"/>
    </row>
    <row r="34" spans="1:12" ht="11.25" customHeight="1">
      <c r="A34" s="189"/>
      <c r="B34" s="195"/>
      <c r="C34" s="195"/>
      <c r="D34" s="195"/>
      <c r="E34" s="195"/>
      <c r="F34" s="195"/>
      <c r="G34" s="195"/>
      <c r="H34" s="195"/>
      <c r="I34" s="195"/>
      <c r="J34" s="195"/>
      <c r="K34" s="195"/>
      <c r="L34" s="22"/>
    </row>
    <row r="35" spans="1:12" ht="11.25" customHeight="1">
      <c r="A35" s="189"/>
      <c r="B35" s="195"/>
      <c r="C35" s="195"/>
      <c r="D35" s="195"/>
      <c r="E35" s="195"/>
      <c r="F35" s="195"/>
      <c r="G35" s="195"/>
      <c r="H35" s="195"/>
      <c r="I35" s="195"/>
      <c r="J35" s="195"/>
      <c r="K35" s="195"/>
      <c r="L35" s="38"/>
    </row>
    <row r="36" spans="1:12" ht="11.25" customHeight="1">
      <c r="A36" s="189"/>
      <c r="B36" s="195"/>
      <c r="C36" s="195"/>
      <c r="D36" s="195"/>
      <c r="E36" s="195"/>
      <c r="F36" s="195"/>
      <c r="G36" s="195"/>
      <c r="H36" s="195"/>
      <c r="I36" s="195"/>
      <c r="J36" s="195"/>
      <c r="K36" s="195"/>
      <c r="L36" s="22"/>
    </row>
    <row r="37" spans="1:12" ht="11.25" customHeight="1">
      <c r="A37" s="189"/>
      <c r="B37" s="195"/>
      <c r="C37" s="195"/>
      <c r="D37" s="195"/>
      <c r="E37" s="195"/>
      <c r="F37" s="195"/>
      <c r="G37" s="195"/>
      <c r="H37" s="195"/>
      <c r="I37" s="195"/>
      <c r="J37" s="195"/>
      <c r="K37" s="195"/>
      <c r="L37" s="22"/>
    </row>
    <row r="38" spans="1:12" ht="11.25" customHeight="1">
      <c r="A38" s="189"/>
      <c r="B38" s="195"/>
      <c r="C38" s="195"/>
      <c r="D38" s="195"/>
      <c r="E38" s="195"/>
      <c r="F38" s="195"/>
      <c r="G38" s="195"/>
      <c r="H38" s="195"/>
      <c r="I38" s="195"/>
      <c r="J38" s="195"/>
      <c r="K38" s="195"/>
      <c r="L38" s="22"/>
    </row>
    <row r="39" spans="1:12" ht="11.25" customHeight="1">
      <c r="A39" s="189"/>
      <c r="B39" s="195"/>
      <c r="C39" s="195"/>
      <c r="D39" s="195"/>
      <c r="E39" s="195"/>
      <c r="F39" s="195"/>
      <c r="G39" s="195"/>
      <c r="H39" s="195"/>
      <c r="I39" s="195"/>
      <c r="J39" s="195"/>
      <c r="K39" s="195"/>
      <c r="L39" s="22"/>
    </row>
    <row r="40" spans="1:12" ht="13.5" customHeight="1">
      <c r="A40" s="189"/>
      <c r="B40" s="876" t="str">
        <f>"Gráfico N°21: Costos marginales medios registrados en las principales barras del área centro durante el mes de "&amp;'1. Resumen'!Q4</f>
        <v>Gráfico N°21: Costos marginales medios registrados en las principales barras del área centro durante el mes de enero</v>
      </c>
      <c r="C40" s="876"/>
      <c r="D40" s="876"/>
      <c r="E40" s="876"/>
      <c r="F40" s="876"/>
      <c r="G40" s="876"/>
      <c r="H40" s="876"/>
      <c r="I40" s="876"/>
      <c r="J40" s="195"/>
      <c r="K40" s="195"/>
      <c r="L40" s="22"/>
    </row>
    <row r="41" spans="1:12" ht="6.75" customHeight="1">
      <c r="A41" s="189"/>
      <c r="B41" s="195"/>
      <c r="C41" s="195"/>
      <c r="D41" s="195"/>
      <c r="E41" s="195"/>
      <c r="F41" s="195"/>
      <c r="G41" s="195"/>
      <c r="H41" s="195"/>
      <c r="I41" s="195"/>
      <c r="J41" s="195"/>
      <c r="K41" s="195"/>
      <c r="L41" s="22"/>
    </row>
    <row r="42" spans="1:12" ht="8.25" customHeight="1">
      <c r="A42" s="189"/>
      <c r="B42" s="191"/>
      <c r="C42" s="191"/>
      <c r="D42" s="191"/>
      <c r="E42" s="191"/>
      <c r="F42" s="191"/>
      <c r="G42" s="191"/>
      <c r="H42" s="191"/>
      <c r="I42" s="191"/>
      <c r="J42" s="191"/>
      <c r="K42" s="191"/>
      <c r="L42" s="11"/>
    </row>
    <row r="43" spans="1:12" ht="11.25" customHeight="1">
      <c r="A43" s="189"/>
      <c r="B43" s="194" t="s">
        <v>476</v>
      </c>
      <c r="C43" s="191"/>
      <c r="D43" s="191"/>
      <c r="E43" s="191"/>
      <c r="F43" s="191"/>
      <c r="G43" s="191"/>
      <c r="H43" s="191"/>
      <c r="I43" s="191"/>
      <c r="J43" s="191"/>
      <c r="K43" s="191"/>
      <c r="L43" s="11"/>
    </row>
    <row r="44" spans="1:12" ht="6.75" customHeight="1">
      <c r="A44" s="189"/>
      <c r="B44" s="191"/>
      <c r="C44" s="191"/>
      <c r="D44" s="191"/>
      <c r="E44" s="191"/>
      <c r="F44" s="191"/>
      <c r="G44" s="191"/>
      <c r="H44" s="191"/>
      <c r="I44" s="191"/>
      <c r="J44" s="191"/>
      <c r="K44" s="191"/>
      <c r="L44" s="11"/>
    </row>
    <row r="45" spans="1:12" ht="27" customHeight="1">
      <c r="A45" s="189"/>
      <c r="B45" s="650" t="s">
        <v>171</v>
      </c>
      <c r="C45" s="647" t="s">
        <v>185</v>
      </c>
      <c r="D45" s="647" t="s">
        <v>187</v>
      </c>
      <c r="E45" s="647" t="s">
        <v>188</v>
      </c>
      <c r="F45" s="647" t="s">
        <v>186</v>
      </c>
      <c r="G45" s="647" t="s">
        <v>189</v>
      </c>
      <c r="H45" s="647" t="s">
        <v>190</v>
      </c>
      <c r="I45" s="648" t="s">
        <v>191</v>
      </c>
      <c r="J45" s="186"/>
      <c r="K45" s="195"/>
    </row>
    <row r="46" spans="1:12" ht="18.75" customHeight="1">
      <c r="A46" s="189"/>
      <c r="B46" s="651" t="s">
        <v>177</v>
      </c>
      <c r="C46" s="300">
        <v>8.4958239829681901</v>
      </c>
      <c r="D46" s="300">
        <v>8.2204914389579393</v>
      </c>
      <c r="E46" s="300">
        <v>8.1988190070287406</v>
      </c>
      <c r="F46" s="300">
        <v>8.1591092040673026</v>
      </c>
      <c r="G46" s="300">
        <v>7.9051441363995441</v>
      </c>
      <c r="H46" s="300">
        <v>7.8477133090712883</v>
      </c>
      <c r="I46" s="300">
        <v>7.1942309016862644</v>
      </c>
      <c r="J46" s="196"/>
      <c r="K46" s="195"/>
    </row>
    <row r="47" spans="1:12" ht="18" customHeight="1">
      <c r="A47" s="189"/>
      <c r="B47" s="878" t="str">
        <f>"Cuadro N°13: Valor de los costos marginales medios registrados en las principales barras del área sur durante el mes de "&amp;'1. Resumen'!Q4</f>
        <v>Cuadro N°13: Valor de los costos marginales medios registrados en las principales barras del área sur durante el mes de enero</v>
      </c>
      <c r="C47" s="878"/>
      <c r="D47" s="878"/>
      <c r="E47" s="878"/>
      <c r="F47" s="878"/>
      <c r="G47" s="878"/>
      <c r="H47" s="878"/>
      <c r="I47" s="878"/>
      <c r="J47" s="196"/>
      <c r="K47" s="195"/>
    </row>
    <row r="48" spans="1:12" ht="12.75">
      <c r="A48" s="189"/>
      <c r="B48" s="195"/>
      <c r="C48" s="195"/>
      <c r="D48" s="195"/>
      <c r="E48" s="195"/>
      <c r="F48" s="195"/>
      <c r="G48" s="185"/>
      <c r="H48" s="185"/>
      <c r="I48" s="185"/>
      <c r="J48" s="185"/>
      <c r="K48" s="195"/>
    </row>
    <row r="49" spans="1:11" ht="12.75">
      <c r="A49" s="189"/>
      <c r="B49" s="185"/>
      <c r="C49" s="185"/>
      <c r="D49" s="185"/>
      <c r="E49" s="185"/>
      <c r="F49" s="185"/>
      <c r="G49" s="185"/>
      <c r="H49" s="185"/>
      <c r="I49" s="185"/>
      <c r="J49" s="185"/>
      <c r="K49" s="195"/>
    </row>
    <row r="50" spans="1:11" ht="12.75">
      <c r="A50" s="189"/>
      <c r="B50" s="111"/>
      <c r="C50" s="111"/>
      <c r="D50" s="111"/>
      <c r="E50" s="111"/>
      <c r="F50" s="111"/>
      <c r="G50" s="111"/>
      <c r="H50" s="111"/>
      <c r="I50" s="111"/>
      <c r="J50" s="111"/>
      <c r="K50" s="195"/>
    </row>
    <row r="51" spans="1:11" ht="12.75">
      <c r="A51" s="189"/>
      <c r="B51" s="111"/>
      <c r="C51" s="111"/>
      <c r="D51" s="111"/>
      <c r="E51" s="111"/>
      <c r="F51" s="111"/>
      <c r="G51" s="111"/>
      <c r="H51" s="111"/>
      <c r="I51" s="111"/>
      <c r="J51" s="111"/>
      <c r="K51" s="195"/>
    </row>
    <row r="52" spans="1:11" ht="12.75">
      <c r="A52" s="189"/>
      <c r="B52" s="111"/>
      <c r="C52" s="111"/>
      <c r="D52" s="111"/>
      <c r="E52" s="111"/>
      <c r="F52" s="111"/>
      <c r="G52" s="111"/>
      <c r="H52" s="111"/>
      <c r="I52" s="111"/>
      <c r="J52" s="111"/>
      <c r="K52" s="195"/>
    </row>
    <row r="53" spans="1:11" ht="12.75">
      <c r="A53" s="189"/>
      <c r="B53" s="111"/>
      <c r="C53" s="111"/>
      <c r="D53" s="111"/>
      <c r="E53" s="111"/>
      <c r="F53" s="111"/>
      <c r="G53" s="111"/>
      <c r="H53" s="111"/>
      <c r="I53" s="111"/>
      <c r="J53" s="111"/>
      <c r="K53" s="195"/>
    </row>
    <row r="54" spans="1:11" ht="12.75">
      <c r="A54" s="189"/>
      <c r="B54" s="111"/>
      <c r="C54" s="111"/>
      <c r="D54" s="111"/>
      <c r="E54" s="111"/>
      <c r="F54" s="111"/>
      <c r="G54" s="111"/>
      <c r="H54" s="111"/>
      <c r="I54" s="111"/>
      <c r="J54" s="111"/>
      <c r="K54" s="195"/>
    </row>
    <row r="55" spans="1:11" ht="12.75">
      <c r="A55" s="189"/>
      <c r="B55" s="111"/>
      <c r="C55" s="111"/>
      <c r="D55" s="111"/>
      <c r="E55" s="111"/>
      <c r="F55" s="111"/>
      <c r="G55" s="111"/>
      <c r="H55" s="111"/>
      <c r="I55" s="111"/>
      <c r="J55" s="111"/>
      <c r="K55" s="195"/>
    </row>
    <row r="56" spans="1:11" ht="12.75">
      <c r="A56" s="189"/>
      <c r="B56" s="185"/>
      <c r="C56" s="185"/>
      <c r="D56" s="185"/>
      <c r="E56" s="185"/>
      <c r="F56" s="185"/>
      <c r="G56" s="185"/>
      <c r="H56" s="185"/>
      <c r="I56" s="185"/>
      <c r="J56" s="185"/>
      <c r="K56" s="195"/>
    </row>
    <row r="57" spans="1:11" ht="12.75">
      <c r="A57" s="189"/>
      <c r="B57" s="185"/>
      <c r="C57" s="185"/>
      <c r="D57" s="185"/>
      <c r="E57" s="185"/>
      <c r="F57" s="185"/>
      <c r="G57" s="185"/>
      <c r="H57" s="185"/>
      <c r="I57" s="185"/>
      <c r="J57" s="185"/>
      <c r="K57" s="195"/>
    </row>
    <row r="58" spans="1:11" ht="12.75">
      <c r="A58" s="189"/>
      <c r="B58" s="876" t="str">
        <f>"Gráfico N°22: Costos marginales medios registrados en las principales barras del área sur durante el mes de "&amp;'1. Resumen'!Q4</f>
        <v>Gráfico N°22: Costos marginales medios registrados en las principales barras del área sur durante el mes de enero</v>
      </c>
      <c r="C58" s="876"/>
      <c r="D58" s="876"/>
      <c r="E58" s="876"/>
      <c r="F58" s="876"/>
      <c r="G58" s="876"/>
      <c r="H58" s="876"/>
      <c r="I58" s="876"/>
      <c r="J58" s="185"/>
      <c r="K58" s="195"/>
    </row>
    <row r="59" spans="1:11" ht="12.75">
      <c r="A59" s="74"/>
      <c r="B59" s="136"/>
      <c r="C59" s="136"/>
      <c r="D59" s="136"/>
      <c r="E59" s="136"/>
      <c r="F59" s="136"/>
      <c r="G59" s="136"/>
      <c r="H59" s="185"/>
      <c r="I59" s="185"/>
      <c r="J59" s="185"/>
      <c r="K59" s="195"/>
    </row>
  </sheetData>
  <mergeCells count="8">
    <mergeCell ref="B58:I58"/>
    <mergeCell ref="B21:I21"/>
    <mergeCell ref="B10:I10"/>
    <mergeCell ref="A2:K2"/>
    <mergeCell ref="A4:H4"/>
    <mergeCell ref="B28:I28"/>
    <mergeCell ref="B47:I47"/>
    <mergeCell ref="B40:I40"/>
  </mergeCells>
  <pageMargins left="0.70866141732283472" right="0.70866141732283472" top="1.4311417322834645" bottom="0.62992125984251968" header="0.31496062992125984" footer="0.31496062992125984"/>
  <pageSetup paperSize="9" scale="95" orientation="portrait" r:id="rId1"/>
  <headerFooter>
    <oddHeader>&amp;R&amp;7Informe de la Operación Mensual - Enero 2019
INFSGI-MES-01-2019
13/02/2019
Versión: 01</oddHeader>
    <oddFooter>&amp;L&amp;7COES, 2019&amp;C14&amp;R&amp;7Dirección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sheetPr>
  <dimension ref="A1:L71"/>
  <sheetViews>
    <sheetView showGridLines="0" view="pageBreakPreview" topLeftCell="C16" zoomScale="175" zoomScaleNormal="100" zoomScaleSheetLayoutView="175" zoomScalePageLayoutView="145" workbookViewId="0">
      <selection activeCell="M24" sqref="M24"/>
    </sheetView>
  </sheetViews>
  <sheetFormatPr defaultColWidth="9.33203125" defaultRowHeight="11.25"/>
  <cols>
    <col min="10" max="10" width="9.33203125" customWidth="1"/>
    <col min="11" max="11" width="11.33203125" customWidth="1"/>
    <col min="12" max="12" width="12.33203125" customWidth="1"/>
  </cols>
  <sheetData>
    <row r="1" spans="1:12" ht="11.25" customHeight="1"/>
    <row r="2" spans="1:12" ht="26.25" customHeight="1">
      <c r="A2" s="841" t="s">
        <v>478</v>
      </c>
      <c r="B2" s="841"/>
      <c r="C2" s="841"/>
      <c r="D2" s="841"/>
      <c r="E2" s="841"/>
      <c r="F2" s="841"/>
      <c r="G2" s="841"/>
      <c r="H2" s="841"/>
      <c r="I2" s="841"/>
      <c r="J2" s="841"/>
      <c r="K2" s="841"/>
      <c r="L2" s="841"/>
    </row>
    <row r="3" spans="1:12" ht="11.25" customHeight="1">
      <c r="A3" s="189"/>
      <c r="B3" s="189"/>
      <c r="C3" s="189"/>
      <c r="D3" s="189"/>
      <c r="E3" s="189"/>
      <c r="F3" s="189"/>
      <c r="G3" s="189"/>
      <c r="H3" s="189"/>
      <c r="I3" s="189"/>
      <c r="J3" s="189"/>
      <c r="K3" s="189"/>
      <c r="L3" s="198"/>
    </row>
    <row r="4" spans="1:12" ht="11.25" customHeight="1">
      <c r="A4" s="189"/>
      <c r="B4" s="189"/>
      <c r="C4" s="189"/>
      <c r="D4" s="189"/>
      <c r="E4" s="189"/>
      <c r="F4" s="189"/>
      <c r="G4" s="189"/>
      <c r="H4" s="189"/>
      <c r="I4" s="189"/>
      <c r="J4" s="189"/>
      <c r="K4" s="189"/>
      <c r="L4" s="17"/>
    </row>
    <row r="5" spans="1:12" ht="11.25" customHeight="1">
      <c r="A5" s="189"/>
      <c r="B5" s="189"/>
      <c r="C5" s="189"/>
      <c r="D5" s="189"/>
      <c r="E5" s="189"/>
      <c r="F5" s="189"/>
      <c r="G5" s="189"/>
      <c r="H5" s="189"/>
      <c r="I5" s="189"/>
      <c r="J5" s="189"/>
      <c r="K5" s="189"/>
      <c r="L5" s="17"/>
    </row>
    <row r="6" spans="1:12" ht="11.25" customHeight="1">
      <c r="A6" s="189"/>
      <c r="B6" s="189"/>
      <c r="C6" s="189"/>
      <c r="D6" s="189"/>
      <c r="E6" s="189"/>
      <c r="F6" s="189"/>
      <c r="G6" s="189"/>
      <c r="H6" s="189"/>
      <c r="I6" s="189"/>
      <c r="J6" s="189"/>
      <c r="K6" s="189"/>
      <c r="L6" s="17"/>
    </row>
    <row r="7" spans="1:12" ht="11.25" customHeight="1">
      <c r="A7" s="189"/>
      <c r="B7" s="190"/>
      <c r="C7" s="189"/>
      <c r="D7" s="189"/>
      <c r="E7" s="189"/>
      <c r="F7" s="189"/>
      <c r="G7" s="189"/>
      <c r="H7" s="189"/>
      <c r="I7" s="189"/>
      <c r="J7" s="189"/>
      <c r="K7" s="189"/>
      <c r="L7" s="17"/>
    </row>
    <row r="8" spans="1:12" ht="11.25" customHeight="1">
      <c r="A8" s="189"/>
      <c r="B8" s="190"/>
      <c r="C8" s="189"/>
      <c r="D8" s="189"/>
      <c r="E8" s="189"/>
      <c r="F8" s="189"/>
      <c r="G8" s="189"/>
      <c r="H8" s="189"/>
      <c r="I8" s="189"/>
      <c r="J8" s="189"/>
      <c r="K8" s="189"/>
      <c r="L8" s="17"/>
    </row>
    <row r="9" spans="1:12" ht="11.25" customHeight="1">
      <c r="A9" s="189"/>
      <c r="B9" s="190"/>
      <c r="C9" s="189"/>
      <c r="D9" s="189"/>
      <c r="E9" s="189"/>
      <c r="F9" s="189"/>
      <c r="G9" s="189"/>
      <c r="H9" s="189"/>
      <c r="I9" s="189"/>
      <c r="J9" s="189"/>
      <c r="K9" s="189"/>
      <c r="L9" s="17"/>
    </row>
    <row r="10" spans="1:12" ht="11.25" customHeight="1">
      <c r="A10" s="189"/>
      <c r="B10" s="189"/>
      <c r="C10" s="189"/>
      <c r="D10" s="189"/>
      <c r="E10" s="189"/>
      <c r="F10" s="189"/>
      <c r="G10" s="189"/>
      <c r="H10" s="189"/>
      <c r="I10" s="189"/>
      <c r="J10" s="189"/>
      <c r="K10" s="189"/>
      <c r="L10" s="17"/>
    </row>
    <row r="11" spans="1:12" ht="11.25" customHeight="1">
      <c r="A11" s="189"/>
      <c r="B11" s="189"/>
      <c r="C11" s="189"/>
      <c r="D11" s="189"/>
      <c r="E11" s="189"/>
      <c r="F11" s="189"/>
      <c r="G11" s="189"/>
      <c r="H11" s="189"/>
      <c r="I11" s="189"/>
      <c r="J11" s="189"/>
      <c r="K11" s="189"/>
      <c r="L11" s="17"/>
    </row>
    <row r="12" spans="1:12" ht="11.25" customHeight="1">
      <c r="A12" s="189"/>
      <c r="B12" s="189"/>
      <c r="C12" s="189"/>
      <c r="D12" s="189"/>
      <c r="E12" s="189"/>
      <c r="F12" s="189"/>
      <c r="G12" s="189"/>
      <c r="H12" s="189"/>
      <c r="I12" s="189"/>
      <c r="J12" s="189"/>
      <c r="K12" s="189"/>
      <c r="L12" s="17"/>
    </row>
    <row r="13" spans="1:12" ht="11.25" customHeight="1">
      <c r="A13" s="189"/>
      <c r="B13" s="189"/>
      <c r="C13" s="189"/>
      <c r="D13" s="189"/>
      <c r="E13" s="189"/>
      <c r="F13" s="189"/>
      <c r="G13" s="189"/>
      <c r="H13" s="189"/>
      <c r="I13" s="189"/>
      <c r="J13" s="189"/>
      <c r="K13" s="189"/>
      <c r="L13" s="17"/>
    </row>
    <row r="14" spans="1:12" ht="11.25" customHeight="1">
      <c r="A14" s="189"/>
      <c r="B14" s="189"/>
      <c r="C14" s="189"/>
      <c r="D14" s="189"/>
      <c r="E14" s="189"/>
      <c r="F14" s="189"/>
      <c r="G14" s="189"/>
      <c r="H14" s="189"/>
      <c r="I14" s="189"/>
      <c r="J14" s="189"/>
      <c r="K14" s="189"/>
      <c r="L14" s="17"/>
    </row>
    <row r="15" spans="1:12" ht="11.25" customHeight="1">
      <c r="A15" s="189"/>
      <c r="B15" s="189"/>
      <c r="C15" s="189"/>
      <c r="D15" s="189"/>
      <c r="E15" s="189"/>
      <c r="F15" s="189"/>
      <c r="G15" s="189"/>
      <c r="H15" s="189"/>
      <c r="I15" s="189"/>
      <c r="J15" s="189"/>
      <c r="K15" s="189"/>
      <c r="L15" s="17"/>
    </row>
    <row r="16" spans="1:12" ht="11.25" customHeight="1">
      <c r="A16" s="189"/>
      <c r="B16" s="189"/>
      <c r="C16" s="189"/>
      <c r="D16" s="189"/>
      <c r="E16" s="189"/>
      <c r="F16" s="189"/>
      <c r="G16" s="189"/>
      <c r="H16" s="189"/>
      <c r="I16" s="189"/>
      <c r="J16" s="189"/>
      <c r="K16" s="189"/>
      <c r="L16" s="17"/>
    </row>
    <row r="17" spans="1:12" ht="11.25" customHeight="1">
      <c r="A17" s="189"/>
      <c r="B17" s="189"/>
      <c r="C17" s="189"/>
      <c r="D17" s="189"/>
      <c r="E17" s="189"/>
      <c r="F17" s="189"/>
      <c r="G17" s="189"/>
      <c r="H17" s="189"/>
      <c r="I17" s="189"/>
      <c r="J17" s="189"/>
      <c r="K17" s="189"/>
      <c r="L17" s="17"/>
    </row>
    <row r="18" spans="1:12" ht="11.25" customHeight="1">
      <c r="A18" s="189"/>
      <c r="B18" s="189"/>
      <c r="C18" s="189"/>
      <c r="D18" s="189"/>
      <c r="E18" s="189"/>
      <c r="F18" s="189"/>
      <c r="G18" s="189"/>
      <c r="H18" s="189"/>
      <c r="I18" s="189"/>
      <c r="J18" s="189"/>
      <c r="K18" s="189"/>
      <c r="L18" s="198"/>
    </row>
    <row r="19" spans="1:12" ht="11.25" customHeight="1">
      <c r="A19" s="189"/>
      <c r="B19" s="189"/>
      <c r="C19" s="189"/>
      <c r="D19" s="189"/>
      <c r="E19" s="189"/>
      <c r="F19" s="189"/>
      <c r="G19" s="189"/>
      <c r="H19" s="189"/>
      <c r="I19" s="189"/>
      <c r="J19" s="189"/>
      <c r="K19" s="189"/>
      <c r="L19" s="198"/>
    </row>
    <row r="20" spans="1:12" ht="11.25" customHeight="1">
      <c r="A20" s="189"/>
      <c r="B20" s="189"/>
      <c r="C20" s="189"/>
      <c r="D20" s="189"/>
      <c r="E20" s="189"/>
      <c r="F20" s="189"/>
      <c r="G20" s="189"/>
      <c r="H20" s="189"/>
      <c r="I20" s="189"/>
      <c r="J20" s="189"/>
      <c r="K20" s="189"/>
      <c r="L20" s="198"/>
    </row>
    <row r="21" spans="1:12" ht="11.25" customHeight="1">
      <c r="A21" s="189"/>
      <c r="B21" s="189"/>
      <c r="C21" s="189"/>
      <c r="D21" s="189"/>
      <c r="E21" s="189"/>
      <c r="F21" s="189"/>
      <c r="G21" s="189"/>
      <c r="H21" s="189"/>
      <c r="I21" s="189"/>
      <c r="J21" s="189"/>
      <c r="K21" s="189"/>
      <c r="L21" s="198"/>
    </row>
    <row r="22" spans="1:12" ht="11.25" customHeight="1">
      <c r="A22" s="189"/>
      <c r="B22" s="189"/>
      <c r="C22" s="189"/>
      <c r="D22" s="189"/>
      <c r="E22" s="189"/>
      <c r="F22" s="189"/>
      <c r="G22" s="189"/>
      <c r="H22" s="189"/>
      <c r="I22" s="189"/>
      <c r="J22" s="189"/>
      <c r="K22" s="189"/>
      <c r="L22" s="198"/>
    </row>
    <row r="23" spans="1:12" ht="11.25" customHeight="1">
      <c r="A23" s="189"/>
      <c r="B23" s="189"/>
      <c r="C23" s="189"/>
      <c r="D23" s="189"/>
      <c r="E23" s="189"/>
      <c r="F23" s="189"/>
      <c r="G23" s="189"/>
      <c r="H23" s="189"/>
      <c r="I23" s="189"/>
      <c r="J23" s="189"/>
      <c r="K23" s="189"/>
      <c r="L23" s="198"/>
    </row>
    <row r="24" spans="1:12" ht="11.25" customHeight="1">
      <c r="A24" s="189"/>
      <c r="B24" s="189"/>
      <c r="C24" s="189"/>
      <c r="D24" s="189"/>
      <c r="E24" s="189"/>
      <c r="F24" s="189"/>
      <c r="G24" s="189"/>
      <c r="H24" s="189"/>
      <c r="I24" s="189"/>
      <c r="J24" s="189"/>
      <c r="K24" s="189"/>
      <c r="L24" s="198"/>
    </row>
    <row r="25" spans="1:12" ht="11.25" customHeight="1">
      <c r="A25" s="189"/>
      <c r="B25" s="189"/>
      <c r="C25" s="189"/>
      <c r="D25" s="189"/>
      <c r="E25" s="189"/>
      <c r="F25" s="189"/>
      <c r="G25" s="189"/>
      <c r="H25" s="189"/>
      <c r="I25" s="189"/>
      <c r="J25" s="189"/>
      <c r="K25" s="189"/>
      <c r="L25" s="198"/>
    </row>
    <row r="26" spans="1:12" ht="11.25" customHeight="1">
      <c r="A26" s="189"/>
      <c r="B26" s="189"/>
      <c r="C26" s="189"/>
      <c r="D26" s="189"/>
      <c r="E26" s="189"/>
      <c r="F26" s="189"/>
      <c r="G26" s="189"/>
      <c r="H26" s="189"/>
      <c r="I26" s="189"/>
      <c r="J26" s="189"/>
      <c r="K26" s="189"/>
      <c r="L26" s="198"/>
    </row>
    <row r="27" spans="1:12" ht="11.25" customHeight="1">
      <c r="A27" s="189"/>
      <c r="B27" s="189"/>
      <c r="C27" s="189"/>
      <c r="D27" s="189"/>
      <c r="E27" s="189"/>
      <c r="F27" s="189"/>
      <c r="G27" s="189"/>
      <c r="H27" s="189"/>
      <c r="I27" s="189"/>
      <c r="J27" s="189"/>
      <c r="K27" s="189"/>
      <c r="L27" s="198"/>
    </row>
    <row r="28" spans="1:12" ht="11.25" customHeight="1">
      <c r="A28" s="189"/>
      <c r="B28" s="189"/>
      <c r="C28" s="189"/>
      <c r="D28" s="189"/>
      <c r="E28" s="189"/>
      <c r="F28" s="189"/>
      <c r="G28" s="189"/>
      <c r="H28" s="189"/>
      <c r="I28" s="189"/>
      <c r="J28" s="189"/>
      <c r="K28" s="189"/>
      <c r="L28" s="198"/>
    </row>
    <row r="29" spans="1:12" ht="11.25" customHeight="1">
      <c r="A29" s="189"/>
      <c r="B29" s="189"/>
      <c r="C29" s="189"/>
      <c r="D29" s="189"/>
      <c r="E29" s="189"/>
      <c r="F29" s="189"/>
      <c r="G29" s="189"/>
      <c r="H29" s="189"/>
      <c r="I29" s="189"/>
      <c r="J29" s="189"/>
      <c r="K29" s="189"/>
      <c r="L29" s="198"/>
    </row>
    <row r="30" spans="1:12" ht="11.25" customHeight="1">
      <c r="A30" s="189"/>
      <c r="B30" s="189"/>
      <c r="C30" s="189"/>
      <c r="D30" s="189"/>
      <c r="E30" s="189"/>
      <c r="F30" s="189"/>
      <c r="G30" s="189"/>
      <c r="H30" s="189"/>
      <c r="I30" s="189"/>
      <c r="J30" s="189"/>
      <c r="K30" s="189"/>
      <c r="L30" s="198"/>
    </row>
    <row r="31" spans="1:12" ht="11.25" customHeight="1">
      <c r="A31" s="189"/>
      <c r="B31" s="189"/>
      <c r="C31" s="189"/>
      <c r="D31" s="189"/>
      <c r="E31" s="189"/>
      <c r="F31" s="189"/>
      <c r="G31" s="189"/>
      <c r="H31" s="189"/>
      <c r="I31" s="189"/>
      <c r="J31" s="189"/>
      <c r="K31" s="189"/>
      <c r="L31" s="198"/>
    </row>
    <row r="32" spans="1:12" ht="11.25" customHeight="1">
      <c r="A32" s="189"/>
      <c r="B32" s="189"/>
      <c r="C32" s="189"/>
      <c r="D32" s="189"/>
      <c r="E32" s="189"/>
      <c r="F32" s="189"/>
      <c r="G32" s="189"/>
      <c r="H32" s="189"/>
      <c r="I32" s="189"/>
      <c r="J32" s="189"/>
      <c r="K32" s="189"/>
      <c r="L32" s="73"/>
    </row>
    <row r="33" spans="1:12" ht="11.25" customHeight="1">
      <c r="A33" s="189"/>
      <c r="B33" s="189"/>
      <c r="C33" s="189"/>
      <c r="D33" s="189"/>
      <c r="E33" s="189"/>
      <c r="F33" s="189"/>
      <c r="G33" s="189"/>
      <c r="H33" s="189"/>
      <c r="I33" s="189"/>
      <c r="J33" s="189"/>
      <c r="K33" s="189"/>
      <c r="L33" s="73"/>
    </row>
    <row r="34" spans="1:12" ht="11.25" customHeight="1">
      <c r="A34" s="189"/>
      <c r="B34" s="189"/>
      <c r="C34" s="189"/>
      <c r="D34" s="189"/>
      <c r="E34" s="189"/>
      <c r="F34" s="189"/>
      <c r="G34" s="189"/>
      <c r="H34" s="189"/>
      <c r="I34" s="189"/>
      <c r="J34" s="189"/>
      <c r="K34" s="189"/>
      <c r="L34" s="73"/>
    </row>
    <row r="35" spans="1:12" ht="11.25" customHeight="1">
      <c r="A35" s="189"/>
      <c r="B35" s="189"/>
      <c r="C35" s="189"/>
      <c r="D35" s="189"/>
      <c r="E35" s="189"/>
      <c r="F35" s="189"/>
      <c r="G35" s="189"/>
      <c r="H35" s="189"/>
      <c r="I35" s="189"/>
      <c r="J35" s="189"/>
      <c r="K35" s="189"/>
      <c r="L35" s="73"/>
    </row>
    <row r="36" spans="1:12" ht="11.25" customHeight="1">
      <c r="A36" s="189"/>
      <c r="B36" s="189"/>
      <c r="C36" s="189"/>
      <c r="D36" s="189"/>
      <c r="E36" s="189"/>
      <c r="F36" s="189"/>
      <c r="G36" s="189"/>
      <c r="H36" s="189"/>
      <c r="I36" s="189"/>
      <c r="J36" s="189"/>
      <c r="K36" s="189"/>
      <c r="L36" s="73"/>
    </row>
    <row r="37" spans="1:12" ht="11.25" customHeight="1">
      <c r="A37" s="189"/>
      <c r="B37" s="189"/>
      <c r="C37" s="189"/>
      <c r="D37" s="189"/>
      <c r="E37" s="189"/>
      <c r="F37" s="189"/>
      <c r="G37" s="189"/>
      <c r="H37" s="189"/>
      <c r="I37" s="189"/>
      <c r="J37" s="189"/>
      <c r="K37" s="189"/>
      <c r="L37" s="73"/>
    </row>
    <row r="38" spans="1:12" ht="11.25" customHeight="1">
      <c r="A38" s="189"/>
      <c r="B38" s="189"/>
      <c r="C38" s="189"/>
      <c r="D38" s="189"/>
      <c r="E38" s="189"/>
      <c r="F38" s="189"/>
      <c r="G38" s="189"/>
      <c r="H38" s="189"/>
      <c r="I38" s="189"/>
      <c r="J38" s="189"/>
      <c r="K38" s="189"/>
      <c r="L38" s="73"/>
    </row>
    <row r="39" spans="1:12" ht="11.25" customHeight="1">
      <c r="A39" s="189"/>
      <c r="B39" s="189"/>
      <c r="C39" s="189"/>
      <c r="D39" s="189"/>
      <c r="E39" s="189"/>
      <c r="F39" s="189"/>
      <c r="G39" s="189"/>
      <c r="H39" s="189"/>
      <c r="I39" s="189"/>
      <c r="J39" s="189"/>
      <c r="K39" s="189"/>
      <c r="L39" s="73"/>
    </row>
    <row r="40" spans="1:12" ht="11.25" customHeight="1">
      <c r="A40" s="189"/>
      <c r="B40" s="189"/>
      <c r="C40" s="189"/>
      <c r="D40" s="189"/>
      <c r="E40" s="189"/>
      <c r="F40" s="189"/>
      <c r="G40" s="189"/>
      <c r="H40" s="189"/>
      <c r="I40" s="189"/>
      <c r="J40" s="189"/>
      <c r="K40" s="189"/>
      <c r="L40" s="73"/>
    </row>
    <row r="41" spans="1:12" ht="11.25" customHeight="1">
      <c r="A41" s="189"/>
      <c r="B41" s="189"/>
      <c r="C41" s="189"/>
      <c r="D41" s="189"/>
      <c r="E41" s="189"/>
      <c r="F41" s="189"/>
      <c r="G41" s="189"/>
      <c r="H41" s="189"/>
      <c r="I41" s="189"/>
      <c r="J41" s="189"/>
      <c r="K41" s="189"/>
      <c r="L41" s="73"/>
    </row>
    <row r="42" spans="1:12" ht="11.25" customHeight="1">
      <c r="A42" s="189"/>
      <c r="B42" s="189"/>
      <c r="C42" s="189"/>
      <c r="D42" s="189"/>
      <c r="E42" s="189"/>
      <c r="F42" s="189"/>
      <c r="G42" s="189"/>
      <c r="H42" s="189"/>
      <c r="I42" s="189"/>
      <c r="J42" s="189"/>
      <c r="K42" s="189"/>
      <c r="L42" s="73"/>
    </row>
    <row r="43" spans="1:12" ht="11.25" customHeight="1">
      <c r="A43" s="189"/>
      <c r="B43" s="189"/>
      <c r="C43" s="189"/>
      <c r="D43" s="189"/>
      <c r="E43" s="189"/>
      <c r="F43" s="189"/>
      <c r="G43" s="189"/>
      <c r="H43" s="189"/>
      <c r="I43" s="189"/>
      <c r="J43" s="189"/>
      <c r="K43" s="189"/>
      <c r="L43" s="73"/>
    </row>
    <row r="44" spans="1:12" ht="11.25" customHeight="1">
      <c r="A44" s="74"/>
      <c r="B44" s="74"/>
      <c r="C44" s="74"/>
      <c r="D44" s="74"/>
      <c r="E44" s="74"/>
      <c r="F44" s="74"/>
      <c r="G44" s="74"/>
      <c r="H44" s="74"/>
      <c r="I44" s="74"/>
      <c r="J44" s="74"/>
      <c r="K44" s="189"/>
      <c r="L44" s="73"/>
    </row>
    <row r="45" spans="1:12" ht="11.25" customHeight="1">
      <c r="A45" s="74"/>
      <c r="B45" s="74"/>
      <c r="C45" s="74"/>
      <c r="D45" s="74"/>
      <c r="E45" s="74"/>
      <c r="F45" s="74"/>
      <c r="G45" s="74"/>
      <c r="H45" s="74"/>
      <c r="I45" s="74"/>
      <c r="J45" s="74"/>
      <c r="K45" s="189"/>
      <c r="L45" s="73"/>
    </row>
    <row r="46" spans="1:12" ht="11.25" customHeight="1">
      <c r="A46" s="74"/>
      <c r="B46" s="74"/>
      <c r="C46" s="74"/>
      <c r="D46" s="74"/>
      <c r="E46" s="74"/>
      <c r="F46" s="74"/>
      <c r="G46" s="74"/>
      <c r="H46" s="74"/>
      <c r="I46" s="74"/>
      <c r="J46" s="74"/>
      <c r="K46" s="189"/>
      <c r="L46" s="73"/>
    </row>
    <row r="47" spans="1:12" ht="11.25" customHeight="1">
      <c r="A47" s="74"/>
      <c r="B47" s="74"/>
      <c r="C47" s="74"/>
      <c r="D47" s="74"/>
      <c r="E47" s="74"/>
      <c r="F47" s="74"/>
      <c r="G47" s="74"/>
      <c r="H47" s="74"/>
      <c r="I47" s="74"/>
      <c r="J47" s="74"/>
      <c r="K47" s="189"/>
      <c r="L47" s="73"/>
    </row>
    <row r="48" spans="1:12" ht="11.25" customHeight="1">
      <c r="A48" s="74"/>
      <c r="B48" s="74"/>
      <c r="C48" s="74"/>
      <c r="D48" s="74"/>
      <c r="E48" s="74"/>
      <c r="F48" s="74"/>
      <c r="G48" s="74"/>
      <c r="H48" s="74"/>
      <c r="I48" s="74"/>
      <c r="J48" s="74"/>
      <c r="K48" s="189"/>
      <c r="L48" s="73"/>
    </row>
    <row r="49" spans="1:12" ht="11.25" customHeight="1">
      <c r="A49" s="74"/>
      <c r="B49" s="74"/>
      <c r="C49" s="74"/>
      <c r="D49" s="74"/>
      <c r="E49" s="74"/>
      <c r="F49" s="74"/>
      <c r="G49" s="74"/>
      <c r="H49" s="74"/>
      <c r="I49" s="74"/>
      <c r="J49" s="74"/>
      <c r="K49" s="189"/>
      <c r="L49" s="73"/>
    </row>
    <row r="50" spans="1:12" ht="12.75">
      <c r="A50" s="74"/>
      <c r="B50" s="74"/>
      <c r="C50" s="74"/>
      <c r="D50" s="74"/>
      <c r="E50" s="74"/>
      <c r="F50" s="74"/>
      <c r="G50" s="74"/>
      <c r="H50" s="74"/>
      <c r="I50" s="74"/>
      <c r="J50" s="74"/>
      <c r="K50" s="189"/>
      <c r="L50" s="73"/>
    </row>
    <row r="51" spans="1:12" ht="12.75">
      <c r="A51" s="74"/>
      <c r="B51" s="74"/>
      <c r="C51" s="74"/>
      <c r="D51" s="74"/>
      <c r="E51" s="74"/>
      <c r="F51" s="74"/>
      <c r="G51" s="74"/>
      <c r="H51" s="74"/>
      <c r="I51" s="74"/>
      <c r="J51" s="74"/>
      <c r="K51" s="189"/>
      <c r="L51" s="73"/>
    </row>
    <row r="52" spans="1:12" ht="12.75">
      <c r="A52" s="74"/>
      <c r="B52" s="74"/>
      <c r="C52" s="74"/>
      <c r="D52" s="74"/>
      <c r="E52" s="74"/>
      <c r="F52" s="74"/>
      <c r="G52" s="74"/>
      <c r="H52" s="74"/>
      <c r="I52" s="74"/>
      <c r="J52" s="74"/>
      <c r="K52" s="189"/>
      <c r="L52" s="73"/>
    </row>
    <row r="53" spans="1:12" ht="12.75">
      <c r="A53" s="74"/>
      <c r="B53" s="74"/>
      <c r="C53" s="74"/>
      <c r="D53" s="74"/>
      <c r="E53" s="74"/>
      <c r="F53" s="74"/>
      <c r="G53" s="74"/>
      <c r="H53" s="74"/>
      <c r="I53" s="74"/>
      <c r="J53" s="74"/>
      <c r="K53" s="189"/>
      <c r="L53" s="73"/>
    </row>
    <row r="54" spans="1:12" ht="12.75">
      <c r="A54" s="74"/>
      <c r="B54" s="74"/>
      <c r="C54" s="74"/>
      <c r="D54" s="74"/>
      <c r="E54" s="74"/>
      <c r="F54" s="74"/>
      <c r="G54" s="74"/>
      <c r="H54" s="74"/>
      <c r="I54" s="74"/>
      <c r="J54" s="74"/>
      <c r="K54" s="189"/>
      <c r="L54" s="73"/>
    </row>
    <row r="55" spans="1:12" ht="12.75">
      <c r="A55" s="74"/>
      <c r="B55" s="74"/>
      <c r="C55" s="74"/>
      <c r="D55" s="74"/>
      <c r="E55" s="74"/>
      <c r="F55" s="74"/>
      <c r="G55" s="74"/>
      <c r="H55" s="74"/>
      <c r="I55" s="74"/>
      <c r="J55" s="74"/>
      <c r="K55" s="189"/>
      <c r="L55" s="73"/>
    </row>
    <row r="56" spans="1:12" ht="12.75">
      <c r="A56" s="74"/>
      <c r="B56" s="74"/>
      <c r="C56" s="74"/>
      <c r="D56" s="74"/>
      <c r="E56" s="74"/>
      <c r="F56" s="74"/>
      <c r="G56" s="74"/>
      <c r="H56" s="74"/>
      <c r="I56" s="74"/>
      <c r="J56" s="74"/>
      <c r="K56" s="189"/>
      <c r="L56" s="73"/>
    </row>
    <row r="57" spans="1:12" ht="12.75">
      <c r="A57" s="74"/>
      <c r="B57" s="74"/>
      <c r="C57" s="74"/>
      <c r="D57" s="74"/>
      <c r="E57" s="74"/>
      <c r="F57" s="74"/>
      <c r="G57" s="74"/>
      <c r="H57" s="74"/>
      <c r="I57" s="74"/>
      <c r="J57" s="74"/>
      <c r="K57" s="189"/>
      <c r="L57" s="73"/>
    </row>
    <row r="58" spans="1:12" ht="12.75">
      <c r="A58" s="74"/>
      <c r="B58" s="74"/>
      <c r="C58" s="74"/>
      <c r="D58" s="74"/>
      <c r="E58" s="74"/>
      <c r="F58" s="74"/>
      <c r="G58" s="74"/>
      <c r="H58" s="74"/>
      <c r="I58" s="74"/>
      <c r="J58" s="74"/>
      <c r="K58" s="189"/>
      <c r="L58" s="73"/>
    </row>
    <row r="59" spans="1:12" ht="12.75">
      <c r="A59" s="74"/>
      <c r="B59" s="74"/>
      <c r="C59" s="74"/>
      <c r="D59" s="74"/>
      <c r="E59" s="74"/>
      <c r="F59" s="74"/>
      <c r="G59" s="74"/>
      <c r="H59" s="74"/>
      <c r="I59" s="74"/>
      <c r="J59" s="74"/>
      <c r="K59" s="189"/>
      <c r="L59" s="73"/>
    </row>
    <row r="60" spans="1:12" ht="12.75">
      <c r="A60" s="74"/>
      <c r="B60" s="74"/>
      <c r="C60" s="74"/>
      <c r="D60" s="74"/>
      <c r="E60" s="74"/>
      <c r="F60" s="74"/>
      <c r="G60" s="74"/>
      <c r="H60" s="74"/>
      <c r="I60" s="74"/>
      <c r="J60" s="74"/>
      <c r="K60" s="189"/>
      <c r="L60" s="73"/>
    </row>
    <row r="61" spans="1:12" ht="12.75">
      <c r="A61" s="74"/>
      <c r="B61" s="74"/>
      <c r="C61" s="74"/>
      <c r="D61" s="74"/>
      <c r="E61" s="74"/>
      <c r="F61" s="74"/>
      <c r="G61" s="74"/>
      <c r="H61" s="74"/>
      <c r="I61" s="74"/>
      <c r="J61" s="74"/>
      <c r="K61" s="189"/>
      <c r="L61" s="73"/>
    </row>
    <row r="62" spans="1:12" ht="12.75">
      <c r="A62" s="74"/>
      <c r="B62" s="74"/>
      <c r="C62" s="74"/>
      <c r="D62" s="74"/>
      <c r="E62" s="74"/>
      <c r="F62" s="74"/>
      <c r="G62" s="74"/>
      <c r="H62" s="74"/>
      <c r="I62" s="74"/>
      <c r="J62" s="74"/>
      <c r="K62" s="189"/>
      <c r="L62" s="73"/>
    </row>
    <row r="63" spans="1:12" ht="12.75">
      <c r="A63" s="74"/>
      <c r="B63" s="74"/>
      <c r="C63" s="74"/>
      <c r="D63" s="74"/>
      <c r="E63" s="74"/>
      <c r="F63" s="74"/>
      <c r="G63" s="74"/>
      <c r="H63" s="74"/>
      <c r="I63" s="74"/>
      <c r="J63" s="74"/>
      <c r="K63" s="189"/>
      <c r="L63" s="73"/>
    </row>
    <row r="64" spans="1:12" ht="12.75">
      <c r="A64" s="74"/>
      <c r="B64" s="74"/>
      <c r="C64" s="74"/>
      <c r="D64" s="74"/>
      <c r="E64" s="74"/>
      <c r="F64" s="74"/>
      <c r="G64" s="74"/>
      <c r="H64" s="74"/>
      <c r="I64" s="74"/>
      <c r="J64" s="74"/>
      <c r="K64" s="189"/>
      <c r="L64" s="73"/>
    </row>
    <row r="65" spans="1:12" ht="12.75">
      <c r="A65" s="74"/>
      <c r="B65" s="74"/>
      <c r="C65" s="74"/>
      <c r="D65" s="74"/>
      <c r="E65" s="74"/>
      <c r="F65" s="74"/>
      <c r="G65" s="74"/>
      <c r="H65" s="74"/>
      <c r="I65" s="74"/>
      <c r="J65" s="74"/>
      <c r="K65" s="189"/>
      <c r="L65" s="73"/>
    </row>
    <row r="66" spans="1:12" ht="12.75">
      <c r="A66" s="74"/>
      <c r="B66" s="74"/>
      <c r="C66" s="74"/>
      <c r="D66" s="74"/>
      <c r="E66" s="74"/>
      <c r="F66" s="74"/>
      <c r="G66" s="74"/>
      <c r="H66" s="74"/>
      <c r="I66" s="74"/>
      <c r="J66" s="74"/>
      <c r="K66" s="189"/>
      <c r="L66" s="73"/>
    </row>
    <row r="67" spans="1:12" ht="12.75">
      <c r="A67" s="74"/>
      <c r="B67" s="74"/>
      <c r="C67" s="74"/>
      <c r="D67" s="74"/>
      <c r="E67" s="74"/>
      <c r="F67" s="74"/>
      <c r="G67" s="74"/>
      <c r="H67" s="74"/>
      <c r="I67" s="74"/>
      <c r="J67" s="74"/>
      <c r="K67" s="189"/>
      <c r="L67" s="73"/>
    </row>
    <row r="68" spans="1:12" ht="12.75">
      <c r="A68" s="74"/>
      <c r="B68" s="74"/>
      <c r="C68" s="74"/>
      <c r="D68" s="74"/>
      <c r="E68" s="74"/>
      <c r="F68" s="74"/>
      <c r="G68" s="74"/>
      <c r="H68" s="74"/>
      <c r="I68" s="74"/>
      <c r="J68" s="74"/>
      <c r="K68" s="189"/>
      <c r="L68" s="73"/>
    </row>
    <row r="69" spans="1:12" ht="12.75">
      <c r="A69" s="74"/>
      <c r="B69" s="74"/>
      <c r="C69" s="74"/>
      <c r="D69" s="74"/>
      <c r="E69" s="74"/>
      <c r="F69" s="74"/>
      <c r="G69" s="74"/>
      <c r="H69" s="74"/>
      <c r="I69" s="74"/>
      <c r="J69" s="74"/>
      <c r="K69" s="189"/>
      <c r="L69" s="73"/>
    </row>
    <row r="70" spans="1:12" ht="12.75">
      <c r="A70" s="199"/>
      <c r="B70" s="199"/>
      <c r="C70" s="199"/>
      <c r="D70" s="199"/>
      <c r="E70" s="199"/>
      <c r="F70" s="199"/>
      <c r="G70" s="199"/>
      <c r="H70" s="199"/>
      <c r="I70" s="199"/>
      <c r="J70" s="199"/>
      <c r="K70" s="189"/>
      <c r="L70" s="73"/>
    </row>
    <row r="71" spans="1:12" ht="12.75">
      <c r="A71" s="74"/>
      <c r="B71" s="73"/>
      <c r="C71" s="73"/>
      <c r="D71" s="73"/>
      <c r="E71" s="73"/>
      <c r="F71" s="73"/>
      <c r="G71" s="73"/>
      <c r="H71" s="73"/>
      <c r="I71" s="73"/>
      <c r="J71" s="73"/>
      <c r="K71" s="189"/>
      <c r="L71" s="73"/>
    </row>
  </sheetData>
  <mergeCells count="1">
    <mergeCell ref="A2:L2"/>
  </mergeCells>
  <pageMargins left="0.70866141732283472" right="0.51181102362204722" top="1.4311417322834645" bottom="0.62992125984251968" header="0.31496062992125984" footer="0.31496062992125984"/>
  <pageSetup paperSize="9" scale="95" orientation="portrait" r:id="rId1"/>
  <headerFooter>
    <oddHeader>&amp;R&amp;7Informe de la Operación Mensual - Enero 2019
INFSGI-MES-01-2019
13/02/2019
Versión: 01</oddHeader>
    <oddFooter>&amp;L&amp;7COES, 2019&amp;C15&amp;R&amp;7Dirección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sheetPr>
  <dimension ref="A1:L63"/>
  <sheetViews>
    <sheetView showGridLines="0" view="pageBreakPreview" zoomScale="115" zoomScaleNormal="100" zoomScaleSheetLayoutView="115" zoomScalePageLayoutView="115" workbookViewId="0">
      <selection activeCell="M24" sqref="M24"/>
    </sheetView>
  </sheetViews>
  <sheetFormatPr defaultColWidth="9.33203125" defaultRowHeight="11.25"/>
  <cols>
    <col min="1" max="1" width="12.83203125" style="46" customWidth="1"/>
    <col min="2" max="2" width="19.33203125" style="46" customWidth="1"/>
    <col min="3" max="3" width="25.6640625" style="46" customWidth="1"/>
    <col min="4" max="4" width="10.1640625" style="46" customWidth="1"/>
    <col min="5" max="5" width="11" style="46" customWidth="1"/>
    <col min="6" max="6" width="10.5" style="46" customWidth="1"/>
    <col min="7" max="7" width="12.1640625" style="46" customWidth="1"/>
    <col min="8" max="8" width="12.33203125" style="46" customWidth="1"/>
    <col min="9" max="9" width="9.33203125" style="46"/>
    <col min="10" max="11" width="9.33203125" style="46" customWidth="1"/>
    <col min="12" max="16384" width="9.33203125" style="46"/>
  </cols>
  <sheetData>
    <row r="1" spans="1:12" ht="4.5" customHeight="1"/>
    <row r="2" spans="1:12" ht="14.25" customHeight="1">
      <c r="A2" s="879" t="s">
        <v>477</v>
      </c>
      <c r="B2" s="879"/>
      <c r="C2" s="879"/>
      <c r="D2" s="879"/>
      <c r="E2" s="879"/>
      <c r="F2" s="879"/>
      <c r="G2" s="879"/>
      <c r="H2" s="879"/>
      <c r="I2" s="209"/>
      <c r="J2" s="209"/>
      <c r="K2" s="209"/>
    </row>
    <row r="3" spans="1:12" ht="3" customHeight="1">
      <c r="A3" s="77"/>
      <c r="B3" s="77"/>
      <c r="C3" s="77"/>
      <c r="D3" s="77"/>
      <c r="E3" s="77"/>
      <c r="F3" s="77"/>
      <c r="G3" s="77"/>
      <c r="H3" s="77"/>
      <c r="I3" s="210"/>
      <c r="J3" s="210"/>
      <c r="K3" s="210"/>
      <c r="L3" s="36"/>
    </row>
    <row r="4" spans="1:12" ht="10.5" customHeight="1">
      <c r="A4" s="870" t="s">
        <v>479</v>
      </c>
      <c r="B4" s="870"/>
      <c r="C4" s="870"/>
      <c r="D4" s="870"/>
      <c r="E4" s="870"/>
      <c r="F4" s="870"/>
      <c r="G4" s="870"/>
      <c r="H4" s="870"/>
      <c r="I4" s="201"/>
      <c r="J4" s="201"/>
      <c r="K4" s="201"/>
      <c r="L4" s="36"/>
    </row>
    <row r="5" spans="1:12" ht="11.25" customHeight="1">
      <c r="A5" s="77"/>
      <c r="B5" s="169"/>
      <c r="C5" s="78"/>
      <c r="D5" s="79"/>
      <c r="E5" s="79"/>
      <c r="F5" s="80"/>
      <c r="G5" s="76"/>
      <c r="H5" s="76"/>
      <c r="I5" s="202"/>
      <c r="J5" s="202"/>
      <c r="K5" s="202"/>
      <c r="L5" s="211"/>
    </row>
    <row r="6" spans="1:12" ht="30.75" customHeight="1">
      <c r="A6" s="699" t="s">
        <v>192</v>
      </c>
      <c r="B6" s="697" t="s">
        <v>193</v>
      </c>
      <c r="C6" s="697" t="s">
        <v>194</v>
      </c>
      <c r="D6" s="696" t="str">
        <f>UPPER('1. Resumen'!Q4)&amp;"
 "&amp;'1. Resumen'!Q5</f>
        <v>ENERO
 2019</v>
      </c>
      <c r="E6" s="696" t="str">
        <f>UPPER('1. Resumen'!Q4)&amp;"
 "&amp;'1. Resumen'!Q5-1</f>
        <v>ENERO
 2018</v>
      </c>
      <c r="F6" s="696" t="str">
        <f>UPPER('1. Resumen'!Q4)&amp;"
 "&amp;'1. Resumen'!Q5-2</f>
        <v>ENERO
 2017</v>
      </c>
      <c r="G6" s="697" t="s">
        <v>492</v>
      </c>
      <c r="H6" s="698" t="s">
        <v>195</v>
      </c>
      <c r="I6" s="202"/>
      <c r="J6" s="202"/>
      <c r="K6" s="202"/>
      <c r="L6" s="171"/>
    </row>
    <row r="7" spans="1:12" ht="20.25" customHeight="1">
      <c r="A7" s="795" t="s">
        <v>196</v>
      </c>
      <c r="B7" s="550" t="s">
        <v>572</v>
      </c>
      <c r="C7" s="506" t="s">
        <v>522</v>
      </c>
      <c r="D7" s="215"/>
      <c r="E7" s="215"/>
      <c r="F7" s="215">
        <v>300.60000000000002</v>
      </c>
      <c r="G7" s="301"/>
      <c r="H7" s="301">
        <f>+E7/F7-1</f>
        <v>-1</v>
      </c>
      <c r="I7" s="202"/>
      <c r="J7" s="202"/>
      <c r="K7" s="202"/>
      <c r="L7" s="58"/>
    </row>
    <row r="8" spans="1:12" ht="12.75">
      <c r="A8" s="880" t="s">
        <v>197</v>
      </c>
      <c r="B8" s="550" t="s">
        <v>56</v>
      </c>
      <c r="C8" s="506" t="s">
        <v>785</v>
      </c>
      <c r="D8" s="215"/>
      <c r="E8" s="215"/>
      <c r="F8" s="215">
        <v>10.5</v>
      </c>
      <c r="G8" s="301"/>
      <c r="H8" s="301"/>
      <c r="I8" s="202"/>
      <c r="J8" s="202"/>
      <c r="K8" s="202"/>
      <c r="L8" s="58"/>
    </row>
    <row r="9" spans="1:12" ht="12.75">
      <c r="A9" s="881"/>
      <c r="B9" s="550" t="s">
        <v>771</v>
      </c>
      <c r="C9" s="506" t="s">
        <v>786</v>
      </c>
      <c r="D9" s="215"/>
      <c r="E9" s="215"/>
      <c r="F9" s="215">
        <v>8.4166666666666679</v>
      </c>
      <c r="G9" s="301"/>
      <c r="H9" s="301"/>
      <c r="I9" s="202"/>
      <c r="J9" s="202"/>
      <c r="K9" s="202"/>
      <c r="L9" s="58"/>
    </row>
    <row r="10" spans="1:12" ht="12.75">
      <c r="A10" s="881"/>
      <c r="B10" s="550" t="s">
        <v>772</v>
      </c>
      <c r="C10" s="506" t="s">
        <v>787</v>
      </c>
      <c r="D10" s="215"/>
      <c r="E10" s="215">
        <v>5.2333333333333334</v>
      </c>
      <c r="F10" s="215">
        <v>32.283333333333331</v>
      </c>
      <c r="G10" s="301"/>
      <c r="H10" s="301"/>
      <c r="I10" s="202"/>
      <c r="J10" s="202"/>
      <c r="K10" s="202"/>
      <c r="L10" s="58"/>
    </row>
    <row r="11" spans="1:12" ht="12.75">
      <c r="A11" s="881"/>
      <c r="B11" s="550" t="s">
        <v>773</v>
      </c>
      <c r="C11" s="506" t="s">
        <v>788</v>
      </c>
      <c r="D11" s="215"/>
      <c r="E11" s="215">
        <v>47.066666666666663</v>
      </c>
      <c r="F11" s="215"/>
      <c r="G11" s="301"/>
      <c r="H11" s="301"/>
      <c r="I11" s="202"/>
      <c r="J11" s="202"/>
      <c r="K11" s="202"/>
      <c r="L11" s="58"/>
    </row>
    <row r="12" spans="1:12" ht="12.75">
      <c r="A12" s="881"/>
      <c r="B12" s="550" t="s">
        <v>774</v>
      </c>
      <c r="C12" s="506" t="s">
        <v>789</v>
      </c>
      <c r="D12" s="215">
        <v>6.2333333333333325</v>
      </c>
      <c r="E12" s="215"/>
      <c r="F12" s="215"/>
      <c r="G12" s="301"/>
      <c r="H12" s="301"/>
      <c r="I12" s="202"/>
      <c r="J12" s="202"/>
      <c r="K12" s="202"/>
      <c r="L12" s="58"/>
    </row>
    <row r="13" spans="1:12" ht="12.75">
      <c r="A13" s="881"/>
      <c r="B13" s="550" t="s">
        <v>775</v>
      </c>
      <c r="C13" s="506" t="s">
        <v>790</v>
      </c>
      <c r="D13" s="215">
        <v>0.99999999999999911</v>
      </c>
      <c r="E13" s="215"/>
      <c r="F13" s="215"/>
      <c r="G13" s="301"/>
      <c r="H13" s="301"/>
      <c r="I13" s="202"/>
      <c r="J13" s="202"/>
      <c r="K13" s="202"/>
      <c r="L13" s="58"/>
    </row>
    <row r="14" spans="1:12" ht="12.75">
      <c r="A14" s="881"/>
      <c r="B14" s="550" t="s">
        <v>776</v>
      </c>
      <c r="C14" s="506" t="s">
        <v>791</v>
      </c>
      <c r="D14" s="215">
        <v>8.3833333333333346</v>
      </c>
      <c r="E14" s="215"/>
      <c r="F14" s="215"/>
      <c r="G14" s="301"/>
      <c r="H14" s="301"/>
      <c r="I14" s="202"/>
      <c r="J14" s="202"/>
      <c r="K14" s="202"/>
      <c r="L14" s="58"/>
    </row>
    <row r="15" spans="1:12" ht="12.75">
      <c r="A15" s="881"/>
      <c r="B15" s="550" t="s">
        <v>582</v>
      </c>
      <c r="C15" s="506" t="s">
        <v>565</v>
      </c>
      <c r="D15" s="215">
        <v>70.333333333333329</v>
      </c>
      <c r="E15" s="215">
        <v>10.283333333333333</v>
      </c>
      <c r="F15" s="215">
        <v>20.3</v>
      </c>
      <c r="G15" s="301"/>
      <c r="H15" s="301"/>
      <c r="I15" s="202"/>
      <c r="J15" s="202"/>
      <c r="K15" s="202"/>
      <c r="L15" s="58"/>
    </row>
    <row r="16" spans="1:12" ht="16.5">
      <c r="A16" s="881"/>
      <c r="B16" s="550" t="s">
        <v>777</v>
      </c>
      <c r="C16" s="506" t="s">
        <v>792</v>
      </c>
      <c r="D16" s="215">
        <v>1.7499999999999998</v>
      </c>
      <c r="E16" s="215"/>
      <c r="F16" s="215"/>
      <c r="G16" s="301"/>
      <c r="H16" s="301"/>
      <c r="I16" s="202"/>
      <c r="J16" s="202"/>
      <c r="K16" s="202"/>
      <c r="L16" s="58"/>
    </row>
    <row r="17" spans="1:12" ht="12.75">
      <c r="A17" s="881"/>
      <c r="B17" s="550" t="s">
        <v>778</v>
      </c>
      <c r="C17" s="506" t="s">
        <v>793</v>
      </c>
      <c r="D17" s="215">
        <v>0.49999999999999956</v>
      </c>
      <c r="E17" s="215"/>
      <c r="F17" s="215"/>
      <c r="G17" s="301"/>
      <c r="H17" s="301"/>
      <c r="I17" s="202"/>
      <c r="J17" s="202"/>
      <c r="K17" s="202"/>
      <c r="L17" s="58"/>
    </row>
    <row r="18" spans="1:12" ht="12.75">
      <c r="A18" s="881"/>
      <c r="B18" s="550" t="s">
        <v>779</v>
      </c>
      <c r="C18" s="506" t="s">
        <v>794</v>
      </c>
      <c r="D18" s="215">
        <v>7.9833333333333334</v>
      </c>
      <c r="E18" s="215"/>
      <c r="F18" s="215">
        <v>12.766666666666664</v>
      </c>
      <c r="G18" s="301"/>
      <c r="H18" s="301"/>
      <c r="I18" s="202"/>
      <c r="J18" s="202"/>
      <c r="K18" s="202"/>
      <c r="L18" s="58"/>
    </row>
    <row r="19" spans="1:12" ht="12.75">
      <c r="A19" s="881"/>
      <c r="B19" s="550" t="s">
        <v>583</v>
      </c>
      <c r="C19" s="506" t="s">
        <v>584</v>
      </c>
      <c r="D19" s="215">
        <v>41.15</v>
      </c>
      <c r="E19" s="215">
        <v>17.633333333333333</v>
      </c>
      <c r="F19" s="215"/>
      <c r="G19" s="301"/>
      <c r="H19" s="301"/>
      <c r="I19" s="202"/>
      <c r="J19" s="202"/>
      <c r="K19" s="202"/>
      <c r="L19" s="58"/>
    </row>
    <row r="20" spans="1:12" ht="12.75">
      <c r="A20" s="881"/>
      <c r="B20" s="550" t="s">
        <v>780</v>
      </c>
      <c r="C20" s="506" t="s">
        <v>795</v>
      </c>
      <c r="D20" s="215"/>
      <c r="E20" s="215">
        <v>5.1666666666666679</v>
      </c>
      <c r="F20" s="215"/>
      <c r="G20" s="301"/>
      <c r="H20" s="301"/>
      <c r="I20" s="202"/>
      <c r="J20" s="202"/>
      <c r="K20" s="202"/>
      <c r="L20" s="58"/>
    </row>
    <row r="21" spans="1:12" ht="12.75">
      <c r="A21" s="881"/>
      <c r="B21" s="550" t="s">
        <v>781</v>
      </c>
      <c r="C21" s="506" t="s">
        <v>796</v>
      </c>
      <c r="D21" s="215">
        <v>0.49999999999999956</v>
      </c>
      <c r="E21" s="215">
        <v>85.166666666666657</v>
      </c>
      <c r="F21" s="215"/>
      <c r="G21" s="301"/>
      <c r="H21" s="301"/>
      <c r="I21" s="202"/>
      <c r="J21" s="202"/>
      <c r="K21" s="202"/>
      <c r="L21" s="58"/>
    </row>
    <row r="22" spans="1:12" ht="12.75">
      <c r="A22" s="881"/>
      <c r="B22" s="550" t="s">
        <v>782</v>
      </c>
      <c r="C22" s="506" t="s">
        <v>797</v>
      </c>
      <c r="D22" s="215"/>
      <c r="E22" s="215">
        <v>1.3666666666666671</v>
      </c>
      <c r="F22" s="215">
        <v>1.5166666666666666</v>
      </c>
      <c r="G22" s="301"/>
      <c r="H22" s="301"/>
      <c r="I22" s="202"/>
      <c r="J22" s="202"/>
      <c r="K22" s="202"/>
      <c r="L22" s="58"/>
    </row>
    <row r="23" spans="1:12" ht="12.75">
      <c r="A23" s="881"/>
      <c r="B23" s="550" t="s">
        <v>783</v>
      </c>
      <c r="C23" s="506" t="s">
        <v>585</v>
      </c>
      <c r="D23" s="215">
        <v>195.98333333333332</v>
      </c>
      <c r="E23" s="215"/>
      <c r="F23" s="215">
        <v>5.6000000000000014</v>
      </c>
      <c r="G23" s="301"/>
      <c r="H23" s="301"/>
      <c r="I23" s="202"/>
      <c r="J23" s="202"/>
      <c r="K23" s="202"/>
      <c r="L23" s="58"/>
    </row>
    <row r="24" spans="1:12" ht="12.75">
      <c r="A24" s="882"/>
      <c r="B24" s="550" t="s">
        <v>784</v>
      </c>
      <c r="C24" s="506" t="s">
        <v>798</v>
      </c>
      <c r="D24" s="215">
        <v>3.2666666666666631</v>
      </c>
      <c r="E24" s="215">
        <v>2.7666666666666635</v>
      </c>
      <c r="F24" s="215">
        <v>23.68333333333333</v>
      </c>
      <c r="G24" s="301">
        <f t="shared" ref="G24" si="0">+D24/E24-1</f>
        <v>0.18072289156626509</v>
      </c>
      <c r="H24" s="301"/>
      <c r="I24" s="202"/>
      <c r="J24" s="202"/>
      <c r="K24" s="202"/>
      <c r="L24" s="58"/>
    </row>
    <row r="25" spans="1:12" ht="18.75" customHeight="1">
      <c r="A25" s="682" t="s">
        <v>198</v>
      </c>
      <c r="B25" s="683"/>
      <c r="C25" s="684"/>
      <c r="D25" s="685">
        <f>SUM(D7:D24)</f>
        <v>337.08333333333326</v>
      </c>
      <c r="E25" s="685">
        <f>SUM(E7:E24)</f>
        <v>174.68333333333334</v>
      </c>
      <c r="F25" s="685">
        <f>SUM(F7:F24)</f>
        <v>415.66666666666674</v>
      </c>
      <c r="G25" s="686">
        <f>+E25/F25-1</f>
        <v>-0.57975140336808351</v>
      </c>
      <c r="H25" s="686">
        <f>+D25/E25-1</f>
        <v>0.92968228222497795</v>
      </c>
      <c r="I25" s="202"/>
      <c r="J25" s="202"/>
      <c r="K25" s="203"/>
      <c r="L25" s="212"/>
    </row>
    <row r="26" spans="1:12" ht="11.25" customHeight="1">
      <c r="A26" s="298" t="str">
        <f>"Cuadro N° 14: Horas de operación de los principales equipos de congestión en "&amp;'1. Resumen'!Q4</f>
        <v>Cuadro N° 14: Horas de operación de los principales equipos de congestión en enero</v>
      </c>
      <c r="B26" s="216"/>
      <c r="C26" s="217"/>
      <c r="D26" s="218"/>
      <c r="E26" s="218"/>
      <c r="F26" s="219"/>
      <c r="G26" s="76"/>
      <c r="H26" s="82"/>
      <c r="I26" s="202"/>
      <c r="J26" s="202"/>
      <c r="K26" s="203"/>
      <c r="L26" s="212"/>
    </row>
    <row r="27" spans="1:12" ht="11.25" customHeight="1">
      <c r="A27" s="137"/>
      <c r="B27" s="216"/>
      <c r="C27" s="217"/>
      <c r="D27" s="218"/>
      <c r="E27" s="218"/>
      <c r="F27" s="219"/>
      <c r="G27" s="76"/>
      <c r="H27" s="76"/>
      <c r="I27" s="202"/>
      <c r="J27" s="202"/>
      <c r="K27" s="203"/>
      <c r="L27" s="212"/>
    </row>
    <row r="28" spans="1:12" ht="11.25" customHeight="1">
      <c r="A28" s="137"/>
      <c r="B28" s="216"/>
      <c r="C28" s="217"/>
      <c r="D28" s="218"/>
      <c r="E28" s="218"/>
      <c r="F28" s="219"/>
      <c r="G28" s="76"/>
      <c r="H28" s="76"/>
      <c r="I28" s="202"/>
      <c r="J28" s="202"/>
      <c r="K28" s="203"/>
      <c r="L28" s="212"/>
    </row>
    <row r="29" spans="1:12" ht="11.25" customHeight="1">
      <c r="A29" s="77"/>
      <c r="B29" s="169"/>
      <c r="C29" s="78"/>
      <c r="D29" s="79"/>
      <c r="E29" s="79"/>
      <c r="F29" s="80"/>
      <c r="G29" s="76"/>
      <c r="H29" s="76"/>
      <c r="I29" s="202"/>
      <c r="J29" s="202"/>
      <c r="K29" s="203"/>
      <c r="L29" s="212"/>
    </row>
    <row r="30" spans="1:12" ht="11.25" customHeight="1">
      <c r="A30" s="77"/>
      <c r="B30" s="169"/>
      <c r="C30" s="78"/>
      <c r="D30" s="79"/>
      <c r="E30" s="79"/>
      <c r="F30" s="80"/>
      <c r="G30" s="76"/>
      <c r="H30" s="76"/>
      <c r="I30" s="202"/>
      <c r="J30" s="202"/>
      <c r="K30" s="203"/>
      <c r="L30" s="212"/>
    </row>
    <row r="31" spans="1:12" ht="11.25" customHeight="1">
      <c r="A31" s="77"/>
      <c r="B31" s="169"/>
      <c r="C31" s="78"/>
      <c r="D31" s="79"/>
      <c r="E31" s="79"/>
      <c r="F31" s="80"/>
      <c r="G31" s="76"/>
      <c r="H31" s="76"/>
      <c r="I31" s="202"/>
      <c r="J31" s="202"/>
      <c r="K31" s="203"/>
      <c r="L31" s="213"/>
    </row>
    <row r="32" spans="1:12" ht="11.25" customHeight="1">
      <c r="A32" s="77"/>
      <c r="B32" s="169"/>
      <c r="C32" s="78"/>
      <c r="D32" s="79"/>
      <c r="E32" s="79"/>
      <c r="F32" s="80"/>
      <c r="G32" s="76"/>
      <c r="H32" s="76"/>
      <c r="I32" s="202"/>
      <c r="J32" s="202"/>
      <c r="K32" s="203"/>
      <c r="L32" s="212"/>
    </row>
    <row r="33" spans="1:12" ht="11.25" customHeight="1">
      <c r="A33" s="77"/>
      <c r="B33" s="169"/>
      <c r="C33" s="78"/>
      <c r="D33" s="79"/>
      <c r="E33" s="79"/>
      <c r="F33" s="80"/>
      <c r="G33" s="76"/>
      <c r="H33" s="76"/>
      <c r="I33" s="202"/>
      <c r="J33" s="202"/>
      <c r="K33" s="203"/>
      <c r="L33" s="212"/>
    </row>
    <row r="34" spans="1:12" ht="11.25" customHeight="1">
      <c r="A34" s="77"/>
      <c r="B34" s="169"/>
      <c r="C34" s="78"/>
      <c r="D34" s="79"/>
      <c r="E34" s="79"/>
      <c r="F34" s="80"/>
      <c r="G34" s="76"/>
      <c r="H34" s="76"/>
      <c r="I34" s="202"/>
      <c r="J34" s="202"/>
      <c r="K34" s="202"/>
      <c r="L34" s="58"/>
    </row>
    <row r="35" spans="1:12" ht="11.25" customHeight="1">
      <c r="A35" s="77"/>
      <c r="B35" s="169"/>
      <c r="C35" s="78"/>
      <c r="D35" s="79"/>
      <c r="E35" s="79"/>
      <c r="F35" s="80"/>
      <c r="G35" s="76"/>
      <c r="H35" s="76"/>
      <c r="I35" s="202"/>
      <c r="J35" s="202"/>
      <c r="K35" s="203"/>
      <c r="L35" s="212"/>
    </row>
    <row r="36" spans="1:12" ht="11.25" customHeight="1">
      <c r="A36" s="77"/>
      <c r="B36" s="169"/>
      <c r="C36" s="78"/>
      <c r="D36" s="79"/>
      <c r="E36" s="79"/>
      <c r="F36" s="80"/>
      <c r="G36" s="76"/>
      <c r="H36" s="76"/>
      <c r="I36" s="202"/>
      <c r="J36" s="202"/>
      <c r="K36" s="204"/>
      <c r="L36" s="212"/>
    </row>
    <row r="37" spans="1:12" ht="11.25" customHeight="1">
      <c r="A37" s="77"/>
      <c r="B37" s="169"/>
      <c r="C37" s="78"/>
      <c r="D37" s="79"/>
      <c r="E37" s="79"/>
      <c r="F37" s="80"/>
      <c r="G37" s="76"/>
      <c r="H37" s="76"/>
      <c r="I37" s="202"/>
      <c r="J37" s="202"/>
      <c r="K37" s="204"/>
      <c r="L37" s="212"/>
    </row>
    <row r="38" spans="1:12" ht="11.25" customHeight="1">
      <c r="A38" s="77"/>
      <c r="B38" s="169"/>
      <c r="C38" s="78"/>
      <c r="D38" s="79"/>
      <c r="E38" s="79"/>
      <c r="F38" s="80"/>
      <c r="G38" s="76"/>
      <c r="H38" s="76"/>
      <c r="I38" s="202"/>
      <c r="J38" s="202"/>
      <c r="K38" s="204"/>
      <c r="L38" s="212"/>
    </row>
    <row r="39" spans="1:12" ht="11.25" customHeight="1">
      <c r="A39" s="77"/>
      <c r="B39" s="169"/>
      <c r="C39" s="78"/>
      <c r="D39" s="79"/>
      <c r="E39" s="79"/>
      <c r="F39" s="80"/>
      <c r="G39" s="76"/>
      <c r="H39" s="76"/>
      <c r="I39" s="202"/>
      <c r="J39" s="202"/>
      <c r="K39" s="204"/>
      <c r="L39" s="212"/>
    </row>
    <row r="40" spans="1:12" ht="11.25" customHeight="1">
      <c r="A40" s="77"/>
      <c r="B40" s="169"/>
      <c r="C40" s="78"/>
      <c r="D40" s="79"/>
      <c r="E40" s="79"/>
      <c r="F40" s="80"/>
      <c r="G40" s="76"/>
      <c r="H40" s="76"/>
      <c r="I40" s="202"/>
      <c r="J40" s="202"/>
      <c r="K40" s="204"/>
      <c r="L40" s="212"/>
    </row>
    <row r="41" spans="1:12" ht="11.25" customHeight="1">
      <c r="A41" s="77"/>
      <c r="B41" s="169"/>
      <c r="C41" s="78"/>
      <c r="D41" s="79"/>
      <c r="E41" s="79"/>
      <c r="F41" s="80"/>
      <c r="G41" s="76"/>
      <c r="H41" s="76"/>
      <c r="I41" s="202"/>
      <c r="J41" s="202"/>
      <c r="K41" s="204"/>
      <c r="L41" s="212"/>
    </row>
    <row r="42" spans="1:12" ht="11.25" customHeight="1">
      <c r="A42" s="77"/>
      <c r="B42" s="77"/>
      <c r="C42" s="77"/>
      <c r="D42" s="77"/>
      <c r="E42" s="77"/>
      <c r="F42" s="77"/>
      <c r="G42" s="77"/>
      <c r="H42" s="77"/>
      <c r="I42" s="202"/>
      <c r="J42" s="202"/>
      <c r="K42" s="204"/>
      <c r="L42" s="212"/>
    </row>
    <row r="43" spans="1:12" ht="11.25" customHeight="1">
      <c r="A43" s="77"/>
      <c r="B43" s="77"/>
      <c r="C43" s="77"/>
      <c r="D43" s="77"/>
      <c r="E43" s="77"/>
      <c r="F43" s="77"/>
      <c r="G43" s="77"/>
      <c r="H43" s="77"/>
      <c r="I43" s="202"/>
      <c r="J43" s="202"/>
      <c r="K43" s="205"/>
      <c r="L43" s="59"/>
    </row>
    <row r="44" spans="1:12" ht="11.25" customHeight="1">
      <c r="A44" s="77"/>
      <c r="B44" s="77"/>
      <c r="C44" s="77"/>
      <c r="D44" s="77"/>
      <c r="E44" s="77"/>
      <c r="F44" s="77"/>
      <c r="G44" s="77"/>
      <c r="H44" s="77"/>
      <c r="I44" s="202"/>
      <c r="J44" s="202"/>
      <c r="K44" s="205"/>
      <c r="L44" s="59"/>
    </row>
    <row r="45" spans="1:12" ht="11.25" customHeight="1">
      <c r="A45" s="77"/>
      <c r="B45" s="77"/>
      <c r="C45" s="77"/>
      <c r="D45" s="77"/>
      <c r="E45" s="77"/>
      <c r="F45" s="77"/>
      <c r="G45" s="77"/>
      <c r="H45" s="77"/>
      <c r="I45" s="202"/>
      <c r="J45" s="202"/>
      <c r="K45" s="205"/>
      <c r="L45" s="59"/>
    </row>
    <row r="46" spans="1:12" ht="11.25" customHeight="1">
      <c r="A46" s="77"/>
      <c r="B46" s="77"/>
      <c r="C46" s="77"/>
      <c r="D46" s="77"/>
      <c r="E46" s="77"/>
      <c r="F46" s="77"/>
      <c r="G46" s="77"/>
      <c r="H46" s="77"/>
      <c r="I46" s="202"/>
      <c r="J46" s="202"/>
      <c r="K46" s="204"/>
    </row>
    <row r="47" spans="1:12" ht="11.25" customHeight="1">
      <c r="A47" s="77"/>
      <c r="B47" s="77"/>
      <c r="C47" s="77"/>
      <c r="D47" s="77"/>
      <c r="E47" s="77"/>
      <c r="F47" s="77"/>
      <c r="G47" s="77"/>
      <c r="H47" s="77"/>
      <c r="I47" s="202"/>
      <c r="J47" s="202"/>
      <c r="K47" s="204"/>
    </row>
    <row r="48" spans="1:12" ht="12.75">
      <c r="A48" s="54"/>
      <c r="B48" s="77"/>
      <c r="C48" s="77"/>
      <c r="D48" s="77"/>
      <c r="E48" s="77"/>
      <c r="F48" s="77"/>
      <c r="G48" s="77"/>
      <c r="H48" s="77"/>
      <c r="I48" s="202"/>
      <c r="J48" s="202"/>
      <c r="K48" s="204"/>
    </row>
    <row r="49" spans="1:11" ht="12.75">
      <c r="A49" s="77"/>
      <c r="B49" s="77"/>
      <c r="C49" s="77"/>
      <c r="D49" s="77"/>
      <c r="E49" s="77"/>
      <c r="F49" s="77"/>
      <c r="G49" s="77"/>
      <c r="H49" s="77"/>
      <c r="I49" s="202"/>
      <c r="J49" s="202"/>
      <c r="K49" s="204"/>
    </row>
    <row r="50" spans="1:11" ht="12.75">
      <c r="A50" s="77"/>
      <c r="B50" s="77"/>
      <c r="C50" s="77"/>
      <c r="D50" s="77"/>
      <c r="E50" s="77"/>
      <c r="F50" s="77"/>
      <c r="G50" s="77"/>
      <c r="H50" s="77"/>
      <c r="I50" s="202"/>
      <c r="J50" s="202"/>
      <c r="K50" s="204"/>
    </row>
    <row r="51" spans="1:11" ht="12.75">
      <c r="A51" s="77"/>
      <c r="B51" s="77"/>
      <c r="C51" s="77"/>
      <c r="D51" s="77"/>
      <c r="E51" s="77"/>
      <c r="F51" s="77"/>
      <c r="G51" s="77"/>
      <c r="H51" s="77"/>
      <c r="I51" s="202"/>
      <c r="J51" s="202"/>
      <c r="K51" s="204"/>
    </row>
    <row r="52" spans="1:11" ht="12.75">
      <c r="A52" s="77"/>
      <c r="B52" s="77"/>
      <c r="C52" s="77"/>
      <c r="D52" s="77"/>
      <c r="E52" s="77"/>
      <c r="F52" s="77"/>
      <c r="G52" s="77"/>
      <c r="H52" s="77"/>
      <c r="I52" s="202"/>
      <c r="J52" s="202"/>
      <c r="K52" s="204"/>
    </row>
    <row r="53" spans="1:11" ht="12.75">
      <c r="A53" s="77"/>
      <c r="B53" s="77"/>
      <c r="C53" s="77"/>
      <c r="D53" s="77"/>
      <c r="E53" s="77"/>
      <c r="F53" s="77"/>
      <c r="G53" s="77"/>
      <c r="H53" s="77"/>
      <c r="I53" s="111"/>
      <c r="J53" s="111"/>
      <c r="K53" s="204"/>
    </row>
    <row r="54" spans="1:11" ht="12.75">
      <c r="A54" s="77"/>
      <c r="B54" s="77"/>
      <c r="C54" s="77"/>
      <c r="D54" s="77"/>
      <c r="E54" s="77"/>
      <c r="F54" s="77"/>
      <c r="G54" s="77"/>
      <c r="H54" s="77"/>
      <c r="I54" s="111"/>
      <c r="J54" s="111"/>
      <c r="K54" s="204"/>
    </row>
    <row r="55" spans="1:11" ht="12.75">
      <c r="A55" s="77"/>
      <c r="B55" s="77"/>
      <c r="C55" s="77"/>
      <c r="D55" s="77"/>
      <c r="E55" s="77"/>
      <c r="F55" s="77"/>
      <c r="G55" s="77"/>
      <c r="H55" s="77"/>
      <c r="I55" s="111"/>
      <c r="J55" s="111"/>
      <c r="K55" s="204"/>
    </row>
    <row r="56" spans="1:11" ht="12.75">
      <c r="B56" s="77"/>
      <c r="C56" s="77"/>
      <c r="D56" s="77"/>
      <c r="E56" s="77"/>
      <c r="F56" s="77"/>
      <c r="G56" s="77"/>
      <c r="H56" s="77"/>
      <c r="I56" s="111"/>
      <c r="J56" s="111"/>
      <c r="K56" s="204"/>
    </row>
    <row r="57" spans="1:11" ht="12.75">
      <c r="A57" s="298" t="str">
        <f>"Gráfico N° 23: Comparación de las horas de operación de los principales equipos de congestión en "&amp;'1. Resumen'!Q4&amp;"."</f>
        <v>Gráfico N° 23: Comparación de las horas de operación de los principales equipos de congestión en enero.</v>
      </c>
      <c r="B57" s="77"/>
      <c r="C57" s="77"/>
      <c r="D57" s="77"/>
      <c r="E57" s="77"/>
      <c r="F57" s="77"/>
      <c r="G57" s="77"/>
      <c r="H57" s="77"/>
      <c r="I57" s="111"/>
      <c r="J57" s="111"/>
      <c r="K57" s="204"/>
    </row>
    <row r="58" spans="1:11" ht="12.75">
      <c r="A58" s="77"/>
      <c r="B58" s="77"/>
      <c r="C58" s="77"/>
      <c r="D58" s="77"/>
      <c r="E58" s="77"/>
      <c r="F58" s="77"/>
      <c r="G58" s="77"/>
      <c r="H58" s="77"/>
      <c r="I58" s="203"/>
      <c r="J58" s="203"/>
      <c r="K58" s="204"/>
    </row>
    <row r="59" spans="1:11" ht="12.75">
      <c r="A59" s="202"/>
      <c r="B59" s="203"/>
      <c r="C59" s="203"/>
      <c r="D59" s="203"/>
      <c r="E59" s="203"/>
      <c r="F59" s="203"/>
      <c r="G59" s="203"/>
      <c r="H59" s="203"/>
      <c r="I59" s="203"/>
      <c r="J59" s="203"/>
      <c r="K59" s="204"/>
    </row>
    <row r="60" spans="1:11" ht="12.75">
      <c r="A60" s="202"/>
      <c r="B60" s="214"/>
      <c r="C60" s="204"/>
      <c r="D60" s="204"/>
      <c r="E60" s="204"/>
      <c r="F60" s="204"/>
      <c r="G60" s="203"/>
      <c r="H60" s="203"/>
      <c r="I60" s="203"/>
      <c r="J60" s="203"/>
      <c r="K60" s="204"/>
    </row>
    <row r="61" spans="1:11" ht="12.75">
      <c r="A61" s="1"/>
      <c r="B61" s="31"/>
      <c r="C61" s="31"/>
      <c r="D61" s="31"/>
      <c r="E61" s="31"/>
      <c r="F61" s="31"/>
      <c r="G61" s="31"/>
      <c r="H61" s="203"/>
      <c r="I61" s="203"/>
      <c r="J61" s="203"/>
      <c r="K61" s="204"/>
    </row>
    <row r="62" spans="1:11" ht="12.75">
      <c r="A62" s="1"/>
      <c r="B62" s="31"/>
      <c r="C62" s="31"/>
      <c r="D62" s="31"/>
      <c r="E62" s="31"/>
      <c r="F62" s="31"/>
      <c r="G62" s="31"/>
      <c r="H62" s="203"/>
      <c r="I62" s="203"/>
      <c r="J62" s="203"/>
      <c r="K62" s="203"/>
    </row>
    <row r="63" spans="1:11" ht="12.75">
      <c r="A63" s="1"/>
      <c r="B63" s="31"/>
      <c r="C63" s="31"/>
      <c r="D63" s="31"/>
      <c r="E63" s="31"/>
      <c r="F63" s="31"/>
      <c r="G63" s="31"/>
      <c r="H63" s="203"/>
      <c r="I63" s="203"/>
      <c r="J63" s="203"/>
      <c r="K63" s="203"/>
    </row>
  </sheetData>
  <mergeCells count="3">
    <mergeCell ref="A4:H4"/>
    <mergeCell ref="A2:H2"/>
    <mergeCell ref="A8:A24"/>
  </mergeCells>
  <pageMargins left="0.70866141732283472" right="0.70866141732283472" top="1.4311417322834645" bottom="0.62992125984251968" header="0.31496062992125984" footer="0.31496062992125984"/>
  <pageSetup paperSize="9" scale="95" orientation="portrait" r:id="rId1"/>
  <headerFooter>
    <oddHeader>&amp;R&amp;7Informe de la Operación Mensual - Enero 2019
INFSGI-MES-01-2019
13/02/2019
Versión: 01</oddHeader>
    <oddFooter>&amp;L&amp;7COES, 2019&amp;C16&amp;R&amp;7Dirección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4"/>
  </sheetPr>
  <dimension ref="A1:L250"/>
  <sheetViews>
    <sheetView showGridLines="0" view="pageBreakPreview" topLeftCell="C3" zoomScale="175" zoomScaleNormal="160" zoomScaleSheetLayoutView="175" zoomScalePageLayoutView="160" workbookViewId="0">
      <selection activeCell="M24" sqref="M24"/>
    </sheetView>
  </sheetViews>
  <sheetFormatPr defaultColWidth="9.33203125" defaultRowHeight="11.25"/>
  <cols>
    <col min="1" max="1" width="19.6640625" customWidth="1"/>
    <col min="2" max="2" width="12.33203125" customWidth="1"/>
    <col min="3" max="4" width="9" customWidth="1"/>
    <col min="5" max="5" width="13.5" customWidth="1"/>
    <col min="6" max="6" width="12" customWidth="1"/>
    <col min="7" max="7" width="11" customWidth="1"/>
    <col min="8" max="8" width="8.6640625" customWidth="1"/>
    <col min="9" max="9" width="6.6640625" customWidth="1"/>
    <col min="10" max="10" width="12.5" customWidth="1"/>
    <col min="11" max="11" width="9.33203125" customWidth="1"/>
  </cols>
  <sheetData>
    <row r="1" spans="1:12" ht="11.25" customHeight="1"/>
    <row r="2" spans="1:12" ht="32.25" customHeight="1">
      <c r="A2" s="885" t="s">
        <v>573</v>
      </c>
      <c r="B2" s="885"/>
      <c r="C2" s="885"/>
      <c r="D2" s="885"/>
      <c r="E2" s="885"/>
      <c r="F2" s="885"/>
      <c r="G2" s="885"/>
      <c r="H2" s="885"/>
      <c r="I2" s="885"/>
      <c r="J2" s="885"/>
      <c r="K2" s="168"/>
    </row>
    <row r="3" spans="1:12" ht="6.75" customHeight="1">
      <c r="A3" s="17"/>
      <c r="B3" s="164"/>
      <c r="C3" s="220"/>
      <c r="D3" s="18"/>
      <c r="E3" s="18"/>
      <c r="F3" s="198"/>
      <c r="G3" s="66"/>
      <c r="H3" s="66"/>
      <c r="I3" s="71"/>
      <c r="J3" s="168"/>
      <c r="K3" s="168"/>
      <c r="L3" s="36"/>
    </row>
    <row r="4" spans="1:12" ht="11.25" customHeight="1">
      <c r="A4" s="886" t="s">
        <v>574</v>
      </c>
      <c r="B4" s="886"/>
      <c r="C4" s="886"/>
      <c r="D4" s="886"/>
      <c r="E4" s="886"/>
      <c r="F4" s="886"/>
      <c r="G4" s="886"/>
      <c r="H4" s="886"/>
      <c r="I4" s="886"/>
      <c r="J4" s="886"/>
      <c r="K4" s="168"/>
      <c r="L4" s="36"/>
    </row>
    <row r="5" spans="1:12" ht="38.25" customHeight="1">
      <c r="A5" s="883" t="s">
        <v>199</v>
      </c>
      <c r="B5" s="713" t="s">
        <v>200</v>
      </c>
      <c r="C5" s="714" t="s">
        <v>201</v>
      </c>
      <c r="D5" s="714" t="s">
        <v>202</v>
      </c>
      <c r="E5" s="714" t="s">
        <v>203</v>
      </c>
      <c r="F5" s="714" t="s">
        <v>204</v>
      </c>
      <c r="G5" s="714" t="s">
        <v>205</v>
      </c>
      <c r="H5" s="714" t="s">
        <v>206</v>
      </c>
      <c r="I5" s="715" t="s">
        <v>207</v>
      </c>
      <c r="J5" s="716" t="s">
        <v>208</v>
      </c>
      <c r="K5" s="131"/>
    </row>
    <row r="6" spans="1:12" ht="11.25" customHeight="1">
      <c r="A6" s="884"/>
      <c r="B6" s="713" t="s">
        <v>209</v>
      </c>
      <c r="C6" s="714" t="s">
        <v>210</v>
      </c>
      <c r="D6" s="714" t="s">
        <v>211</v>
      </c>
      <c r="E6" s="714" t="s">
        <v>212</v>
      </c>
      <c r="F6" s="714" t="s">
        <v>213</v>
      </c>
      <c r="G6" s="714" t="s">
        <v>214</v>
      </c>
      <c r="H6" s="714" t="s">
        <v>215</v>
      </c>
      <c r="I6" s="717"/>
      <c r="J6" s="716" t="s">
        <v>216</v>
      </c>
      <c r="K6" s="19"/>
    </row>
    <row r="7" spans="1:12" ht="13.5" customHeight="1">
      <c r="A7" s="499" t="s">
        <v>489</v>
      </c>
      <c r="B7" s="481">
        <v>28</v>
      </c>
      <c r="C7" s="482">
        <v>2</v>
      </c>
      <c r="D7" s="482">
        <v>5</v>
      </c>
      <c r="E7" s="483">
        <v>2</v>
      </c>
      <c r="F7" s="482">
        <v>29</v>
      </c>
      <c r="G7" s="482">
        <v>2</v>
      </c>
      <c r="H7" s="482"/>
      <c r="I7" s="484">
        <f>+SUM(B7:H7)</f>
        <v>68</v>
      </c>
      <c r="J7" s="485">
        <v>847.24</v>
      </c>
      <c r="K7" s="24"/>
    </row>
    <row r="8" spans="1:12" ht="13.5" customHeight="1">
      <c r="A8" s="486" t="s">
        <v>171</v>
      </c>
      <c r="B8" s="487"/>
      <c r="C8" s="487"/>
      <c r="D8" s="487"/>
      <c r="E8" s="488"/>
      <c r="F8" s="487"/>
      <c r="G8" s="487"/>
      <c r="H8" s="487"/>
      <c r="I8" s="489"/>
      <c r="J8" s="490"/>
      <c r="K8" s="22"/>
    </row>
    <row r="9" spans="1:12" ht="13.5" customHeight="1">
      <c r="A9" s="499" t="s">
        <v>537</v>
      </c>
      <c r="B9" s="481"/>
      <c r="C9" s="482"/>
      <c r="D9" s="482"/>
      <c r="E9" s="483"/>
      <c r="F9" s="482"/>
      <c r="G9" s="482"/>
      <c r="H9" s="482"/>
      <c r="I9" s="484"/>
      <c r="J9" s="485"/>
      <c r="K9" s="22"/>
    </row>
    <row r="10" spans="1:12" ht="13.5" customHeight="1">
      <c r="A10" s="486" t="s">
        <v>592</v>
      </c>
      <c r="B10" s="487"/>
      <c r="C10" s="487"/>
      <c r="D10" s="487"/>
      <c r="E10" s="488"/>
      <c r="F10" s="487"/>
      <c r="G10" s="487"/>
      <c r="H10" s="487"/>
      <c r="I10" s="489"/>
      <c r="J10" s="490"/>
      <c r="K10" s="22"/>
    </row>
    <row r="11" spans="1:12" ht="13.5" customHeight="1">
      <c r="A11" s="499" t="s">
        <v>591</v>
      </c>
      <c r="B11" s="481"/>
      <c r="C11" s="482"/>
      <c r="D11" s="482"/>
      <c r="E11" s="483"/>
      <c r="F11" s="482">
        <v>1</v>
      </c>
      <c r="G11" s="482"/>
      <c r="H11" s="482"/>
      <c r="I11" s="484">
        <f t="shared" ref="I11" si="0">+SUM(B11:H11)</f>
        <v>1</v>
      </c>
      <c r="J11" s="485">
        <v>5.51</v>
      </c>
      <c r="K11" s="22"/>
    </row>
    <row r="12" spans="1:12" ht="13.5" customHeight="1">
      <c r="A12" s="486" t="s">
        <v>207</v>
      </c>
      <c r="B12" s="489">
        <f t="shared" ref="B12:J12" si="1">+SUM(B7:B11)</f>
        <v>28</v>
      </c>
      <c r="C12" s="489">
        <f t="shared" si="1"/>
        <v>2</v>
      </c>
      <c r="D12" s="489">
        <f t="shared" si="1"/>
        <v>5</v>
      </c>
      <c r="E12" s="700">
        <f t="shared" si="1"/>
        <v>2</v>
      </c>
      <c r="F12" s="489">
        <f t="shared" si="1"/>
        <v>30</v>
      </c>
      <c r="G12" s="489">
        <f t="shared" si="1"/>
        <v>2</v>
      </c>
      <c r="H12" s="489">
        <f t="shared" si="1"/>
        <v>0</v>
      </c>
      <c r="I12" s="489">
        <f t="shared" si="1"/>
        <v>69</v>
      </c>
      <c r="J12" s="701">
        <f t="shared" si="1"/>
        <v>852.75</v>
      </c>
      <c r="K12" s="22"/>
    </row>
    <row r="13" spans="1:12" ht="11.25" customHeight="1">
      <c r="A13" s="888"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enero 2019</v>
      </c>
      <c r="B13" s="888"/>
      <c r="C13" s="888"/>
      <c r="D13" s="888"/>
      <c r="E13" s="888"/>
      <c r="F13" s="888"/>
      <c r="G13" s="888"/>
      <c r="H13" s="888"/>
      <c r="I13" s="888"/>
      <c r="J13" s="888"/>
      <c r="K13" s="22"/>
    </row>
    <row r="14" spans="1:12" ht="11.25" customHeight="1">
      <c r="K14" s="22"/>
    </row>
    <row r="15" spans="1:12" s="504" customFormat="1" ht="11.25" customHeight="1">
      <c r="A15" s="887" t="s">
        <v>520</v>
      </c>
      <c r="B15" s="887"/>
      <c r="C15" s="887"/>
      <c r="D15" s="887"/>
      <c r="E15" s="887"/>
      <c r="F15" s="887"/>
      <c r="G15" s="887"/>
      <c r="H15" s="887"/>
      <c r="I15" s="887"/>
      <c r="J15" s="887"/>
      <c r="K15" s="503"/>
    </row>
    <row r="16" spans="1:12" ht="11.25" customHeight="1">
      <c r="A16" s="17"/>
      <c r="B16" s="223"/>
      <c r="C16" s="222"/>
      <c r="D16" s="222"/>
      <c r="E16" s="222"/>
      <c r="F16" s="222"/>
      <c r="G16" s="183"/>
      <c r="H16" s="183"/>
      <c r="I16" s="138"/>
      <c r="J16" s="25"/>
      <c r="K16" s="25"/>
      <c r="L16" s="22"/>
    </row>
    <row r="17" spans="1:12" ht="11.25" customHeight="1">
      <c r="A17" s="892" t="str">
        <f>"FALLAS  POR TIPO DE CAUSA  -  "&amp;UPPER('1. Resumen'!Q4)&amp;" "&amp;'1. Resumen'!Q5</f>
        <v>FALLAS  POR TIPO DE CAUSA  -  ENERO 2019</v>
      </c>
      <c r="B17" s="892"/>
      <c r="C17" s="892"/>
      <c r="D17" s="892"/>
      <c r="E17" s="892" t="str">
        <f>"FALLAS  POR TIPO DE EQUIPO  -  "&amp;UPPER('1. Resumen'!Q4)&amp;" "&amp;'1. Resumen'!Q5</f>
        <v>FALLAS  POR TIPO DE EQUIPO  -  ENERO 2019</v>
      </c>
      <c r="F17" s="892"/>
      <c r="G17" s="892"/>
      <c r="H17" s="892"/>
      <c r="I17" s="892"/>
      <c r="J17" s="892"/>
      <c r="K17" s="25"/>
      <c r="L17" s="22"/>
    </row>
    <row r="18" spans="1:12" ht="11.25" customHeight="1">
      <c r="A18" s="17"/>
      <c r="E18" s="222"/>
      <c r="F18" s="222"/>
      <c r="G18" s="183"/>
      <c r="H18" s="183"/>
      <c r="I18" s="138"/>
      <c r="J18" s="111"/>
      <c r="K18" s="111"/>
      <c r="L18" s="22"/>
    </row>
    <row r="19" spans="1:12" ht="11.25" customHeight="1">
      <c r="A19" s="17"/>
      <c r="B19" s="223"/>
      <c r="C19" s="222"/>
      <c r="D19" s="222"/>
      <c r="E19" s="222"/>
      <c r="F19" s="222"/>
      <c r="G19" s="183"/>
      <c r="H19" s="183"/>
      <c r="I19" s="138"/>
      <c r="J19" s="111"/>
      <c r="K19" s="111"/>
      <c r="L19" s="30"/>
    </row>
    <row r="20" spans="1:12" ht="11.25" customHeight="1">
      <c r="A20" s="17"/>
      <c r="B20" s="223"/>
      <c r="C20" s="222"/>
      <c r="D20" s="222"/>
      <c r="E20" s="222"/>
      <c r="F20" s="222"/>
      <c r="G20" s="183"/>
      <c r="H20" s="183"/>
      <c r="I20" s="138"/>
      <c r="J20" s="111"/>
      <c r="K20" s="111"/>
      <c r="L20" s="22"/>
    </row>
    <row r="21" spans="1:12" ht="11.25" customHeight="1">
      <c r="A21" s="17"/>
      <c r="B21" s="223"/>
      <c r="C21" s="222"/>
      <c r="D21" s="222"/>
      <c r="E21" s="222"/>
      <c r="F21" s="222"/>
      <c r="G21" s="183"/>
      <c r="H21" s="183"/>
      <c r="I21" s="138"/>
      <c r="J21" s="111"/>
      <c r="K21" s="111"/>
      <c r="L21" s="22"/>
    </row>
    <row r="22" spans="1:12" ht="11.25" customHeight="1">
      <c r="A22" s="17"/>
      <c r="B22" s="223"/>
      <c r="C22" s="222"/>
      <c r="D22" s="222"/>
      <c r="E22" s="222"/>
      <c r="F22" s="222"/>
      <c r="G22" s="183"/>
      <c r="H22" s="183"/>
      <c r="I22" s="138"/>
      <c r="J22" s="111"/>
      <c r="K22" s="111"/>
      <c r="L22" s="22"/>
    </row>
    <row r="23" spans="1:12" ht="11.25" customHeight="1">
      <c r="A23" s="17"/>
      <c r="B23" s="223"/>
      <c r="C23" s="222"/>
      <c r="D23" s="222"/>
      <c r="E23" s="222"/>
      <c r="F23" s="222"/>
      <c r="G23" s="183"/>
      <c r="H23" s="183"/>
      <c r="I23" s="138"/>
      <c r="J23" s="111"/>
      <c r="K23" s="111"/>
      <c r="L23" s="30"/>
    </row>
    <row r="24" spans="1:12" ht="11.25" customHeight="1">
      <c r="A24" s="17"/>
      <c r="B24" s="223"/>
      <c r="C24" s="222"/>
      <c r="D24" s="222"/>
      <c r="E24" s="222"/>
      <c r="F24" s="222"/>
      <c r="G24" s="183"/>
      <c r="H24" s="183"/>
      <c r="I24" s="138"/>
      <c r="J24" s="111"/>
      <c r="K24" s="111"/>
      <c r="L24" s="22"/>
    </row>
    <row r="25" spans="1:12" ht="11.25" customHeight="1">
      <c r="A25" s="17"/>
      <c r="B25" s="223"/>
      <c r="C25" s="222"/>
      <c r="D25" s="222"/>
      <c r="E25" s="222"/>
      <c r="F25" s="222"/>
      <c r="G25" s="183"/>
      <c r="H25" s="183"/>
      <c r="I25" s="138"/>
      <c r="J25" s="111"/>
      <c r="K25" s="111"/>
      <c r="L25" s="22"/>
    </row>
    <row r="26" spans="1:12" ht="11.25" customHeight="1">
      <c r="A26" s="17"/>
      <c r="B26" s="223"/>
      <c r="C26" s="222"/>
      <c r="D26" s="222"/>
      <c r="E26" s="222"/>
      <c r="F26" s="222"/>
      <c r="G26" s="183"/>
      <c r="H26" s="183"/>
      <c r="I26" s="138"/>
      <c r="J26" s="111"/>
      <c r="K26" s="111"/>
      <c r="L26" s="22"/>
    </row>
    <row r="27" spans="1:12" ht="11.25" customHeight="1">
      <c r="A27" s="17"/>
      <c r="B27" s="223"/>
      <c r="C27" s="222"/>
      <c r="D27" s="222"/>
      <c r="E27" s="222"/>
      <c r="F27" s="222"/>
      <c r="G27" s="183"/>
      <c r="H27" s="183"/>
      <c r="I27" s="138"/>
      <c r="J27" s="111"/>
      <c r="K27" s="111"/>
      <c r="L27" s="22"/>
    </row>
    <row r="28" spans="1:12" ht="11.25" customHeight="1">
      <c r="A28" s="17"/>
      <c r="B28" s="223"/>
      <c r="C28" s="222"/>
      <c r="D28" s="222"/>
      <c r="E28" s="222"/>
      <c r="F28" s="222"/>
      <c r="G28" s="183"/>
      <c r="H28" s="183"/>
      <c r="I28" s="138"/>
      <c r="J28" s="111"/>
      <c r="K28" s="111"/>
      <c r="L28" s="22"/>
    </row>
    <row r="29" spans="1:12" ht="11.25" customHeight="1">
      <c r="A29" s="17"/>
      <c r="B29" s="223"/>
      <c r="C29" s="222"/>
      <c r="D29" s="222"/>
      <c r="E29" s="222"/>
      <c r="F29" s="222"/>
      <c r="G29" s="183"/>
      <c r="H29" s="183"/>
      <c r="I29" s="138"/>
      <c r="J29" s="111"/>
      <c r="K29" s="111"/>
      <c r="L29" s="22"/>
    </row>
    <row r="30" spans="1:12" ht="11.25" customHeight="1">
      <c r="A30" s="17"/>
      <c r="B30" s="223"/>
      <c r="C30" s="222"/>
      <c r="D30" s="222"/>
      <c r="E30" s="222"/>
      <c r="F30" s="222"/>
      <c r="G30" s="183"/>
      <c r="H30" s="183"/>
      <c r="I30" s="138"/>
      <c r="J30" s="111"/>
      <c r="K30" s="111"/>
      <c r="L30" s="22"/>
    </row>
    <row r="31" spans="1:12" ht="11.25" customHeight="1">
      <c r="A31" s="17"/>
      <c r="B31" s="223"/>
      <c r="C31" s="222"/>
      <c r="D31" s="222"/>
      <c r="E31" s="222"/>
      <c r="F31" s="222"/>
      <c r="G31" s="183"/>
      <c r="H31" s="183"/>
      <c r="I31" s="138"/>
      <c r="J31" s="111"/>
      <c r="K31" s="111"/>
      <c r="L31" s="22"/>
    </row>
    <row r="32" spans="1:12" ht="11.25" customHeight="1">
      <c r="A32" s="17"/>
      <c r="B32" s="223"/>
      <c r="C32" s="222"/>
      <c r="D32" s="222"/>
      <c r="E32" s="222"/>
      <c r="F32" s="222"/>
      <c r="G32" s="183"/>
      <c r="H32" s="183"/>
      <c r="I32" s="138"/>
      <c r="J32" s="111"/>
      <c r="K32" s="111"/>
      <c r="L32" s="22"/>
    </row>
    <row r="33" spans="1:12" ht="11.25" customHeight="1">
      <c r="A33" s="17"/>
      <c r="B33" s="223"/>
      <c r="C33" s="222"/>
      <c r="D33" s="222"/>
      <c r="E33" s="222"/>
      <c r="F33" s="222"/>
      <c r="G33" s="183"/>
      <c r="H33" s="183"/>
      <c r="I33" s="138"/>
      <c r="J33" s="111"/>
      <c r="K33" s="111"/>
      <c r="L33" s="22"/>
    </row>
    <row r="34" spans="1:12" ht="11.25" customHeight="1">
      <c r="A34" s="17"/>
      <c r="B34" s="223"/>
      <c r="C34" s="222"/>
      <c r="D34" s="222"/>
      <c r="E34" s="222"/>
      <c r="F34" s="222"/>
      <c r="G34" s="183"/>
      <c r="H34" s="183"/>
      <c r="I34" s="138"/>
      <c r="J34" s="111"/>
      <c r="K34" s="111"/>
      <c r="L34" s="22"/>
    </row>
    <row r="35" spans="1:12" ht="23.25" customHeight="1">
      <c r="A35" s="891" t="s">
        <v>516</v>
      </c>
      <c r="B35" s="891"/>
      <c r="C35" s="891"/>
      <c r="D35" s="302"/>
      <c r="E35" s="894" t="s">
        <v>517</v>
      </c>
      <c r="F35" s="894"/>
      <c r="G35" s="894"/>
      <c r="H35" s="894"/>
      <c r="I35" s="894"/>
      <c r="J35" s="894"/>
      <c r="K35" s="25"/>
      <c r="L35" s="22"/>
    </row>
    <row r="36" spans="1:12" ht="11.25" customHeight="1">
      <c r="A36" s="17"/>
      <c r="B36" s="132"/>
      <c r="C36" s="132"/>
      <c r="D36" s="132"/>
      <c r="E36" s="132"/>
      <c r="F36" s="132"/>
      <c r="G36" s="25"/>
      <c r="H36" s="25"/>
      <c r="I36" s="25"/>
      <c r="J36" s="25"/>
      <c r="K36" s="25"/>
      <c r="L36" s="22"/>
    </row>
    <row r="37" spans="1:12" ht="6.75" customHeight="1">
      <c r="A37" s="17"/>
      <c r="B37" s="132"/>
      <c r="C37" s="132"/>
      <c r="D37" s="132"/>
      <c r="E37" s="132"/>
      <c r="F37" s="132"/>
      <c r="G37" s="25"/>
      <c r="H37" s="25"/>
      <c r="I37" s="25"/>
      <c r="J37" s="25"/>
      <c r="K37" s="25"/>
      <c r="L37" s="224"/>
    </row>
    <row r="38" spans="1:12" ht="11.25" customHeight="1">
      <c r="A38" s="893" t="str">
        <f>"ENERGIA INTERRUMPIDA APROXIMADA POR TIPO DE EQUIPO (MWh)  -  "&amp;UPPER('1. Resumen'!Q4)&amp;" "&amp;'1. Resumen'!Q5</f>
        <v>ENERGIA INTERRUMPIDA APROXIMADA POR TIPO DE EQUIPO (MWh)  -  ENERO 2019</v>
      </c>
      <c r="B38" s="893"/>
      <c r="C38" s="893"/>
      <c r="D38" s="893"/>
      <c r="E38" s="893"/>
      <c r="F38" s="893"/>
      <c r="G38" s="893"/>
      <c r="H38" s="893"/>
      <c r="I38" s="893"/>
      <c r="J38" s="893"/>
      <c r="K38" s="25"/>
      <c r="L38" s="224"/>
    </row>
    <row r="39" spans="1:12" ht="11.25" customHeight="1">
      <c r="A39" s="17"/>
      <c r="B39" s="132"/>
      <c r="C39" s="132"/>
      <c r="D39" s="132"/>
      <c r="E39" s="132"/>
      <c r="F39" s="132"/>
      <c r="G39" s="25"/>
      <c r="H39" s="25"/>
      <c r="I39" s="25"/>
      <c r="J39" s="25"/>
      <c r="K39" s="25"/>
      <c r="L39" s="224"/>
    </row>
    <row r="40" spans="1:12" ht="11.25" customHeight="1">
      <c r="A40" s="17"/>
      <c r="B40" s="132"/>
      <c r="C40" s="25"/>
      <c r="D40" s="25"/>
      <c r="E40" s="25"/>
      <c r="F40" s="25"/>
      <c r="G40" s="25"/>
      <c r="H40" s="25"/>
      <c r="I40" s="25"/>
      <c r="J40" s="25"/>
      <c r="K40" s="25"/>
      <c r="L40" s="224"/>
    </row>
    <row r="41" spans="1:12" ht="11.25" customHeight="1">
      <c r="A41" s="17"/>
      <c r="B41" s="132"/>
      <c r="C41" s="25"/>
      <c r="D41" s="25"/>
      <c r="E41" s="25"/>
      <c r="F41" s="25"/>
      <c r="G41" s="25"/>
      <c r="H41" s="25"/>
    </row>
    <row r="42" spans="1:12" ht="12.75">
      <c r="A42" s="17"/>
      <c r="B42" s="132"/>
      <c r="J42" s="25"/>
      <c r="K42" s="25"/>
      <c r="L42" s="224"/>
    </row>
    <row r="43" spans="1:12" ht="12.75">
      <c r="A43" s="17"/>
      <c r="B43" s="132"/>
      <c r="C43" s="132"/>
      <c r="D43" s="132"/>
      <c r="E43" s="132"/>
      <c r="F43" s="132"/>
      <c r="G43" s="25"/>
      <c r="H43" s="25"/>
      <c r="I43" s="25"/>
      <c r="J43" s="25"/>
      <c r="K43" s="25"/>
      <c r="L43" s="224"/>
    </row>
    <row r="44" spans="1:12" ht="12.75">
      <c r="A44" s="17"/>
      <c r="B44" s="132"/>
      <c r="C44" s="132"/>
      <c r="D44" s="132"/>
      <c r="E44" s="132"/>
      <c r="F44" s="132"/>
      <c r="G44" s="25"/>
      <c r="H44" s="25"/>
      <c r="I44" s="25"/>
      <c r="J44" s="25"/>
      <c r="K44" s="25"/>
      <c r="L44" s="224"/>
    </row>
    <row r="45" spans="1:12" ht="12.75">
      <c r="A45" s="17"/>
      <c r="B45" s="132"/>
      <c r="C45" s="132"/>
      <c r="D45" s="132"/>
      <c r="E45" s="132"/>
      <c r="F45" s="132"/>
      <c r="G45" s="25"/>
      <c r="H45" s="25"/>
      <c r="I45" s="25"/>
      <c r="J45" s="25"/>
      <c r="K45" s="25"/>
      <c r="L45" s="224"/>
    </row>
    <row r="46" spans="1:12" ht="12.75">
      <c r="A46" s="17"/>
      <c r="B46" s="132"/>
      <c r="C46" s="132"/>
      <c r="D46" s="132"/>
      <c r="E46" s="132"/>
      <c r="F46" s="132"/>
      <c r="G46" s="25"/>
      <c r="H46" s="25"/>
      <c r="I46" s="25"/>
      <c r="J46" s="25"/>
      <c r="K46" s="25"/>
      <c r="L46" s="224"/>
    </row>
    <row r="47" spans="1:12" ht="12.75">
      <c r="A47" s="168"/>
      <c r="B47" s="25"/>
      <c r="C47" s="25"/>
      <c r="D47" s="25"/>
      <c r="E47" s="25"/>
      <c r="F47" s="25"/>
      <c r="G47" s="25"/>
      <c r="H47" s="25"/>
      <c r="I47" s="25"/>
      <c r="J47" s="25"/>
      <c r="K47" s="25"/>
      <c r="L47" s="224"/>
    </row>
    <row r="48" spans="1:12" ht="12.75">
      <c r="A48" s="168"/>
      <c r="B48" s="25"/>
      <c r="C48" s="25"/>
      <c r="D48" s="25"/>
      <c r="E48" s="25"/>
      <c r="F48" s="25"/>
      <c r="G48" s="25"/>
      <c r="H48" s="25"/>
      <c r="I48" s="25"/>
      <c r="J48" s="25"/>
      <c r="K48" s="25"/>
      <c r="L48" s="224"/>
    </row>
    <row r="49" spans="1:12" ht="12.75">
      <c r="A49" s="168"/>
      <c r="B49" s="25"/>
      <c r="C49" s="25"/>
      <c r="D49" s="25"/>
      <c r="E49" s="25"/>
      <c r="F49" s="25"/>
      <c r="G49" s="25"/>
      <c r="H49" s="25"/>
      <c r="I49" s="25"/>
      <c r="J49" s="25"/>
      <c r="K49" s="25"/>
      <c r="L49" s="224"/>
    </row>
    <row r="50" spans="1:12" ht="12.75">
      <c r="A50" s="168"/>
      <c r="B50" s="25"/>
      <c r="C50" s="25"/>
      <c r="D50" s="25"/>
      <c r="E50" s="25"/>
      <c r="F50" s="25"/>
      <c r="G50" s="25"/>
      <c r="H50" s="25"/>
      <c r="I50" s="25"/>
      <c r="J50" s="25"/>
      <c r="K50" s="25"/>
      <c r="L50" s="224"/>
    </row>
    <row r="51" spans="1:12" ht="12.75">
      <c r="A51" s="168"/>
      <c r="B51" s="25"/>
      <c r="C51" s="25"/>
      <c r="D51" s="25"/>
      <c r="E51" s="25"/>
      <c r="F51" s="25"/>
      <c r="G51" s="25"/>
      <c r="H51" s="25"/>
      <c r="I51" s="25"/>
      <c r="J51" s="25"/>
      <c r="K51" s="25"/>
      <c r="L51" s="224"/>
    </row>
    <row r="52" spans="1:12" ht="12.75">
      <c r="A52" s="168"/>
      <c r="B52" s="25"/>
      <c r="C52" s="25"/>
      <c r="D52" s="25"/>
      <c r="E52" s="25"/>
      <c r="F52" s="25"/>
      <c r="G52" s="25"/>
      <c r="H52" s="25"/>
      <c r="I52" s="25"/>
      <c r="J52" s="25"/>
      <c r="K52" s="25"/>
      <c r="L52" s="224"/>
    </row>
    <row r="53" spans="1:12">
      <c r="A53" s="302" t="str">
        <f>"Gráfico N°26: Comparación de la energía interrumpida aproximada por tipo de equipo en "&amp;'1. Resumen'!Q4&amp;" "&amp;'1. Resumen'!Q5</f>
        <v>Gráfico N°26: Comparación de la energía interrumpida aproximada por tipo de equipo en enero 2019</v>
      </c>
      <c r="B53" s="25"/>
      <c r="C53" s="25"/>
      <c r="D53" s="25"/>
      <c r="E53" s="25"/>
      <c r="F53" s="25"/>
      <c r="G53" s="25"/>
      <c r="H53" s="25"/>
      <c r="I53" s="25"/>
      <c r="J53" s="25"/>
      <c r="K53" s="25"/>
      <c r="L53" s="224"/>
    </row>
    <row r="54" spans="1:12">
      <c r="B54" s="25"/>
      <c r="C54" s="25"/>
      <c r="D54" s="25"/>
      <c r="E54" s="25"/>
      <c r="F54" s="25"/>
      <c r="G54" s="25"/>
      <c r="H54" s="25"/>
      <c r="I54" s="25"/>
      <c r="J54" s="25"/>
      <c r="K54" s="25"/>
      <c r="L54" s="224"/>
    </row>
    <row r="55" spans="1:12" ht="24.75" customHeight="1">
      <c r="A55" s="889" t="s">
        <v>217</v>
      </c>
      <c r="B55" s="889"/>
      <c r="C55" s="889"/>
      <c r="D55" s="889"/>
      <c r="E55" s="889"/>
      <c r="F55" s="889"/>
      <c r="G55" s="889"/>
      <c r="H55" s="889"/>
      <c r="I55" s="889"/>
      <c r="J55" s="889"/>
      <c r="K55" s="25"/>
      <c r="L55" s="224"/>
    </row>
    <row r="56" spans="1:12" ht="11.25" customHeight="1">
      <c r="A56" s="890" t="s">
        <v>218</v>
      </c>
      <c r="B56" s="890"/>
      <c r="C56" s="890"/>
      <c r="D56" s="890"/>
      <c r="E56" s="890"/>
      <c r="F56" s="890"/>
      <c r="G56" s="890"/>
      <c r="H56" s="890"/>
      <c r="I56" s="890"/>
      <c r="J56" s="890"/>
      <c r="K56" s="25"/>
      <c r="L56" s="224"/>
    </row>
    <row r="57" spans="1:12" ht="12.75">
      <c r="A57" s="168"/>
      <c r="B57" s="25"/>
      <c r="C57" s="25"/>
      <c r="D57" s="25"/>
      <c r="E57" s="25"/>
      <c r="F57" s="25"/>
      <c r="G57" s="25"/>
      <c r="H57" s="25"/>
      <c r="I57" s="25"/>
      <c r="J57" s="25"/>
      <c r="K57" s="25"/>
      <c r="L57" s="224"/>
    </row>
    <row r="58" spans="1:12" ht="12.75">
      <c r="A58" s="168"/>
      <c r="B58" s="25"/>
      <c r="C58" s="25"/>
      <c r="D58" s="25"/>
      <c r="E58" s="25"/>
      <c r="F58" s="25"/>
      <c r="G58" s="25"/>
      <c r="H58" s="25"/>
      <c r="I58" s="25"/>
      <c r="J58" s="25"/>
      <c r="K58" s="25"/>
      <c r="L58" s="224"/>
    </row>
    <row r="59" spans="1:12" ht="12.75">
      <c r="A59" s="168"/>
      <c r="B59" s="25"/>
      <c r="C59" s="25"/>
      <c r="D59" s="25"/>
      <c r="E59" s="25"/>
      <c r="F59" s="25"/>
      <c r="G59" s="25"/>
      <c r="H59" s="25"/>
      <c r="I59" s="25"/>
      <c r="J59" s="25"/>
      <c r="K59" s="25"/>
      <c r="L59" s="224"/>
    </row>
    <row r="60" spans="1:12" ht="12.75">
      <c r="A60" s="168"/>
      <c r="B60" s="25"/>
      <c r="C60" s="25"/>
      <c r="D60" s="25"/>
      <c r="E60" s="25"/>
      <c r="F60" s="25"/>
      <c r="G60" s="25"/>
      <c r="H60" s="25"/>
      <c r="I60" s="25"/>
      <c r="J60" s="25"/>
      <c r="K60" s="25"/>
      <c r="L60" s="224"/>
    </row>
    <row r="61" spans="1:12" ht="12.75">
      <c r="A61" s="168"/>
      <c r="B61" s="25"/>
      <c r="C61" s="25"/>
      <c r="D61" s="25"/>
      <c r="E61" s="25"/>
      <c r="F61" s="25"/>
      <c r="G61" s="25"/>
      <c r="H61" s="25"/>
      <c r="I61" s="25"/>
      <c r="J61" s="25"/>
      <c r="K61" s="25"/>
      <c r="L61" s="224"/>
    </row>
    <row r="62" spans="1:12" ht="12.75">
      <c r="A62" s="168"/>
      <c r="B62" s="25"/>
      <c r="C62" s="25"/>
      <c r="D62" s="25"/>
      <c r="E62" s="25"/>
      <c r="F62" s="25"/>
      <c r="G62" s="25"/>
      <c r="H62" s="25"/>
      <c r="I62" s="25"/>
      <c r="J62" s="25"/>
      <c r="K62" s="25"/>
      <c r="L62" s="224"/>
    </row>
    <row r="63" spans="1:12" ht="12.75">
      <c r="A63" s="168"/>
      <c r="B63" s="25"/>
      <c r="C63" s="25"/>
      <c r="D63" s="25"/>
      <c r="E63" s="25"/>
      <c r="F63" s="25"/>
      <c r="G63" s="25"/>
      <c r="H63" s="25"/>
      <c r="I63" s="25"/>
      <c r="J63" s="25"/>
      <c r="K63" s="25"/>
      <c r="L63" s="224"/>
    </row>
    <row r="64" spans="1:12" ht="12.75">
      <c r="A64" s="168"/>
      <c r="B64" s="25"/>
      <c r="C64" s="25"/>
      <c r="D64" s="25"/>
      <c r="E64" s="25"/>
      <c r="F64" s="25"/>
      <c r="G64" s="25"/>
      <c r="H64" s="25"/>
      <c r="I64" s="25"/>
      <c r="J64" s="25"/>
      <c r="K64" s="25"/>
      <c r="L64" s="224"/>
    </row>
    <row r="65" spans="1:12" ht="12.75">
      <c r="A65" s="168"/>
      <c r="B65" s="25"/>
      <c r="C65" s="25"/>
      <c r="D65" s="25"/>
      <c r="E65" s="25"/>
      <c r="F65" s="25"/>
      <c r="G65" s="25"/>
      <c r="H65" s="25"/>
      <c r="I65" s="25"/>
      <c r="J65" s="25"/>
      <c r="K65" s="25"/>
      <c r="L65" s="224"/>
    </row>
    <row r="66" spans="1:12" ht="12.75">
      <c r="A66" s="168"/>
      <c r="B66" s="25"/>
      <c r="C66" s="25"/>
      <c r="D66" s="25"/>
      <c r="E66" s="25"/>
      <c r="F66" s="25"/>
      <c r="G66" s="25"/>
      <c r="H66" s="25"/>
      <c r="I66" s="25"/>
      <c r="J66" s="25"/>
      <c r="K66" s="25"/>
      <c r="L66" s="224"/>
    </row>
    <row r="67" spans="1:12" ht="12.75">
      <c r="A67" s="168"/>
      <c r="B67" s="25"/>
      <c r="J67" s="25"/>
      <c r="K67" s="25"/>
      <c r="L67" s="224"/>
    </row>
    <row r="68" spans="1:12" ht="12.75">
      <c r="A68" s="168"/>
      <c r="B68" s="25"/>
      <c r="J68" s="25"/>
      <c r="K68" s="25"/>
      <c r="L68" s="224"/>
    </row>
    <row r="69" spans="1:12" ht="12.75">
      <c r="A69" s="168"/>
      <c r="B69" s="25"/>
      <c r="J69" s="25"/>
      <c r="K69" s="25"/>
      <c r="L69" s="224"/>
    </row>
    <row r="70" spans="1:12" ht="12.75">
      <c r="A70" s="168"/>
      <c r="B70" s="25"/>
      <c r="J70" s="25"/>
      <c r="K70" s="25"/>
      <c r="L70" s="224"/>
    </row>
    <row r="71" spans="1:12">
      <c r="B71" s="224"/>
      <c r="C71" s="224"/>
      <c r="D71" s="224"/>
      <c r="E71" s="224"/>
      <c r="F71" s="224"/>
      <c r="G71" s="224"/>
      <c r="H71" s="224"/>
      <c r="I71" s="224"/>
      <c r="J71" s="224"/>
      <c r="K71" s="224"/>
      <c r="L71" s="224"/>
    </row>
    <row r="72" spans="1:12">
      <c r="B72" s="224"/>
      <c r="C72" s="224"/>
      <c r="D72" s="224"/>
      <c r="E72" s="224"/>
      <c r="F72" s="224"/>
      <c r="G72" s="224"/>
      <c r="H72" s="224"/>
      <c r="I72" s="224"/>
      <c r="J72" s="224"/>
      <c r="K72" s="224"/>
      <c r="L72" s="224"/>
    </row>
    <row r="73" spans="1:12">
      <c r="B73" s="224"/>
      <c r="C73" s="224"/>
      <c r="D73" s="224"/>
      <c r="E73" s="224"/>
      <c r="F73" s="224"/>
      <c r="G73" s="224"/>
      <c r="H73" s="224"/>
      <c r="I73" s="224"/>
      <c r="J73" s="224"/>
      <c r="K73" s="224"/>
      <c r="L73" s="224"/>
    </row>
    <row r="74" spans="1:12">
      <c r="B74" s="224"/>
      <c r="C74" s="224"/>
      <c r="D74" s="224"/>
      <c r="E74" s="224"/>
      <c r="F74" s="224"/>
      <c r="G74" s="224"/>
      <c r="H74" s="224"/>
      <c r="I74" s="224"/>
      <c r="J74" s="224"/>
      <c r="K74" s="224"/>
      <c r="L74" s="224"/>
    </row>
    <row r="75" spans="1:12">
      <c r="B75" s="224"/>
      <c r="C75" s="224"/>
      <c r="D75" s="224"/>
      <c r="E75" s="224"/>
      <c r="F75" s="224"/>
      <c r="G75" s="224"/>
      <c r="H75" s="224"/>
      <c r="I75" s="224"/>
      <c r="J75" s="224"/>
      <c r="K75" s="224"/>
      <c r="L75" s="224"/>
    </row>
    <row r="76" spans="1:12">
      <c r="B76" s="224"/>
      <c r="C76" s="224"/>
      <c r="D76" s="224"/>
      <c r="E76" s="224"/>
      <c r="F76" s="224"/>
      <c r="G76" s="224"/>
      <c r="H76" s="224"/>
      <c r="I76" s="224"/>
      <c r="J76" s="224"/>
      <c r="K76" s="224"/>
      <c r="L76" s="224"/>
    </row>
    <row r="77" spans="1:12">
      <c r="B77" s="224"/>
      <c r="C77" s="224"/>
      <c r="D77" s="224"/>
      <c r="E77" s="224"/>
      <c r="F77" s="224"/>
      <c r="G77" s="224"/>
      <c r="H77" s="224"/>
      <c r="I77" s="224"/>
      <c r="J77" s="224"/>
      <c r="K77" s="224"/>
      <c r="L77" s="224"/>
    </row>
    <row r="78" spans="1:12">
      <c r="B78" s="224"/>
      <c r="C78" s="224"/>
      <c r="D78" s="224"/>
      <c r="E78" s="224"/>
      <c r="F78" s="224"/>
      <c r="G78" s="224"/>
      <c r="H78" s="224"/>
      <c r="I78" s="224"/>
      <c r="J78" s="224"/>
      <c r="K78" s="224"/>
      <c r="L78" s="224"/>
    </row>
    <row r="79" spans="1:12">
      <c r="B79" s="224"/>
      <c r="C79" s="224"/>
      <c r="D79" s="224"/>
      <c r="E79" s="224"/>
      <c r="F79" s="224"/>
      <c r="G79" s="224"/>
      <c r="H79" s="224"/>
      <c r="I79" s="224"/>
      <c r="J79" s="224"/>
      <c r="K79" s="224"/>
      <c r="L79" s="224"/>
    </row>
    <row r="80" spans="1:12">
      <c r="B80" s="224"/>
      <c r="C80" s="224"/>
      <c r="D80" s="224"/>
      <c r="E80" s="224"/>
      <c r="F80" s="224"/>
      <c r="G80" s="224"/>
      <c r="H80" s="224"/>
      <c r="I80" s="224"/>
      <c r="J80" s="224"/>
      <c r="K80" s="224"/>
      <c r="L80" s="224"/>
    </row>
    <row r="81" spans="2:12">
      <c r="B81" s="224"/>
      <c r="C81" s="224"/>
      <c r="D81" s="224"/>
      <c r="E81" s="224"/>
      <c r="F81" s="224"/>
      <c r="G81" s="224"/>
      <c r="H81" s="224"/>
      <c r="I81" s="224"/>
      <c r="J81" s="224"/>
      <c r="K81" s="224"/>
      <c r="L81" s="224"/>
    </row>
    <row r="82" spans="2:12">
      <c r="B82" s="224"/>
      <c r="C82" s="224"/>
      <c r="D82" s="224"/>
      <c r="E82" s="224"/>
      <c r="F82" s="224"/>
      <c r="G82" s="224"/>
      <c r="H82" s="224"/>
      <c r="I82" s="224"/>
      <c r="J82" s="224"/>
      <c r="K82" s="224"/>
      <c r="L82" s="224"/>
    </row>
    <row r="83" spans="2:12">
      <c r="B83" s="224"/>
      <c r="C83" s="224"/>
      <c r="D83" s="224"/>
      <c r="E83" s="224"/>
      <c r="F83" s="224"/>
      <c r="G83" s="224"/>
      <c r="H83" s="224"/>
      <c r="I83" s="224"/>
      <c r="J83" s="224"/>
      <c r="K83" s="224"/>
      <c r="L83" s="224"/>
    </row>
    <row r="84" spans="2:12">
      <c r="B84" s="224"/>
      <c r="C84" s="224"/>
      <c r="D84" s="224"/>
      <c r="E84" s="224"/>
      <c r="F84" s="224"/>
      <c r="G84" s="224"/>
      <c r="H84" s="224"/>
      <c r="I84" s="224"/>
      <c r="J84" s="224"/>
      <c r="K84" s="224"/>
      <c r="L84" s="224"/>
    </row>
    <row r="85" spans="2:12">
      <c r="B85" s="224"/>
      <c r="C85" s="224"/>
      <c r="D85" s="224"/>
      <c r="E85" s="224"/>
      <c r="F85" s="224"/>
      <c r="G85" s="224"/>
      <c r="H85" s="224"/>
      <c r="I85" s="224"/>
      <c r="J85" s="224"/>
      <c r="K85" s="224"/>
      <c r="L85" s="224"/>
    </row>
    <row r="86" spans="2:12">
      <c r="B86" s="224"/>
      <c r="C86" s="224"/>
      <c r="D86" s="224"/>
      <c r="E86" s="224"/>
      <c r="F86" s="224"/>
      <c r="G86" s="224"/>
      <c r="H86" s="224"/>
      <c r="I86" s="224"/>
      <c r="J86" s="224"/>
      <c r="K86" s="224"/>
      <c r="L86" s="224"/>
    </row>
    <row r="87" spans="2:12">
      <c r="B87" s="224"/>
      <c r="C87" s="224"/>
      <c r="D87" s="224"/>
      <c r="E87" s="224"/>
      <c r="F87" s="224"/>
      <c r="G87" s="224"/>
      <c r="H87" s="224"/>
      <c r="I87" s="224"/>
      <c r="J87" s="224"/>
      <c r="K87" s="224"/>
      <c r="L87" s="224"/>
    </row>
    <row r="88" spans="2:12">
      <c r="B88" s="224"/>
      <c r="C88" s="224"/>
      <c r="D88" s="224"/>
      <c r="E88" s="224"/>
      <c r="F88" s="224"/>
      <c r="G88" s="224"/>
      <c r="H88" s="224"/>
      <c r="I88" s="224"/>
      <c r="J88" s="224"/>
      <c r="K88" s="224"/>
      <c r="L88" s="224"/>
    </row>
    <row r="89" spans="2:12">
      <c r="B89" s="224"/>
      <c r="C89" s="224"/>
      <c r="D89" s="224"/>
      <c r="E89" s="224"/>
      <c r="F89" s="224"/>
      <c r="G89" s="224"/>
      <c r="H89" s="224"/>
      <c r="I89" s="224"/>
      <c r="J89" s="224"/>
      <c r="K89" s="224"/>
      <c r="L89" s="224"/>
    </row>
    <row r="90" spans="2:12">
      <c r="B90" s="224"/>
      <c r="C90" s="224"/>
      <c r="D90" s="224"/>
      <c r="E90" s="224"/>
      <c r="F90" s="224"/>
      <c r="G90" s="224"/>
      <c r="H90" s="224"/>
      <c r="I90" s="224"/>
      <c r="J90" s="224"/>
      <c r="K90" s="224"/>
      <c r="L90" s="224"/>
    </row>
    <row r="91" spans="2:12">
      <c r="B91" s="224"/>
      <c r="C91" s="224"/>
      <c r="D91" s="224"/>
      <c r="E91" s="224"/>
      <c r="F91" s="224"/>
      <c r="G91" s="224"/>
      <c r="H91" s="224"/>
      <c r="I91" s="224"/>
      <c r="J91" s="224"/>
      <c r="K91" s="224"/>
      <c r="L91" s="224"/>
    </row>
    <row r="92" spans="2:12">
      <c r="B92" s="224"/>
      <c r="C92" s="224"/>
      <c r="D92" s="224"/>
      <c r="E92" s="224"/>
      <c r="F92" s="224"/>
      <c r="G92" s="224"/>
      <c r="H92" s="224"/>
      <c r="I92" s="224"/>
      <c r="J92" s="224"/>
      <c r="K92" s="224"/>
      <c r="L92" s="224"/>
    </row>
    <row r="93" spans="2:12">
      <c r="B93" s="224"/>
      <c r="C93" s="224"/>
      <c r="D93" s="224"/>
      <c r="E93" s="224"/>
      <c r="F93" s="224"/>
      <c r="G93" s="224"/>
      <c r="H93" s="224"/>
      <c r="I93" s="224"/>
      <c r="J93" s="224"/>
      <c r="K93" s="224"/>
      <c r="L93" s="224"/>
    </row>
    <row r="94" spans="2:12">
      <c r="B94" s="224"/>
      <c r="C94" s="224"/>
      <c r="D94" s="224"/>
      <c r="E94" s="224"/>
      <c r="F94" s="224"/>
      <c r="G94" s="224"/>
      <c r="H94" s="224"/>
      <c r="I94" s="224"/>
      <c r="J94" s="224"/>
      <c r="K94" s="224"/>
      <c r="L94" s="224"/>
    </row>
    <row r="95" spans="2:12">
      <c r="B95" s="224"/>
      <c r="C95" s="224"/>
      <c r="D95" s="224"/>
      <c r="E95" s="224"/>
      <c r="F95" s="224"/>
      <c r="G95" s="224"/>
      <c r="H95" s="224"/>
      <c r="I95" s="224"/>
      <c r="J95" s="224"/>
      <c r="K95" s="224"/>
      <c r="L95" s="224"/>
    </row>
    <row r="96" spans="2:12">
      <c r="B96" s="224"/>
      <c r="C96" s="224"/>
      <c r="D96" s="224"/>
      <c r="E96" s="224"/>
      <c r="F96" s="224"/>
      <c r="G96" s="224"/>
      <c r="H96" s="224"/>
      <c r="I96" s="224"/>
      <c r="J96" s="224"/>
      <c r="K96" s="224"/>
      <c r="L96" s="224"/>
    </row>
    <row r="97" spans="2:12">
      <c r="B97" s="224"/>
      <c r="C97" s="224"/>
      <c r="D97" s="224"/>
      <c r="E97" s="224"/>
      <c r="F97" s="224"/>
      <c r="G97" s="224"/>
      <c r="H97" s="224"/>
      <c r="I97" s="224"/>
      <c r="J97" s="224"/>
      <c r="K97" s="224"/>
      <c r="L97" s="224"/>
    </row>
    <row r="98" spans="2:12">
      <c r="B98" s="224"/>
      <c r="C98" s="224"/>
      <c r="D98" s="224"/>
      <c r="E98" s="224"/>
      <c r="F98" s="224"/>
      <c r="G98" s="224"/>
      <c r="H98" s="224"/>
      <c r="I98" s="224"/>
      <c r="J98" s="224"/>
      <c r="K98" s="224"/>
      <c r="L98" s="224"/>
    </row>
    <row r="99" spans="2:12">
      <c r="B99" s="224"/>
      <c r="C99" s="224"/>
      <c r="D99" s="224"/>
      <c r="E99" s="224"/>
      <c r="F99" s="224"/>
      <c r="G99" s="224"/>
      <c r="H99" s="224"/>
      <c r="I99" s="224"/>
      <c r="J99" s="224"/>
      <c r="K99" s="224"/>
      <c r="L99" s="224"/>
    </row>
    <row r="100" spans="2:12">
      <c r="B100" s="224"/>
      <c r="C100" s="224"/>
      <c r="D100" s="224"/>
      <c r="E100" s="224"/>
      <c r="F100" s="224"/>
      <c r="G100" s="224"/>
      <c r="H100" s="224"/>
      <c r="I100" s="224"/>
      <c r="J100" s="224"/>
      <c r="K100" s="224"/>
      <c r="L100" s="224"/>
    </row>
    <row r="101" spans="2:12">
      <c r="B101" s="224"/>
      <c r="C101" s="224"/>
      <c r="D101" s="224"/>
      <c r="E101" s="224"/>
      <c r="F101" s="224"/>
      <c r="G101" s="224"/>
      <c r="H101" s="224"/>
      <c r="I101" s="224"/>
      <c r="J101" s="224"/>
      <c r="K101" s="224"/>
      <c r="L101" s="224"/>
    </row>
    <row r="102" spans="2:12">
      <c r="B102" s="224"/>
      <c r="C102" s="224"/>
      <c r="D102" s="224"/>
      <c r="E102" s="224"/>
      <c r="F102" s="224"/>
      <c r="G102" s="224"/>
      <c r="H102" s="224"/>
      <c r="I102" s="224"/>
      <c r="J102" s="224"/>
      <c r="K102" s="224"/>
      <c r="L102" s="224"/>
    </row>
    <row r="103" spans="2:12">
      <c r="B103" s="224"/>
      <c r="C103" s="224"/>
      <c r="D103" s="224"/>
      <c r="E103" s="224"/>
      <c r="F103" s="224"/>
      <c r="G103" s="224"/>
      <c r="H103" s="224"/>
      <c r="I103" s="224"/>
      <c r="J103" s="224"/>
      <c r="K103" s="224"/>
      <c r="L103" s="224"/>
    </row>
    <row r="104" spans="2:12">
      <c r="B104" s="224"/>
      <c r="C104" s="224"/>
      <c r="D104" s="224"/>
      <c r="E104" s="224"/>
      <c r="F104" s="224"/>
      <c r="G104" s="224"/>
      <c r="H104" s="224"/>
      <c r="I104" s="224"/>
      <c r="J104" s="224"/>
      <c r="K104" s="224"/>
      <c r="L104" s="224"/>
    </row>
    <row r="105" spans="2:12">
      <c r="B105" s="224"/>
      <c r="C105" s="224"/>
      <c r="D105" s="224"/>
      <c r="E105" s="224"/>
      <c r="F105" s="224"/>
      <c r="G105" s="224"/>
      <c r="H105" s="224"/>
      <c r="I105" s="224"/>
      <c r="J105" s="224"/>
      <c r="K105" s="224"/>
      <c r="L105" s="224"/>
    </row>
    <row r="106" spans="2:12">
      <c r="B106" s="224"/>
      <c r="C106" s="224"/>
      <c r="D106" s="224"/>
      <c r="E106" s="224"/>
      <c r="F106" s="224"/>
      <c r="G106" s="224"/>
      <c r="H106" s="224"/>
      <c r="I106" s="224"/>
      <c r="J106" s="224"/>
      <c r="K106" s="224"/>
      <c r="L106" s="224"/>
    </row>
    <row r="107" spans="2:12">
      <c r="B107" s="224"/>
      <c r="C107" s="224"/>
      <c r="D107" s="224"/>
      <c r="E107" s="224"/>
      <c r="F107" s="224"/>
      <c r="G107" s="224"/>
      <c r="H107" s="224"/>
      <c r="I107" s="224"/>
      <c r="J107" s="224"/>
      <c r="K107" s="224"/>
      <c r="L107" s="224"/>
    </row>
    <row r="108" spans="2:12">
      <c r="B108" s="224"/>
      <c r="C108" s="224"/>
      <c r="D108" s="224"/>
      <c r="E108" s="224"/>
      <c r="F108" s="224"/>
      <c r="G108" s="224"/>
      <c r="H108" s="224"/>
      <c r="I108" s="224"/>
      <c r="J108" s="224"/>
      <c r="K108" s="224"/>
      <c r="L108" s="224"/>
    </row>
    <row r="109" spans="2:12">
      <c r="B109" s="224"/>
      <c r="C109" s="224"/>
      <c r="D109" s="224"/>
      <c r="E109" s="224"/>
      <c r="F109" s="224"/>
      <c r="G109" s="224"/>
      <c r="H109" s="224"/>
      <c r="I109" s="224"/>
      <c r="J109" s="224"/>
      <c r="K109" s="224"/>
      <c r="L109" s="224"/>
    </row>
    <row r="110" spans="2:12">
      <c r="B110" s="224"/>
      <c r="C110" s="224"/>
      <c r="D110" s="224"/>
      <c r="E110" s="224"/>
      <c r="F110" s="224"/>
      <c r="G110" s="224"/>
      <c r="H110" s="224"/>
      <c r="I110" s="224"/>
      <c r="J110" s="224"/>
      <c r="K110" s="224"/>
      <c r="L110" s="224"/>
    </row>
    <row r="111" spans="2:12">
      <c r="B111" s="224"/>
      <c r="C111" s="224"/>
      <c r="D111" s="224"/>
      <c r="E111" s="224"/>
      <c r="F111" s="224"/>
      <c r="G111" s="224"/>
      <c r="H111" s="224"/>
      <c r="I111" s="224"/>
      <c r="J111" s="224"/>
      <c r="K111" s="224"/>
      <c r="L111" s="224"/>
    </row>
    <row r="112" spans="2:12">
      <c r="B112" s="224"/>
      <c r="C112" s="224"/>
      <c r="D112" s="224"/>
      <c r="E112" s="224"/>
      <c r="F112" s="224"/>
      <c r="G112" s="224"/>
      <c r="H112" s="224"/>
      <c r="I112" s="224"/>
      <c r="J112" s="224"/>
      <c r="K112" s="224"/>
      <c r="L112" s="224"/>
    </row>
    <row r="113" spans="2:12">
      <c r="B113" s="224"/>
      <c r="C113" s="224"/>
      <c r="D113" s="224"/>
      <c r="E113" s="224"/>
      <c r="F113" s="224"/>
      <c r="G113" s="224"/>
      <c r="H113" s="224"/>
      <c r="I113" s="224"/>
      <c r="J113" s="224"/>
      <c r="K113" s="224"/>
      <c r="L113" s="224"/>
    </row>
    <row r="114" spans="2:12">
      <c r="B114" s="224"/>
      <c r="C114" s="224"/>
      <c r="D114" s="224"/>
      <c r="E114" s="224"/>
      <c r="F114" s="224"/>
      <c r="G114" s="224"/>
      <c r="H114" s="224"/>
      <c r="I114" s="224"/>
      <c r="J114" s="224"/>
      <c r="K114" s="224"/>
      <c r="L114" s="224"/>
    </row>
    <row r="115" spans="2:12">
      <c r="B115" s="224"/>
      <c r="C115" s="224"/>
      <c r="D115" s="224"/>
      <c r="E115" s="224"/>
      <c r="F115" s="224"/>
      <c r="G115" s="224"/>
      <c r="H115" s="224"/>
      <c r="I115" s="224"/>
      <c r="J115" s="224"/>
      <c r="K115" s="224"/>
      <c r="L115" s="224"/>
    </row>
    <row r="116" spans="2:12">
      <c r="B116" s="224"/>
      <c r="C116" s="224"/>
      <c r="D116" s="224"/>
      <c r="E116" s="224"/>
      <c r="F116" s="224"/>
      <c r="G116" s="224"/>
      <c r="H116" s="224"/>
      <c r="I116" s="224"/>
      <c r="J116" s="224"/>
      <c r="K116" s="224"/>
      <c r="L116" s="224"/>
    </row>
    <row r="117" spans="2:12">
      <c r="B117" s="224"/>
      <c r="C117" s="224"/>
      <c r="D117" s="224"/>
      <c r="E117" s="224"/>
      <c r="F117" s="224"/>
      <c r="G117" s="224"/>
      <c r="H117" s="224"/>
      <c r="I117" s="224"/>
      <c r="J117" s="224"/>
      <c r="K117" s="224"/>
      <c r="L117" s="224"/>
    </row>
    <row r="118" spans="2:12">
      <c r="B118" s="224"/>
      <c r="C118" s="224"/>
      <c r="D118" s="224"/>
      <c r="E118" s="224"/>
      <c r="F118" s="224"/>
      <c r="G118" s="224"/>
      <c r="H118" s="224"/>
      <c r="I118" s="224"/>
      <c r="J118" s="224"/>
      <c r="K118" s="224"/>
      <c r="L118" s="224"/>
    </row>
    <row r="119" spans="2:12">
      <c r="B119" s="224"/>
      <c r="C119" s="224"/>
      <c r="D119" s="224"/>
      <c r="E119" s="224"/>
      <c r="F119" s="224"/>
      <c r="G119" s="224"/>
      <c r="H119" s="224"/>
      <c r="I119" s="224"/>
      <c r="J119" s="224"/>
      <c r="K119" s="224"/>
      <c r="L119" s="224"/>
    </row>
    <row r="120" spans="2:12">
      <c r="B120" s="224"/>
      <c r="C120" s="224"/>
      <c r="D120" s="224"/>
      <c r="E120" s="224"/>
      <c r="F120" s="224"/>
      <c r="G120" s="224"/>
      <c r="H120" s="224"/>
      <c r="I120" s="224"/>
      <c r="J120" s="224"/>
      <c r="K120" s="224"/>
      <c r="L120" s="224"/>
    </row>
    <row r="121" spans="2:12">
      <c r="B121" s="224"/>
      <c r="C121" s="224"/>
      <c r="D121" s="224"/>
      <c r="E121" s="224"/>
      <c r="F121" s="224"/>
      <c r="G121" s="224"/>
      <c r="H121" s="224"/>
      <c r="I121" s="224"/>
      <c r="J121" s="224"/>
      <c r="K121" s="224"/>
      <c r="L121" s="224"/>
    </row>
    <row r="122" spans="2:12">
      <c r="B122" s="224"/>
      <c r="C122" s="224"/>
      <c r="D122" s="224"/>
      <c r="E122" s="224"/>
      <c r="F122" s="224"/>
      <c r="G122" s="224"/>
      <c r="H122" s="224"/>
      <c r="I122" s="224"/>
      <c r="J122" s="224"/>
      <c r="K122" s="224"/>
      <c r="L122" s="224"/>
    </row>
    <row r="123" spans="2:12">
      <c r="B123" s="224"/>
      <c r="C123" s="224"/>
      <c r="D123" s="224"/>
      <c r="E123" s="224"/>
      <c r="F123" s="224"/>
      <c r="G123" s="224"/>
      <c r="H123" s="224"/>
      <c r="I123" s="224"/>
      <c r="J123" s="224"/>
      <c r="K123" s="224"/>
      <c r="L123" s="224"/>
    </row>
    <row r="124" spans="2:12">
      <c r="B124" s="224"/>
      <c r="C124" s="224"/>
      <c r="D124" s="224"/>
      <c r="E124" s="224"/>
      <c r="F124" s="224"/>
      <c r="G124" s="224"/>
      <c r="H124" s="224"/>
      <c r="I124" s="224"/>
      <c r="J124" s="224"/>
      <c r="K124" s="224"/>
      <c r="L124" s="224"/>
    </row>
    <row r="125" spans="2:12">
      <c r="B125" s="224"/>
      <c r="C125" s="224"/>
      <c r="D125" s="224"/>
      <c r="E125" s="224"/>
      <c r="F125" s="224"/>
      <c r="G125" s="224"/>
      <c r="H125" s="224"/>
      <c r="I125" s="224"/>
      <c r="J125" s="224"/>
      <c r="K125" s="224"/>
      <c r="L125" s="224"/>
    </row>
    <row r="126" spans="2:12">
      <c r="B126" s="224"/>
      <c r="C126" s="224"/>
      <c r="D126" s="224"/>
      <c r="E126" s="224"/>
      <c r="F126" s="224"/>
      <c r="G126" s="224"/>
      <c r="H126" s="224"/>
      <c r="I126" s="224"/>
      <c r="J126" s="224"/>
      <c r="K126" s="224"/>
      <c r="L126" s="224"/>
    </row>
    <row r="127" spans="2:12">
      <c r="B127" s="224"/>
      <c r="C127" s="224"/>
      <c r="D127" s="224"/>
      <c r="E127" s="224"/>
      <c r="F127" s="224"/>
      <c r="G127" s="224"/>
      <c r="H127" s="224"/>
      <c r="I127" s="224"/>
      <c r="J127" s="224"/>
      <c r="K127" s="224"/>
      <c r="L127" s="224"/>
    </row>
    <row r="128" spans="2:12">
      <c r="B128" s="224"/>
      <c r="C128" s="224"/>
      <c r="D128" s="224"/>
      <c r="E128" s="224"/>
      <c r="F128" s="224"/>
      <c r="G128" s="224"/>
      <c r="H128" s="224"/>
      <c r="I128" s="224"/>
      <c r="J128" s="224"/>
      <c r="K128" s="224"/>
      <c r="L128" s="224"/>
    </row>
    <row r="129" spans="2:12">
      <c r="B129" s="224"/>
      <c r="C129" s="224"/>
      <c r="D129" s="224"/>
      <c r="E129" s="224"/>
      <c r="F129" s="224"/>
      <c r="G129" s="224"/>
      <c r="H129" s="224"/>
      <c r="I129" s="224"/>
      <c r="J129" s="224"/>
      <c r="K129" s="224"/>
      <c r="L129" s="224"/>
    </row>
    <row r="130" spans="2:12">
      <c r="B130" s="224"/>
      <c r="C130" s="224"/>
      <c r="D130" s="224"/>
      <c r="E130" s="224"/>
      <c r="F130" s="224"/>
      <c r="G130" s="224"/>
      <c r="H130" s="224"/>
      <c r="I130" s="224"/>
      <c r="J130" s="224"/>
      <c r="K130" s="224"/>
      <c r="L130" s="224"/>
    </row>
    <row r="131" spans="2:12">
      <c r="B131" s="224"/>
      <c r="C131" s="224"/>
      <c r="D131" s="224"/>
      <c r="E131" s="224"/>
      <c r="F131" s="224"/>
      <c r="G131" s="224"/>
      <c r="H131" s="224"/>
      <c r="I131" s="224"/>
      <c r="J131" s="224"/>
      <c r="K131" s="224"/>
      <c r="L131" s="224"/>
    </row>
    <row r="132" spans="2:12">
      <c r="B132" s="224"/>
      <c r="C132" s="224"/>
      <c r="D132" s="224"/>
      <c r="E132" s="224"/>
      <c r="F132" s="224"/>
      <c r="G132" s="224"/>
      <c r="H132" s="224"/>
      <c r="I132" s="224"/>
      <c r="J132" s="224"/>
      <c r="K132" s="224"/>
      <c r="L132" s="224"/>
    </row>
    <row r="133" spans="2:12">
      <c r="B133" s="224"/>
      <c r="C133" s="224"/>
      <c r="D133" s="224"/>
      <c r="E133" s="224"/>
      <c r="F133" s="224"/>
      <c r="G133" s="224"/>
      <c r="H133" s="224"/>
      <c r="I133" s="224"/>
      <c r="J133" s="224"/>
      <c r="K133" s="224"/>
      <c r="L133" s="224"/>
    </row>
    <row r="134" spans="2:12">
      <c r="B134" s="224"/>
      <c r="C134" s="224"/>
      <c r="D134" s="224"/>
      <c r="E134" s="224"/>
      <c r="F134" s="224"/>
      <c r="G134" s="224"/>
      <c r="H134" s="224"/>
      <c r="I134" s="224"/>
      <c r="J134" s="224"/>
      <c r="K134" s="224"/>
      <c r="L134" s="224"/>
    </row>
    <row r="135" spans="2:12">
      <c r="B135" s="224"/>
      <c r="C135" s="224"/>
      <c r="D135" s="224"/>
      <c r="E135" s="224"/>
      <c r="F135" s="224"/>
      <c r="G135" s="224"/>
      <c r="H135" s="224"/>
      <c r="I135" s="224"/>
      <c r="J135" s="224"/>
      <c r="K135" s="224"/>
      <c r="L135" s="224"/>
    </row>
    <row r="136" spans="2:12">
      <c r="B136" s="224"/>
      <c r="C136" s="224"/>
      <c r="D136" s="224"/>
      <c r="E136" s="224"/>
      <c r="F136" s="224"/>
      <c r="G136" s="224"/>
      <c r="H136" s="224"/>
      <c r="I136" s="224"/>
      <c r="J136" s="224"/>
      <c r="K136" s="224"/>
      <c r="L136" s="224"/>
    </row>
    <row r="137" spans="2:12">
      <c r="B137" s="224"/>
      <c r="C137" s="224"/>
      <c r="D137" s="224"/>
      <c r="E137" s="224"/>
      <c r="F137" s="224"/>
      <c r="G137" s="224"/>
      <c r="H137" s="224"/>
      <c r="I137" s="224"/>
      <c r="J137" s="224"/>
      <c r="K137" s="224"/>
      <c r="L137" s="224"/>
    </row>
    <row r="138" spans="2:12">
      <c r="B138" s="224"/>
      <c r="C138" s="224"/>
      <c r="D138" s="224"/>
      <c r="E138" s="224"/>
      <c r="F138" s="224"/>
      <c r="G138" s="224"/>
      <c r="H138" s="224"/>
      <c r="I138" s="224"/>
      <c r="J138" s="224"/>
      <c r="K138" s="224"/>
      <c r="L138" s="224"/>
    </row>
    <row r="139" spans="2:12">
      <c r="B139" s="224"/>
      <c r="C139" s="224"/>
      <c r="D139" s="224"/>
      <c r="E139" s="224"/>
      <c r="F139" s="224"/>
      <c r="G139" s="224"/>
      <c r="H139" s="224"/>
      <c r="I139" s="224"/>
      <c r="J139" s="224"/>
      <c r="K139" s="224"/>
      <c r="L139" s="224"/>
    </row>
    <row r="140" spans="2:12">
      <c r="B140" s="224"/>
      <c r="C140" s="224"/>
      <c r="D140" s="224"/>
      <c r="E140" s="224"/>
      <c r="F140" s="224"/>
      <c r="G140" s="224"/>
      <c r="H140" s="224"/>
      <c r="I140" s="224"/>
      <c r="J140" s="224"/>
      <c r="K140" s="224"/>
      <c r="L140" s="224"/>
    </row>
    <row r="141" spans="2:12">
      <c r="B141" s="224"/>
      <c r="C141" s="224"/>
      <c r="D141" s="224"/>
      <c r="E141" s="224"/>
      <c r="F141" s="224"/>
      <c r="G141" s="224"/>
      <c r="H141" s="224"/>
      <c r="I141" s="224"/>
      <c r="J141" s="224"/>
      <c r="K141" s="224"/>
      <c r="L141" s="224"/>
    </row>
    <row r="142" spans="2:12">
      <c r="B142" s="224"/>
      <c r="C142" s="224"/>
      <c r="D142" s="224"/>
      <c r="E142" s="224"/>
      <c r="F142" s="224"/>
      <c r="G142" s="224"/>
      <c r="H142" s="224"/>
      <c r="I142" s="224"/>
      <c r="J142" s="224"/>
      <c r="K142" s="224"/>
      <c r="L142" s="224"/>
    </row>
    <row r="143" spans="2:12">
      <c r="B143" s="224"/>
      <c r="C143" s="224"/>
      <c r="D143" s="224"/>
      <c r="E143" s="224"/>
      <c r="F143" s="224"/>
      <c r="G143" s="224"/>
      <c r="H143" s="224"/>
      <c r="I143" s="224"/>
      <c r="J143" s="224"/>
      <c r="K143" s="224"/>
      <c r="L143" s="224"/>
    </row>
    <row r="144" spans="2:12">
      <c r="B144" s="224"/>
      <c r="C144" s="224"/>
      <c r="D144" s="224"/>
      <c r="E144" s="224"/>
      <c r="F144" s="224"/>
      <c r="G144" s="224"/>
      <c r="H144" s="224"/>
      <c r="I144" s="224"/>
      <c r="J144" s="224"/>
      <c r="K144" s="224"/>
      <c r="L144" s="224"/>
    </row>
    <row r="145" spans="2:12">
      <c r="B145" s="224"/>
      <c r="C145" s="224"/>
      <c r="D145" s="224"/>
      <c r="E145" s="224"/>
      <c r="F145" s="224"/>
      <c r="G145" s="224"/>
      <c r="H145" s="224"/>
      <c r="I145" s="224"/>
      <c r="J145" s="224"/>
      <c r="K145" s="224"/>
      <c r="L145" s="224"/>
    </row>
    <row r="146" spans="2:12">
      <c r="B146" s="224"/>
      <c r="C146" s="224"/>
      <c r="D146" s="224"/>
      <c r="E146" s="224"/>
      <c r="F146" s="224"/>
      <c r="G146" s="224"/>
      <c r="H146" s="224"/>
      <c r="I146" s="224"/>
      <c r="J146" s="224"/>
      <c r="K146" s="224"/>
      <c r="L146" s="224"/>
    </row>
    <row r="147" spans="2:12">
      <c r="B147" s="224"/>
      <c r="C147" s="224"/>
      <c r="D147" s="224"/>
      <c r="E147" s="224"/>
      <c r="F147" s="224"/>
      <c r="G147" s="224"/>
      <c r="H147" s="224"/>
      <c r="I147" s="224"/>
      <c r="J147" s="224"/>
      <c r="K147" s="224"/>
      <c r="L147" s="224"/>
    </row>
    <row r="148" spans="2:12">
      <c r="B148" s="224"/>
      <c r="C148" s="224"/>
      <c r="D148" s="224"/>
      <c r="E148" s="224"/>
      <c r="F148" s="224"/>
      <c r="G148" s="224"/>
      <c r="H148" s="224"/>
      <c r="I148" s="224"/>
      <c r="J148" s="224"/>
      <c r="K148" s="224"/>
      <c r="L148" s="224"/>
    </row>
    <row r="149" spans="2:12">
      <c r="B149" s="224"/>
      <c r="C149" s="224"/>
      <c r="D149" s="224"/>
      <c r="E149" s="224"/>
      <c r="F149" s="224"/>
      <c r="G149" s="224"/>
      <c r="H149" s="224"/>
      <c r="I149" s="224"/>
      <c r="J149" s="224"/>
      <c r="K149" s="224"/>
      <c r="L149" s="224"/>
    </row>
    <row r="150" spans="2:12">
      <c r="B150" s="224"/>
      <c r="C150" s="224"/>
      <c r="D150" s="224"/>
      <c r="E150" s="224"/>
      <c r="F150" s="224"/>
      <c r="G150" s="224"/>
      <c r="H150" s="224"/>
      <c r="I150" s="224"/>
      <c r="J150" s="224"/>
      <c r="K150" s="224"/>
      <c r="L150" s="224"/>
    </row>
    <row r="151" spans="2:12">
      <c r="B151" s="224"/>
      <c r="C151" s="224"/>
      <c r="D151" s="224"/>
      <c r="E151" s="224"/>
      <c r="F151" s="224"/>
      <c r="G151" s="224"/>
      <c r="H151" s="224"/>
      <c r="I151" s="224"/>
      <c r="J151" s="224"/>
      <c r="K151" s="224"/>
      <c r="L151" s="224"/>
    </row>
    <row r="152" spans="2:12">
      <c r="B152" s="224"/>
      <c r="C152" s="224"/>
      <c r="D152" s="224"/>
      <c r="E152" s="224"/>
      <c r="F152" s="224"/>
      <c r="G152" s="224"/>
      <c r="H152" s="224"/>
      <c r="I152" s="224"/>
      <c r="J152" s="224"/>
      <c r="K152" s="224"/>
      <c r="L152" s="224"/>
    </row>
    <row r="153" spans="2:12">
      <c r="B153" s="224"/>
      <c r="C153" s="224"/>
      <c r="D153" s="224"/>
      <c r="E153" s="224"/>
      <c r="F153" s="224"/>
      <c r="G153" s="224"/>
      <c r="H153" s="224"/>
      <c r="I153" s="224"/>
      <c r="J153" s="224"/>
      <c r="K153" s="224"/>
      <c r="L153" s="224"/>
    </row>
    <row r="154" spans="2:12">
      <c r="B154" s="224"/>
      <c r="C154" s="224"/>
      <c r="D154" s="224"/>
      <c r="E154" s="224"/>
      <c r="F154" s="224"/>
      <c r="G154" s="224"/>
      <c r="H154" s="224"/>
      <c r="I154" s="224"/>
      <c r="J154" s="224"/>
      <c r="K154" s="224"/>
      <c r="L154" s="224"/>
    </row>
    <row r="155" spans="2:12">
      <c r="B155" s="224"/>
      <c r="C155" s="224"/>
      <c r="D155" s="224"/>
      <c r="E155" s="224"/>
      <c r="F155" s="224"/>
      <c r="G155" s="224"/>
      <c r="H155" s="224"/>
      <c r="I155" s="224"/>
      <c r="J155" s="224"/>
      <c r="K155" s="224"/>
      <c r="L155" s="224"/>
    </row>
    <row r="156" spans="2:12">
      <c r="B156" s="224"/>
      <c r="C156" s="224"/>
      <c r="D156" s="224"/>
      <c r="E156" s="224"/>
      <c r="F156" s="224"/>
      <c r="G156" s="224"/>
      <c r="H156" s="224"/>
      <c r="I156" s="224"/>
      <c r="J156" s="224"/>
      <c r="K156" s="224"/>
      <c r="L156" s="224"/>
    </row>
    <row r="157" spans="2:12">
      <c r="B157" s="224"/>
      <c r="C157" s="224"/>
      <c r="D157" s="224"/>
      <c r="E157" s="224"/>
      <c r="F157" s="224"/>
      <c r="G157" s="224"/>
      <c r="H157" s="224"/>
      <c r="I157" s="224"/>
      <c r="J157" s="224"/>
      <c r="K157" s="224"/>
      <c r="L157" s="224"/>
    </row>
    <row r="158" spans="2:12">
      <c r="B158" s="224"/>
      <c r="C158" s="224"/>
      <c r="D158" s="224"/>
      <c r="E158" s="224"/>
      <c r="F158" s="224"/>
      <c r="G158" s="224"/>
      <c r="H158" s="224"/>
      <c r="I158" s="224"/>
      <c r="J158" s="224"/>
      <c r="K158" s="224"/>
      <c r="L158" s="224"/>
    </row>
    <row r="159" spans="2:12">
      <c r="B159" s="224"/>
      <c r="C159" s="224"/>
      <c r="D159" s="224"/>
      <c r="E159" s="224"/>
      <c r="F159" s="224"/>
      <c r="G159" s="224"/>
      <c r="H159" s="224"/>
      <c r="I159" s="224"/>
      <c r="J159" s="224"/>
      <c r="K159" s="224"/>
      <c r="L159" s="224"/>
    </row>
    <row r="160" spans="2:12">
      <c r="B160" s="224"/>
      <c r="C160" s="224"/>
      <c r="D160" s="224"/>
      <c r="E160" s="224"/>
      <c r="F160" s="224"/>
      <c r="G160" s="224"/>
      <c r="H160" s="224"/>
      <c r="I160" s="224"/>
      <c r="J160" s="224"/>
      <c r="K160" s="224"/>
      <c r="L160" s="224"/>
    </row>
    <row r="161" spans="2:12">
      <c r="B161" s="224"/>
      <c r="C161" s="224"/>
      <c r="D161" s="224"/>
      <c r="E161" s="224"/>
      <c r="F161" s="224"/>
      <c r="G161" s="224"/>
      <c r="H161" s="224"/>
      <c r="I161" s="224"/>
      <c r="J161" s="224"/>
      <c r="K161" s="224"/>
      <c r="L161" s="224"/>
    </row>
    <row r="162" spans="2:12">
      <c r="B162" s="224"/>
      <c r="C162" s="224"/>
      <c r="D162" s="224"/>
      <c r="E162" s="224"/>
      <c r="F162" s="224"/>
      <c r="G162" s="224"/>
      <c r="H162" s="224"/>
      <c r="I162" s="224"/>
      <c r="J162" s="224"/>
      <c r="K162" s="224"/>
      <c r="L162" s="224"/>
    </row>
    <row r="163" spans="2:12">
      <c r="B163" s="224"/>
      <c r="C163" s="224"/>
      <c r="D163" s="224"/>
      <c r="E163" s="224"/>
      <c r="F163" s="224"/>
      <c r="G163" s="224"/>
      <c r="H163" s="224"/>
      <c r="I163" s="224"/>
      <c r="J163" s="224"/>
      <c r="K163" s="224"/>
      <c r="L163" s="224"/>
    </row>
    <row r="164" spans="2:12">
      <c r="B164" s="224"/>
      <c r="C164" s="224"/>
      <c r="D164" s="224"/>
      <c r="E164" s="224"/>
      <c r="F164" s="224"/>
      <c r="G164" s="224"/>
      <c r="H164" s="224"/>
      <c r="I164" s="224"/>
      <c r="J164" s="224"/>
      <c r="K164" s="224"/>
      <c r="L164" s="224"/>
    </row>
    <row r="165" spans="2:12">
      <c r="B165" s="224"/>
      <c r="C165" s="224"/>
      <c r="D165" s="224"/>
      <c r="E165" s="224"/>
      <c r="F165" s="224"/>
      <c r="G165" s="224"/>
      <c r="H165" s="224"/>
      <c r="I165" s="224"/>
      <c r="J165" s="224"/>
      <c r="K165" s="224"/>
      <c r="L165" s="224"/>
    </row>
    <row r="166" spans="2:12">
      <c r="B166" s="224"/>
      <c r="C166" s="224"/>
      <c r="D166" s="224"/>
      <c r="E166" s="224"/>
      <c r="F166" s="224"/>
      <c r="G166" s="224"/>
      <c r="H166" s="224"/>
      <c r="I166" s="224"/>
      <c r="J166" s="224"/>
      <c r="K166" s="224"/>
      <c r="L166" s="224"/>
    </row>
    <row r="167" spans="2:12">
      <c r="B167" s="224"/>
      <c r="C167" s="224"/>
      <c r="D167" s="224"/>
      <c r="E167" s="224"/>
      <c r="F167" s="224"/>
      <c r="G167" s="224"/>
      <c r="H167" s="224"/>
      <c r="I167" s="224"/>
      <c r="J167" s="224"/>
      <c r="K167" s="224"/>
      <c r="L167" s="224"/>
    </row>
    <row r="168" spans="2:12">
      <c r="B168" s="224"/>
      <c r="C168" s="224"/>
      <c r="D168" s="224"/>
      <c r="E168" s="224"/>
      <c r="F168" s="224"/>
      <c r="G168" s="224"/>
      <c r="H168" s="224"/>
      <c r="I168" s="224"/>
      <c r="J168" s="224"/>
      <c r="K168" s="224"/>
      <c r="L168" s="224"/>
    </row>
    <row r="169" spans="2:12">
      <c r="B169" s="224"/>
      <c r="C169" s="224"/>
      <c r="D169" s="224"/>
      <c r="E169" s="224"/>
      <c r="F169" s="224"/>
      <c r="G169" s="224"/>
      <c r="H169" s="224"/>
      <c r="I169" s="224"/>
      <c r="J169" s="224"/>
      <c r="K169" s="224"/>
      <c r="L169" s="224"/>
    </row>
    <row r="170" spans="2:12">
      <c r="B170" s="224"/>
      <c r="C170" s="224"/>
      <c r="D170" s="224"/>
      <c r="E170" s="224"/>
      <c r="F170" s="224"/>
      <c r="G170" s="224"/>
      <c r="H170" s="224"/>
      <c r="I170" s="224"/>
      <c r="J170" s="224"/>
      <c r="K170" s="224"/>
      <c r="L170" s="224"/>
    </row>
    <row r="171" spans="2:12">
      <c r="B171" s="224"/>
      <c r="C171" s="224"/>
      <c r="D171" s="224"/>
      <c r="E171" s="224"/>
      <c r="F171" s="224"/>
      <c r="G171" s="224"/>
      <c r="H171" s="224"/>
      <c r="I171" s="224"/>
      <c r="J171" s="224"/>
      <c r="K171" s="224"/>
      <c r="L171" s="224"/>
    </row>
    <row r="172" spans="2:12">
      <c r="B172" s="224"/>
      <c r="C172" s="224"/>
      <c r="D172" s="224"/>
      <c r="E172" s="224"/>
      <c r="F172" s="224"/>
      <c r="G172" s="224"/>
      <c r="H172" s="224"/>
      <c r="I172" s="224"/>
      <c r="J172" s="224"/>
      <c r="K172" s="224"/>
      <c r="L172" s="224"/>
    </row>
    <row r="173" spans="2:12">
      <c r="B173" s="224"/>
      <c r="C173" s="224"/>
      <c r="D173" s="224"/>
      <c r="E173" s="224"/>
      <c r="F173" s="224"/>
      <c r="G173" s="224"/>
      <c r="H173" s="224"/>
      <c r="I173" s="224"/>
      <c r="J173" s="224"/>
      <c r="K173" s="224"/>
      <c r="L173" s="224"/>
    </row>
    <row r="174" spans="2:12">
      <c r="B174" s="224"/>
      <c r="C174" s="224"/>
      <c r="D174" s="224"/>
      <c r="E174" s="224"/>
      <c r="F174" s="224"/>
      <c r="G174" s="224"/>
      <c r="H174" s="224"/>
      <c r="I174" s="224"/>
      <c r="J174" s="224"/>
      <c r="K174" s="224"/>
      <c r="L174" s="224"/>
    </row>
    <row r="175" spans="2:12">
      <c r="B175" s="224"/>
      <c r="C175" s="224"/>
      <c r="D175" s="224"/>
      <c r="E175" s="224"/>
      <c r="F175" s="224"/>
      <c r="G175" s="224"/>
      <c r="H175" s="224"/>
      <c r="I175" s="224"/>
      <c r="J175" s="224"/>
      <c r="K175" s="224"/>
      <c r="L175" s="224"/>
    </row>
    <row r="176" spans="2:12">
      <c r="B176" s="224"/>
      <c r="C176" s="224"/>
      <c r="D176" s="224"/>
      <c r="E176" s="224"/>
      <c r="F176" s="224"/>
      <c r="G176" s="224"/>
      <c r="H176" s="224"/>
      <c r="I176" s="224"/>
      <c r="J176" s="224"/>
      <c r="K176" s="224"/>
      <c r="L176" s="224"/>
    </row>
    <row r="177" spans="2:12">
      <c r="B177" s="224"/>
      <c r="C177" s="224"/>
      <c r="D177" s="224"/>
      <c r="E177" s="224"/>
      <c r="F177" s="224"/>
      <c r="G177" s="224"/>
      <c r="H177" s="224"/>
      <c r="I177" s="224"/>
      <c r="J177" s="224"/>
      <c r="K177" s="224"/>
      <c r="L177" s="224"/>
    </row>
    <row r="178" spans="2:12">
      <c r="B178" s="224"/>
      <c r="C178" s="224"/>
      <c r="D178" s="224"/>
      <c r="E178" s="224"/>
      <c r="F178" s="224"/>
      <c r="G178" s="224"/>
      <c r="H178" s="224"/>
      <c r="I178" s="224"/>
      <c r="J178" s="224"/>
      <c r="K178" s="224"/>
      <c r="L178" s="224"/>
    </row>
    <row r="179" spans="2:12">
      <c r="B179" s="224"/>
      <c r="C179" s="224"/>
      <c r="D179" s="224"/>
      <c r="E179" s="224"/>
      <c r="F179" s="224"/>
      <c r="G179" s="224"/>
      <c r="H179" s="224"/>
      <c r="I179" s="224"/>
      <c r="J179" s="224"/>
      <c r="K179" s="224"/>
      <c r="L179" s="224"/>
    </row>
    <row r="180" spans="2:12">
      <c r="B180" s="224"/>
      <c r="C180" s="224"/>
      <c r="D180" s="224"/>
      <c r="E180" s="224"/>
      <c r="F180" s="224"/>
      <c r="G180" s="224"/>
      <c r="H180" s="224"/>
      <c r="I180" s="224"/>
      <c r="J180" s="224"/>
      <c r="K180" s="224"/>
      <c r="L180" s="224"/>
    </row>
    <row r="181" spans="2:12">
      <c r="B181" s="224"/>
      <c r="C181" s="224"/>
      <c r="D181" s="224"/>
      <c r="E181" s="224"/>
      <c r="F181" s="224"/>
      <c r="G181" s="224"/>
      <c r="H181" s="224"/>
      <c r="I181" s="224"/>
      <c r="J181" s="224"/>
      <c r="K181" s="224"/>
      <c r="L181" s="224"/>
    </row>
    <row r="182" spans="2:12">
      <c r="B182" s="224"/>
      <c r="C182" s="224"/>
      <c r="D182" s="224"/>
      <c r="E182" s="224"/>
      <c r="F182" s="224"/>
      <c r="G182" s="224"/>
      <c r="H182" s="224"/>
      <c r="I182" s="224"/>
      <c r="J182" s="224"/>
      <c r="K182" s="224"/>
      <c r="L182" s="224"/>
    </row>
    <row r="183" spans="2:12">
      <c r="B183" s="224"/>
      <c r="C183" s="224"/>
      <c r="D183" s="224"/>
      <c r="E183" s="224"/>
      <c r="F183" s="224"/>
      <c r="G183" s="224"/>
      <c r="H183" s="224"/>
      <c r="I183" s="224"/>
      <c r="J183" s="224"/>
      <c r="K183" s="224"/>
      <c r="L183" s="224"/>
    </row>
    <row r="184" spans="2:12">
      <c r="B184" s="224"/>
      <c r="C184" s="224"/>
      <c r="D184" s="224"/>
      <c r="E184" s="224"/>
      <c r="F184" s="224"/>
      <c r="G184" s="224"/>
      <c r="H184" s="224"/>
      <c r="I184" s="224"/>
      <c r="J184" s="224"/>
      <c r="K184" s="224"/>
      <c r="L184" s="224"/>
    </row>
    <row r="185" spans="2:12">
      <c r="B185" s="224"/>
      <c r="C185" s="224"/>
      <c r="D185" s="224"/>
      <c r="E185" s="224"/>
      <c r="F185" s="224"/>
      <c r="G185" s="224"/>
      <c r="H185" s="224"/>
      <c r="I185" s="224"/>
      <c r="J185" s="224"/>
      <c r="K185" s="224"/>
      <c r="L185" s="224"/>
    </row>
    <row r="186" spans="2:12">
      <c r="B186" s="224"/>
      <c r="C186" s="224"/>
      <c r="D186" s="224"/>
      <c r="E186" s="224"/>
      <c r="F186" s="224"/>
      <c r="G186" s="224"/>
      <c r="H186" s="224"/>
      <c r="I186" s="224"/>
      <c r="J186" s="224"/>
      <c r="K186" s="224"/>
      <c r="L186" s="224"/>
    </row>
    <row r="187" spans="2:12">
      <c r="B187" s="224"/>
      <c r="C187" s="224"/>
      <c r="D187" s="224"/>
      <c r="E187" s="224"/>
      <c r="F187" s="224"/>
      <c r="G187" s="224"/>
      <c r="H187" s="224"/>
      <c r="I187" s="224"/>
      <c r="J187" s="224"/>
      <c r="K187" s="224"/>
      <c r="L187" s="224"/>
    </row>
    <row r="188" spans="2:12">
      <c r="B188" s="224"/>
      <c r="C188" s="224"/>
      <c r="D188" s="224"/>
      <c r="E188" s="224"/>
      <c r="F188" s="224"/>
      <c r="G188" s="224"/>
      <c r="H188" s="224"/>
      <c r="I188" s="224"/>
      <c r="J188" s="224"/>
      <c r="K188" s="224"/>
      <c r="L188" s="224"/>
    </row>
    <row r="189" spans="2:12">
      <c r="B189" s="224"/>
      <c r="C189" s="224"/>
      <c r="D189" s="224"/>
      <c r="E189" s="224"/>
      <c r="F189" s="224"/>
      <c r="G189" s="224"/>
      <c r="H189" s="224"/>
      <c r="I189" s="224"/>
      <c r="J189" s="224"/>
      <c r="K189" s="224"/>
      <c r="L189" s="224"/>
    </row>
    <row r="190" spans="2:12">
      <c r="B190" s="224"/>
      <c r="C190" s="224"/>
      <c r="D190" s="224"/>
      <c r="E190" s="224"/>
      <c r="F190" s="224"/>
      <c r="G190" s="224"/>
      <c r="H190" s="224"/>
      <c r="I190" s="224"/>
      <c r="J190" s="224"/>
      <c r="K190" s="224"/>
      <c r="L190" s="224"/>
    </row>
    <row r="191" spans="2:12">
      <c r="B191" s="224"/>
      <c r="C191" s="224"/>
      <c r="D191" s="224"/>
      <c r="E191" s="224"/>
      <c r="F191" s="224"/>
      <c r="G191" s="224"/>
      <c r="H191" s="224"/>
      <c r="I191" s="224"/>
      <c r="J191" s="224"/>
      <c r="K191" s="224"/>
      <c r="L191" s="224"/>
    </row>
    <row r="192" spans="2:12">
      <c r="B192" s="224"/>
      <c r="C192" s="224"/>
      <c r="D192" s="224"/>
      <c r="E192" s="224"/>
      <c r="F192" s="224"/>
      <c r="G192" s="224"/>
      <c r="H192" s="224"/>
      <c r="I192" s="224"/>
      <c r="J192" s="224"/>
      <c r="K192" s="224"/>
      <c r="L192" s="224"/>
    </row>
    <row r="193" spans="2:12">
      <c r="B193" s="224"/>
      <c r="C193" s="224"/>
      <c r="D193" s="224"/>
      <c r="E193" s="224"/>
      <c r="F193" s="224"/>
      <c r="G193" s="224"/>
      <c r="H193" s="224"/>
      <c r="I193" s="224"/>
      <c r="J193" s="224"/>
      <c r="K193" s="224"/>
      <c r="L193" s="224"/>
    </row>
    <row r="194" spans="2:12">
      <c r="B194" s="224"/>
      <c r="C194" s="224"/>
      <c r="D194" s="224"/>
      <c r="E194" s="224"/>
      <c r="F194" s="224"/>
      <c r="G194" s="224"/>
      <c r="H194" s="224"/>
      <c r="I194" s="224"/>
      <c r="J194" s="224"/>
      <c r="K194" s="224"/>
      <c r="L194" s="224"/>
    </row>
    <row r="195" spans="2:12">
      <c r="B195" s="224"/>
      <c r="C195" s="224"/>
      <c r="D195" s="224"/>
      <c r="E195" s="224"/>
      <c r="F195" s="224"/>
      <c r="G195" s="224"/>
      <c r="H195" s="224"/>
      <c r="I195" s="224"/>
      <c r="J195" s="224"/>
      <c r="K195" s="224"/>
      <c r="L195" s="224"/>
    </row>
    <row r="196" spans="2:12">
      <c r="B196" s="224"/>
      <c r="C196" s="224"/>
      <c r="D196" s="224"/>
      <c r="E196" s="224"/>
      <c r="F196" s="224"/>
      <c r="G196" s="224"/>
      <c r="H196" s="224"/>
      <c r="I196" s="224"/>
      <c r="J196" s="224"/>
      <c r="K196" s="224"/>
      <c r="L196" s="224"/>
    </row>
    <row r="197" spans="2:12">
      <c r="B197" s="224"/>
      <c r="C197" s="224"/>
      <c r="D197" s="224"/>
      <c r="E197" s="224"/>
      <c r="F197" s="224"/>
      <c r="G197" s="224"/>
      <c r="H197" s="224"/>
      <c r="I197" s="224"/>
      <c r="J197" s="224"/>
      <c r="K197" s="224"/>
      <c r="L197" s="224"/>
    </row>
    <row r="198" spans="2:12">
      <c r="B198" s="224"/>
      <c r="C198" s="224"/>
      <c r="D198" s="224"/>
      <c r="E198" s="224"/>
      <c r="F198" s="224"/>
      <c r="G198" s="224"/>
      <c r="H198" s="224"/>
      <c r="I198" s="224"/>
      <c r="J198" s="224"/>
      <c r="K198" s="224"/>
      <c r="L198" s="224"/>
    </row>
    <row r="199" spans="2:12">
      <c r="B199" s="224"/>
      <c r="C199" s="224"/>
      <c r="D199" s="224"/>
      <c r="E199" s="224"/>
      <c r="F199" s="224"/>
      <c r="G199" s="224"/>
      <c r="H199" s="224"/>
      <c r="I199" s="224"/>
      <c r="J199" s="224"/>
      <c r="K199" s="224"/>
      <c r="L199" s="224"/>
    </row>
    <row r="200" spans="2:12">
      <c r="B200" s="224"/>
      <c r="C200" s="224"/>
      <c r="D200" s="224"/>
      <c r="E200" s="224"/>
      <c r="F200" s="224"/>
      <c r="G200" s="224"/>
      <c r="H200" s="224"/>
      <c r="I200" s="224"/>
      <c r="J200" s="224"/>
      <c r="K200" s="224"/>
      <c r="L200" s="224"/>
    </row>
    <row r="201" spans="2:12">
      <c r="B201" s="224"/>
      <c r="C201" s="224"/>
      <c r="D201" s="224"/>
      <c r="E201" s="224"/>
      <c r="F201" s="224"/>
      <c r="G201" s="224"/>
      <c r="H201" s="224"/>
      <c r="I201" s="224"/>
      <c r="J201" s="224"/>
      <c r="K201" s="224"/>
      <c r="L201" s="224"/>
    </row>
    <row r="202" spans="2:12">
      <c r="B202" s="224"/>
      <c r="C202" s="224"/>
      <c r="D202" s="224"/>
      <c r="E202" s="224"/>
      <c r="F202" s="224"/>
      <c r="G202" s="224"/>
      <c r="H202" s="224"/>
      <c r="I202" s="224"/>
      <c r="J202" s="224"/>
      <c r="K202" s="224"/>
      <c r="L202" s="224"/>
    </row>
    <row r="203" spans="2:12">
      <c r="B203" s="224"/>
      <c r="C203" s="224"/>
      <c r="D203" s="224"/>
      <c r="E203" s="224"/>
      <c r="F203" s="224"/>
      <c r="G203" s="224"/>
      <c r="H203" s="224"/>
      <c r="I203" s="224"/>
      <c r="J203" s="224"/>
      <c r="K203" s="224"/>
      <c r="L203" s="224"/>
    </row>
    <row r="204" spans="2:12">
      <c r="B204" s="224"/>
      <c r="C204" s="224"/>
      <c r="D204" s="224"/>
      <c r="E204" s="224"/>
      <c r="F204" s="224"/>
      <c r="G204" s="224"/>
      <c r="H204" s="224"/>
      <c r="I204" s="224"/>
      <c r="J204" s="224"/>
      <c r="K204" s="224"/>
      <c r="L204" s="224"/>
    </row>
    <row r="205" spans="2:12">
      <c r="B205" s="224"/>
      <c r="C205" s="224"/>
      <c r="D205" s="224"/>
      <c r="E205" s="224"/>
      <c r="F205" s="224"/>
      <c r="G205" s="224"/>
      <c r="H205" s="224"/>
      <c r="I205" s="224"/>
      <c r="J205" s="224"/>
      <c r="K205" s="224"/>
      <c r="L205" s="224"/>
    </row>
    <row r="206" spans="2:12">
      <c r="B206" s="224"/>
      <c r="C206" s="224"/>
      <c r="D206" s="224"/>
      <c r="E206" s="224"/>
      <c r="F206" s="224"/>
      <c r="G206" s="224"/>
      <c r="H206" s="224"/>
      <c r="I206" s="224"/>
      <c r="J206" s="224"/>
      <c r="K206" s="224"/>
      <c r="L206" s="224"/>
    </row>
    <row r="207" spans="2:12">
      <c r="B207" s="224"/>
      <c r="C207" s="224"/>
      <c r="D207" s="224"/>
      <c r="E207" s="224"/>
      <c r="F207" s="224"/>
      <c r="G207" s="224"/>
      <c r="H207" s="224"/>
      <c r="I207" s="224"/>
      <c r="J207" s="224"/>
      <c r="K207" s="224"/>
      <c r="L207" s="224"/>
    </row>
    <row r="208" spans="2:12">
      <c r="B208" s="224"/>
      <c r="C208" s="224"/>
      <c r="D208" s="224"/>
      <c r="E208" s="224"/>
      <c r="F208" s="224"/>
      <c r="G208" s="224"/>
      <c r="H208" s="224"/>
      <c r="I208" s="224"/>
      <c r="J208" s="224"/>
      <c r="K208" s="224"/>
      <c r="L208" s="224"/>
    </row>
    <row r="209" spans="2:12">
      <c r="B209" s="224"/>
      <c r="C209" s="224"/>
      <c r="D209" s="224"/>
      <c r="E209" s="224"/>
      <c r="F209" s="224"/>
      <c r="G209" s="224"/>
      <c r="H209" s="224"/>
      <c r="I209" s="224"/>
      <c r="J209" s="224"/>
      <c r="K209" s="224"/>
      <c r="L209" s="224"/>
    </row>
    <row r="210" spans="2:12">
      <c r="B210" s="224"/>
      <c r="C210" s="224"/>
      <c r="D210" s="224"/>
      <c r="E210" s="224"/>
      <c r="F210" s="224"/>
      <c r="G210" s="224"/>
      <c r="H210" s="224"/>
      <c r="I210" s="224"/>
      <c r="J210" s="224"/>
      <c r="K210" s="224"/>
      <c r="L210" s="224"/>
    </row>
    <row r="211" spans="2:12">
      <c r="B211" s="224"/>
      <c r="C211" s="224"/>
      <c r="D211" s="224"/>
      <c r="E211" s="224"/>
      <c r="F211" s="224"/>
      <c r="G211" s="224"/>
      <c r="H211" s="224"/>
      <c r="I211" s="224"/>
      <c r="J211" s="224"/>
      <c r="K211" s="224"/>
      <c r="L211" s="224"/>
    </row>
    <row r="212" spans="2:12">
      <c r="B212" s="224"/>
      <c r="C212" s="224"/>
      <c r="D212" s="224"/>
      <c r="E212" s="224"/>
      <c r="F212" s="224"/>
      <c r="G212" s="224"/>
      <c r="H212" s="224"/>
      <c r="I212" s="224"/>
      <c r="J212" s="224"/>
      <c r="K212" s="224"/>
      <c r="L212" s="224"/>
    </row>
    <row r="213" spans="2:12">
      <c r="B213" s="224"/>
      <c r="C213" s="224"/>
      <c r="D213" s="224"/>
      <c r="E213" s="224"/>
      <c r="F213" s="224"/>
      <c r="G213" s="224"/>
      <c r="H213" s="224"/>
      <c r="I213" s="224"/>
      <c r="J213" s="224"/>
      <c r="K213" s="224"/>
      <c r="L213" s="224"/>
    </row>
    <row r="214" spans="2:12">
      <c r="B214" s="224"/>
      <c r="C214" s="224"/>
      <c r="D214" s="224"/>
      <c r="E214" s="224"/>
      <c r="F214" s="224"/>
      <c r="G214" s="224"/>
      <c r="H214" s="224"/>
      <c r="I214" s="224"/>
      <c r="J214" s="224"/>
      <c r="K214" s="224"/>
      <c r="L214" s="224"/>
    </row>
    <row r="215" spans="2:12">
      <c r="B215" s="224"/>
      <c r="C215" s="224"/>
      <c r="D215" s="224"/>
      <c r="E215" s="224"/>
      <c r="F215" s="224"/>
      <c r="G215" s="224"/>
      <c r="H215" s="224"/>
      <c r="I215" s="224"/>
      <c r="J215" s="224"/>
      <c r="K215" s="224"/>
      <c r="L215" s="224"/>
    </row>
    <row r="216" spans="2:12">
      <c r="B216" s="224"/>
      <c r="C216" s="224"/>
      <c r="D216" s="224"/>
      <c r="E216" s="224"/>
      <c r="F216" s="224"/>
      <c r="G216" s="224"/>
      <c r="H216" s="224"/>
      <c r="I216" s="224"/>
      <c r="J216" s="224"/>
      <c r="K216" s="224"/>
      <c r="L216" s="224"/>
    </row>
    <row r="217" spans="2:12">
      <c r="B217" s="224"/>
      <c r="C217" s="224"/>
      <c r="D217" s="224"/>
      <c r="E217" s="224"/>
      <c r="F217" s="224"/>
      <c r="G217" s="224"/>
      <c r="H217" s="224"/>
      <c r="I217" s="224"/>
      <c r="J217" s="224"/>
      <c r="K217" s="224"/>
      <c r="L217" s="224"/>
    </row>
    <row r="218" spans="2:12">
      <c r="B218" s="224"/>
      <c r="C218" s="224"/>
      <c r="D218" s="224"/>
      <c r="E218" s="224"/>
      <c r="F218" s="224"/>
      <c r="G218" s="224"/>
      <c r="H218" s="224"/>
      <c r="I218" s="224"/>
      <c r="J218" s="224"/>
      <c r="K218" s="224"/>
      <c r="L218" s="224"/>
    </row>
    <row r="219" spans="2:12">
      <c r="B219" s="224"/>
      <c r="C219" s="224"/>
      <c r="D219" s="224"/>
      <c r="E219" s="224"/>
      <c r="F219" s="224"/>
      <c r="G219" s="224"/>
      <c r="H219" s="224"/>
      <c r="I219" s="224"/>
      <c r="J219" s="224"/>
      <c r="K219" s="224"/>
      <c r="L219" s="224"/>
    </row>
    <row r="220" spans="2:12">
      <c r="B220" s="224"/>
      <c r="C220" s="224"/>
      <c r="D220" s="224"/>
      <c r="E220" s="224"/>
      <c r="F220" s="224"/>
      <c r="G220" s="224"/>
      <c r="H220" s="224"/>
      <c r="I220" s="224"/>
      <c r="J220" s="224"/>
      <c r="K220" s="224"/>
      <c r="L220" s="224"/>
    </row>
    <row r="221" spans="2:12">
      <c r="B221" s="224"/>
      <c r="C221" s="224"/>
      <c r="D221" s="224"/>
      <c r="E221" s="224"/>
      <c r="F221" s="224"/>
      <c r="G221" s="224"/>
      <c r="H221" s="224"/>
      <c r="I221" s="224"/>
      <c r="J221" s="224"/>
      <c r="K221" s="224"/>
      <c r="L221" s="224"/>
    </row>
    <row r="222" spans="2:12">
      <c r="B222" s="224"/>
      <c r="C222" s="224"/>
      <c r="D222" s="224"/>
      <c r="E222" s="224"/>
      <c r="F222" s="224"/>
      <c r="G222" s="224"/>
      <c r="H222" s="224"/>
      <c r="I222" s="224"/>
      <c r="J222" s="224"/>
      <c r="K222" s="224"/>
      <c r="L222" s="224"/>
    </row>
    <row r="223" spans="2:12">
      <c r="B223" s="224"/>
      <c r="C223" s="224"/>
      <c r="D223" s="224"/>
      <c r="E223" s="224"/>
      <c r="F223" s="224"/>
      <c r="G223" s="224"/>
      <c r="H223" s="224"/>
      <c r="I223" s="224"/>
      <c r="J223" s="224"/>
      <c r="K223" s="224"/>
      <c r="L223" s="224"/>
    </row>
    <row r="224" spans="2:12">
      <c r="B224" s="224"/>
      <c r="C224" s="224"/>
      <c r="D224" s="224"/>
      <c r="E224" s="224"/>
      <c r="F224" s="224"/>
      <c r="G224" s="224"/>
      <c r="H224" s="224"/>
      <c r="I224" s="224"/>
      <c r="J224" s="224"/>
      <c r="K224" s="224"/>
      <c r="L224" s="224"/>
    </row>
    <row r="225" spans="2:12">
      <c r="B225" s="224"/>
      <c r="C225" s="224"/>
      <c r="D225" s="224"/>
      <c r="E225" s="224"/>
      <c r="F225" s="224"/>
      <c r="G225" s="224"/>
      <c r="H225" s="224"/>
      <c r="I225" s="224"/>
      <c r="J225" s="224"/>
      <c r="K225" s="224"/>
      <c r="L225" s="224"/>
    </row>
    <row r="226" spans="2:12">
      <c r="B226" s="224"/>
      <c r="C226" s="224"/>
      <c r="D226" s="224"/>
      <c r="E226" s="224"/>
      <c r="F226" s="224"/>
      <c r="G226" s="224"/>
      <c r="H226" s="224"/>
      <c r="I226" s="224"/>
      <c r="J226" s="224"/>
      <c r="K226" s="224"/>
      <c r="L226" s="224"/>
    </row>
    <row r="227" spans="2:12">
      <c r="B227" s="224"/>
      <c r="C227" s="224"/>
      <c r="D227" s="224"/>
      <c r="E227" s="224"/>
      <c r="F227" s="224"/>
      <c r="G227" s="224"/>
      <c r="H227" s="224"/>
      <c r="I227" s="224"/>
      <c r="J227" s="224"/>
      <c r="K227" s="224"/>
      <c r="L227" s="224"/>
    </row>
    <row r="228" spans="2:12">
      <c r="B228" s="224"/>
      <c r="C228" s="224"/>
      <c r="D228" s="224"/>
      <c r="E228" s="224"/>
      <c r="F228" s="224"/>
      <c r="G228" s="224"/>
      <c r="H228" s="224"/>
      <c r="I228" s="224"/>
      <c r="J228" s="224"/>
      <c r="K228" s="224"/>
      <c r="L228" s="224"/>
    </row>
    <row r="229" spans="2:12">
      <c r="B229" s="224"/>
      <c r="C229" s="224"/>
      <c r="D229" s="224"/>
      <c r="E229" s="224"/>
      <c r="F229" s="224"/>
      <c r="G229" s="224"/>
      <c r="H229" s="224"/>
      <c r="I229" s="224"/>
      <c r="J229" s="224"/>
      <c r="K229" s="224"/>
      <c r="L229" s="224"/>
    </row>
    <row r="230" spans="2:12">
      <c r="B230" s="224"/>
      <c r="C230" s="224"/>
      <c r="D230" s="224"/>
      <c r="E230" s="224"/>
      <c r="F230" s="224"/>
      <c r="G230" s="224"/>
      <c r="H230" s="224"/>
      <c r="I230" s="224"/>
      <c r="J230" s="224"/>
      <c r="K230" s="224"/>
      <c r="L230" s="224"/>
    </row>
    <row r="231" spans="2:12">
      <c r="B231" s="224"/>
      <c r="C231" s="224"/>
      <c r="D231" s="224"/>
      <c r="E231" s="224"/>
      <c r="F231" s="224"/>
      <c r="G231" s="224"/>
      <c r="H231" s="224"/>
      <c r="I231" s="224"/>
      <c r="J231" s="224"/>
      <c r="K231" s="224"/>
      <c r="L231" s="224"/>
    </row>
    <row r="232" spans="2:12">
      <c r="B232" s="224"/>
      <c r="C232" s="224"/>
      <c r="D232" s="224"/>
      <c r="E232" s="224"/>
      <c r="F232" s="224"/>
      <c r="G232" s="224"/>
      <c r="H232" s="224"/>
      <c r="I232" s="224"/>
      <c r="J232" s="224"/>
      <c r="K232" s="224"/>
      <c r="L232" s="224"/>
    </row>
    <row r="233" spans="2:12">
      <c r="B233" s="224"/>
      <c r="C233" s="224"/>
      <c r="D233" s="224"/>
      <c r="E233" s="224"/>
      <c r="F233" s="224"/>
      <c r="G233" s="224"/>
      <c r="H233" s="224"/>
      <c r="I233" s="224"/>
      <c r="J233" s="224"/>
      <c r="K233" s="224"/>
      <c r="L233" s="224"/>
    </row>
    <row r="234" spans="2:12">
      <c r="B234" s="224"/>
      <c r="C234" s="224"/>
      <c r="D234" s="224"/>
      <c r="E234" s="224"/>
      <c r="F234" s="224"/>
      <c r="G234" s="224"/>
      <c r="H234" s="224"/>
      <c r="I234" s="224"/>
      <c r="J234" s="224"/>
      <c r="K234" s="224"/>
      <c r="L234" s="224"/>
    </row>
    <row r="235" spans="2:12">
      <c r="B235" s="224"/>
      <c r="C235" s="224"/>
      <c r="D235" s="224"/>
      <c r="E235" s="224"/>
      <c r="F235" s="224"/>
      <c r="G235" s="224"/>
      <c r="H235" s="224"/>
      <c r="I235" s="224"/>
      <c r="J235" s="224"/>
      <c r="K235" s="224"/>
      <c r="L235" s="224"/>
    </row>
    <row r="236" spans="2:12">
      <c r="B236" s="224"/>
      <c r="C236" s="224"/>
      <c r="D236" s="224"/>
      <c r="E236" s="224"/>
      <c r="F236" s="224"/>
      <c r="G236" s="224"/>
      <c r="H236" s="224"/>
      <c r="I236" s="224"/>
      <c r="J236" s="224"/>
      <c r="K236" s="224"/>
      <c r="L236" s="224"/>
    </row>
    <row r="237" spans="2:12">
      <c r="B237" s="224"/>
      <c r="C237" s="224"/>
      <c r="D237" s="224"/>
      <c r="E237" s="224"/>
      <c r="F237" s="224"/>
      <c r="G237" s="224"/>
      <c r="H237" s="224"/>
      <c r="I237" s="224"/>
      <c r="J237" s="224"/>
      <c r="K237" s="224"/>
      <c r="L237" s="224"/>
    </row>
    <row r="238" spans="2:12">
      <c r="B238" s="224"/>
      <c r="C238" s="224"/>
      <c r="D238" s="224"/>
      <c r="E238" s="224"/>
      <c r="F238" s="224"/>
      <c r="G238" s="224"/>
      <c r="H238" s="224"/>
      <c r="I238" s="224"/>
      <c r="J238" s="224"/>
      <c r="K238" s="224"/>
      <c r="L238" s="224"/>
    </row>
    <row r="239" spans="2:12">
      <c r="B239" s="224"/>
      <c r="C239" s="224"/>
      <c r="D239" s="224"/>
      <c r="E239" s="224"/>
      <c r="F239" s="224"/>
      <c r="G239" s="224"/>
      <c r="H239" s="224"/>
      <c r="I239" s="224"/>
      <c r="J239" s="224"/>
      <c r="K239" s="224"/>
      <c r="L239" s="224"/>
    </row>
    <row r="240" spans="2:12">
      <c r="B240" s="224"/>
      <c r="C240" s="224"/>
      <c r="D240" s="224"/>
      <c r="E240" s="224"/>
      <c r="F240" s="224"/>
      <c r="G240" s="224"/>
      <c r="H240" s="224"/>
      <c r="I240" s="224"/>
      <c r="J240" s="224"/>
      <c r="K240" s="224"/>
      <c r="L240" s="224"/>
    </row>
    <row r="241" spans="2:12">
      <c r="B241" s="224"/>
      <c r="C241" s="224"/>
      <c r="D241" s="224"/>
      <c r="E241" s="224"/>
      <c r="F241" s="224"/>
      <c r="G241" s="224"/>
      <c r="H241" s="224"/>
      <c r="I241" s="224"/>
      <c r="J241" s="224"/>
      <c r="K241" s="224"/>
      <c r="L241" s="224"/>
    </row>
    <row r="242" spans="2:12">
      <c r="B242" s="224"/>
      <c r="C242" s="224"/>
      <c r="D242" s="224"/>
      <c r="E242" s="224"/>
      <c r="F242" s="224"/>
      <c r="G242" s="224"/>
      <c r="H242" s="224"/>
      <c r="I242" s="224"/>
      <c r="J242" s="224"/>
      <c r="K242" s="224"/>
      <c r="L242" s="224"/>
    </row>
    <row r="243" spans="2:12">
      <c r="B243" s="224"/>
      <c r="C243" s="224"/>
      <c r="D243" s="224"/>
      <c r="E243" s="224"/>
      <c r="F243" s="224"/>
      <c r="G243" s="224"/>
      <c r="H243" s="224"/>
      <c r="I243" s="224"/>
      <c r="J243" s="224"/>
      <c r="K243" s="224"/>
      <c r="L243" s="224"/>
    </row>
    <row r="244" spans="2:12">
      <c r="B244" s="224"/>
      <c r="C244" s="224"/>
      <c r="D244" s="224"/>
      <c r="E244" s="224"/>
      <c r="F244" s="224"/>
      <c r="G244" s="224"/>
      <c r="H244" s="224"/>
      <c r="I244" s="224"/>
      <c r="J244" s="224"/>
      <c r="K244" s="224"/>
      <c r="L244" s="224"/>
    </row>
    <row r="245" spans="2:12">
      <c r="B245" s="224"/>
      <c r="C245" s="224"/>
      <c r="D245" s="224"/>
      <c r="E245" s="224"/>
      <c r="F245" s="224"/>
      <c r="G245" s="224"/>
      <c r="H245" s="224"/>
      <c r="I245" s="224"/>
      <c r="J245" s="224"/>
      <c r="K245" s="224"/>
      <c r="L245" s="224"/>
    </row>
    <row r="246" spans="2:12">
      <c r="B246" s="224"/>
      <c r="C246" s="224"/>
      <c r="D246" s="224"/>
      <c r="E246" s="224"/>
      <c r="F246" s="224"/>
      <c r="G246" s="224"/>
      <c r="H246" s="224"/>
      <c r="I246" s="224"/>
      <c r="J246" s="224"/>
      <c r="K246" s="224"/>
      <c r="L246" s="224"/>
    </row>
    <row r="247" spans="2:12">
      <c r="B247" s="224"/>
      <c r="C247" s="224"/>
      <c r="D247" s="224"/>
      <c r="E247" s="224"/>
      <c r="F247" s="224"/>
      <c r="G247" s="224"/>
      <c r="H247" s="224"/>
      <c r="I247" s="224"/>
      <c r="J247" s="224"/>
      <c r="K247" s="224"/>
      <c r="L247" s="224"/>
    </row>
    <row r="248" spans="2:12">
      <c r="B248" s="224"/>
      <c r="C248" s="224"/>
      <c r="D248" s="224"/>
      <c r="E248" s="224"/>
      <c r="F248" s="224"/>
      <c r="G248" s="224"/>
      <c r="H248" s="224"/>
      <c r="I248" s="224"/>
      <c r="J248" s="224"/>
      <c r="K248" s="224"/>
      <c r="L248" s="224"/>
    </row>
    <row r="249" spans="2:12">
      <c r="B249" s="224"/>
      <c r="C249" s="224"/>
      <c r="D249" s="224"/>
      <c r="E249" s="224"/>
      <c r="F249" s="224"/>
      <c r="G249" s="224"/>
      <c r="H249" s="224"/>
      <c r="I249" s="224"/>
      <c r="J249" s="224"/>
      <c r="K249" s="224"/>
      <c r="L249" s="224"/>
    </row>
    <row r="250" spans="2:12">
      <c r="B250" s="224"/>
      <c r="C250" s="224"/>
      <c r="D250" s="224"/>
      <c r="E250" s="224"/>
      <c r="F250" s="224"/>
      <c r="G250" s="224"/>
      <c r="H250" s="224"/>
      <c r="I250" s="224"/>
      <c r="J250" s="224"/>
      <c r="K250" s="224"/>
      <c r="L250" s="224"/>
    </row>
  </sheetData>
  <mergeCells count="12">
    <mergeCell ref="A55:J55"/>
    <mergeCell ref="A56:J56"/>
    <mergeCell ref="A35:C35"/>
    <mergeCell ref="A17:D17"/>
    <mergeCell ref="E17:J17"/>
    <mergeCell ref="A38:J38"/>
    <mergeCell ref="E35:J35"/>
    <mergeCell ref="A5:A6"/>
    <mergeCell ref="A2:J2"/>
    <mergeCell ref="A4:J4"/>
    <mergeCell ref="A15:J15"/>
    <mergeCell ref="A13:J13"/>
  </mergeCells>
  <pageMargins left="0.70866141732283472" right="0.70866141732283472" top="1.4311417322834645" bottom="0.62992125984251968" header="0.31496062992125984" footer="0.31496062992125984"/>
  <pageSetup paperSize="9" scale="95" orientation="portrait" r:id="rId1"/>
  <headerFooter>
    <oddHeader>&amp;R&amp;7Informe de la Operación Mensual - Enero 2019
INFSGI-MES-01-2019
13/02/2019
Versión: 01</oddHeader>
    <oddFooter>&amp;L&amp;7COES, 2019&amp;C17&amp;R&amp;7Dirección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3:L56"/>
  <sheetViews>
    <sheetView showGridLines="0" view="pageBreakPreview" zoomScale="130" zoomScaleNormal="130" zoomScaleSheetLayoutView="130" zoomScalePageLayoutView="130" workbookViewId="0">
      <selection activeCell="M24" sqref="M24"/>
    </sheetView>
  </sheetViews>
  <sheetFormatPr defaultColWidth="9.33203125" defaultRowHeight="11.25"/>
  <cols>
    <col min="8" max="10" width="11.1640625" customWidth="1"/>
    <col min="11" max="11" width="12.5" customWidth="1"/>
    <col min="12" max="12" width="9.33203125" customWidth="1"/>
  </cols>
  <sheetData>
    <row r="3" spans="1:12">
      <c r="A3" s="799" t="s">
        <v>0</v>
      </c>
      <c r="B3" s="799"/>
      <c r="C3" s="799"/>
      <c r="D3" s="799"/>
      <c r="E3" s="799"/>
      <c r="F3" s="799"/>
      <c r="G3" s="799"/>
      <c r="H3" s="799"/>
      <c r="I3" s="799"/>
      <c r="J3" s="799"/>
      <c r="K3" s="799"/>
      <c r="L3" s="799"/>
    </row>
    <row r="4" spans="1:12">
      <c r="A4" s="799"/>
      <c r="B4" s="799"/>
      <c r="C4" s="799"/>
      <c r="D4" s="799"/>
      <c r="E4" s="799"/>
      <c r="F4" s="799"/>
      <c r="G4" s="799"/>
      <c r="H4" s="799"/>
      <c r="I4" s="799"/>
      <c r="J4" s="799"/>
      <c r="K4" s="799"/>
      <c r="L4" s="799"/>
    </row>
    <row r="5" spans="1:12" ht="12">
      <c r="A5" s="3"/>
      <c r="B5" s="225"/>
      <c r="C5" s="2"/>
      <c r="D5" s="2"/>
      <c r="E5" s="37"/>
      <c r="F5" s="2"/>
      <c r="G5" s="2"/>
      <c r="H5" s="2"/>
      <c r="I5" s="2"/>
      <c r="J5" s="2"/>
      <c r="K5" s="2"/>
      <c r="L5" s="8" t="s">
        <v>1</v>
      </c>
    </row>
    <row r="6" spans="1:12" ht="12">
      <c r="A6" s="3"/>
      <c r="B6" s="225"/>
      <c r="C6" s="2"/>
      <c r="D6" s="2"/>
      <c r="E6" s="37"/>
      <c r="F6" s="2"/>
      <c r="G6" s="2"/>
      <c r="H6" s="2"/>
      <c r="I6" s="2"/>
      <c r="J6" s="2"/>
      <c r="K6" s="2"/>
      <c r="L6" s="5"/>
    </row>
    <row r="7" spans="1:12" ht="19.5" customHeight="1">
      <c r="A7" s="20" t="s">
        <v>491</v>
      </c>
      <c r="B7" s="226"/>
      <c r="C7" s="25"/>
      <c r="D7" s="25"/>
      <c r="E7" s="25"/>
      <c r="F7" s="25"/>
      <c r="G7" s="25"/>
      <c r="H7" s="25"/>
      <c r="I7" s="25"/>
      <c r="J7" s="25"/>
      <c r="K7" s="25"/>
      <c r="L7" s="25"/>
    </row>
    <row r="8" spans="1:12" ht="17.25" customHeight="1">
      <c r="A8" s="25"/>
      <c r="B8" s="25" t="s">
        <v>631</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836</v>
      </c>
      <c r="B10" s="226"/>
      <c r="C10" s="25"/>
      <c r="D10" s="25"/>
      <c r="E10" s="25"/>
      <c r="F10" s="25"/>
      <c r="G10" s="25"/>
      <c r="H10" s="25"/>
      <c r="I10" s="25"/>
      <c r="J10" s="25"/>
      <c r="K10" s="25"/>
      <c r="L10" s="22"/>
    </row>
    <row r="11" spans="1:12" ht="19.5" customHeight="1">
      <c r="A11" s="27"/>
      <c r="B11" s="25" t="s">
        <v>243</v>
      </c>
      <c r="C11" s="25"/>
      <c r="D11" s="25"/>
      <c r="E11" s="25"/>
      <c r="F11" s="21"/>
      <c r="G11" s="21"/>
      <c r="H11" s="21"/>
      <c r="I11" s="21"/>
      <c r="J11" s="21"/>
      <c r="K11" s="21"/>
      <c r="L11" s="22" t="s">
        <v>2</v>
      </c>
    </row>
    <row r="12" spans="1:12" ht="19.5" customHeight="1">
      <c r="A12" s="27"/>
      <c r="B12" s="25" t="s">
        <v>466</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481</v>
      </c>
      <c r="B14" s="25"/>
      <c r="C14" s="25"/>
      <c r="D14" s="25"/>
      <c r="E14" s="25"/>
      <c r="F14" s="25"/>
      <c r="G14" s="25"/>
      <c r="H14" s="25"/>
      <c r="I14" s="25"/>
      <c r="J14" s="25"/>
      <c r="K14" s="25"/>
      <c r="L14" s="22"/>
    </row>
    <row r="15" spans="1:12" ht="19.5" customHeight="1">
      <c r="A15" s="27"/>
      <c r="B15" s="25" t="s">
        <v>455</v>
      </c>
      <c r="C15" s="25"/>
      <c r="D15" s="25"/>
      <c r="E15" s="25"/>
      <c r="F15" s="21"/>
      <c r="G15" s="21"/>
      <c r="H15" s="21"/>
      <c r="I15" s="21"/>
      <c r="J15" s="21"/>
      <c r="K15" s="21"/>
      <c r="L15" s="22" t="s">
        <v>3</v>
      </c>
    </row>
    <row r="16" spans="1:12" ht="19.5" customHeight="1">
      <c r="A16" s="27"/>
      <c r="B16" s="25" t="s">
        <v>464</v>
      </c>
      <c r="C16" s="25"/>
      <c r="D16" s="25"/>
      <c r="E16" s="25"/>
      <c r="F16" s="25"/>
      <c r="G16" s="21"/>
      <c r="H16" s="21"/>
      <c r="I16" s="21"/>
      <c r="J16" s="21"/>
      <c r="K16" s="21"/>
      <c r="L16" s="22" t="s">
        <v>4</v>
      </c>
    </row>
    <row r="17" spans="1:12" ht="19.5" customHeight="1">
      <c r="A17" s="27"/>
      <c r="B17" s="25" t="s">
        <v>456</v>
      </c>
      <c r="C17" s="25"/>
      <c r="D17" s="25"/>
      <c r="E17" s="25"/>
      <c r="F17" s="25"/>
      <c r="G17" s="21"/>
      <c r="H17" s="21"/>
      <c r="I17" s="21"/>
      <c r="J17" s="21"/>
      <c r="K17" s="21"/>
      <c r="L17" s="22" t="s">
        <v>5</v>
      </c>
    </row>
    <row r="18" spans="1:12" ht="19.5" customHeight="1">
      <c r="A18" s="27"/>
      <c r="B18" s="25" t="s">
        <v>457</v>
      </c>
      <c r="C18" s="25"/>
      <c r="D18" s="25"/>
      <c r="E18" s="25"/>
      <c r="F18" s="21"/>
      <c r="G18" s="21"/>
      <c r="H18" s="21"/>
      <c r="I18" s="21"/>
      <c r="J18" s="21"/>
      <c r="K18" s="21"/>
      <c r="L18" s="22" t="s">
        <v>6</v>
      </c>
    </row>
    <row r="19" spans="1:12" ht="19.5" customHeight="1">
      <c r="A19" s="27"/>
      <c r="B19" s="25" t="s">
        <v>458</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480</v>
      </c>
      <c r="B21" s="25"/>
      <c r="C21" s="25"/>
      <c r="D21" s="25"/>
      <c r="E21" s="25"/>
      <c r="F21" s="25"/>
      <c r="G21" s="25"/>
      <c r="H21" s="25"/>
      <c r="I21" s="25"/>
      <c r="J21" s="25"/>
      <c r="K21" s="25"/>
      <c r="L21" s="30"/>
    </row>
    <row r="22" spans="1:12" ht="19.5" customHeight="1">
      <c r="A22" s="25"/>
      <c r="B22" s="25" t="s">
        <v>482</v>
      </c>
      <c r="C22" s="25"/>
      <c r="D22" s="25"/>
      <c r="E22" s="25"/>
      <c r="F22" s="25"/>
      <c r="G22" s="21"/>
      <c r="H22" s="21"/>
      <c r="I22" s="21"/>
      <c r="J22" s="21"/>
      <c r="K22" s="21"/>
      <c r="L22" s="22" t="s">
        <v>9</v>
      </c>
    </row>
    <row r="23" spans="1:12" ht="19.5" customHeight="1">
      <c r="A23" s="31"/>
      <c r="B23" s="25" t="s">
        <v>483</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279</v>
      </c>
      <c r="B25" s="25"/>
      <c r="C25" s="25"/>
      <c r="D25" s="25"/>
      <c r="E25" s="25"/>
      <c r="F25" s="25"/>
      <c r="G25" s="25"/>
      <c r="H25" s="25"/>
      <c r="I25" s="25"/>
      <c r="J25" s="25"/>
      <c r="K25" s="25"/>
      <c r="L25" s="30"/>
    </row>
    <row r="26" spans="1:12" ht="19.5" customHeight="1">
      <c r="A26" s="25"/>
      <c r="B26" s="25" t="s">
        <v>485</v>
      </c>
      <c r="C26" s="25"/>
      <c r="D26" s="25"/>
      <c r="E26" s="25"/>
      <c r="F26" s="21"/>
      <c r="G26" s="21"/>
      <c r="H26" s="21"/>
      <c r="I26" s="21"/>
      <c r="J26" s="21"/>
      <c r="K26" s="33"/>
      <c r="L26" s="22" t="s">
        <v>11</v>
      </c>
    </row>
    <row r="27" spans="1:12" ht="19.5" customHeight="1">
      <c r="A27" s="25"/>
      <c r="B27" s="25" t="s">
        <v>459</v>
      </c>
      <c r="C27" s="25"/>
      <c r="D27" s="25"/>
      <c r="E27" s="25"/>
      <c r="F27" s="25"/>
      <c r="G27" s="21"/>
      <c r="H27" s="21"/>
      <c r="I27" s="21"/>
      <c r="J27" s="21"/>
      <c r="K27" s="33"/>
      <c r="L27" s="22" t="s">
        <v>11</v>
      </c>
    </row>
    <row r="28" spans="1:12" ht="19.5" customHeight="1">
      <c r="A28" s="31"/>
      <c r="B28" s="25" t="s">
        <v>484</v>
      </c>
      <c r="C28" s="25"/>
      <c r="D28" s="25"/>
      <c r="E28" s="25"/>
      <c r="F28" s="21"/>
      <c r="G28" s="21"/>
      <c r="H28" s="33"/>
      <c r="I28" s="33"/>
      <c r="J28" s="33"/>
      <c r="K28" s="33"/>
      <c r="L28" s="22" t="s">
        <v>12</v>
      </c>
    </row>
    <row r="29" spans="1:12" ht="19.5" customHeight="1">
      <c r="A29" s="31"/>
      <c r="B29" s="25" t="s">
        <v>465</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472</v>
      </c>
      <c r="B31" s="25"/>
      <c r="C31" s="25"/>
      <c r="D31" s="25"/>
      <c r="E31" s="25"/>
      <c r="F31" s="25"/>
      <c r="G31" s="25"/>
      <c r="H31" s="25"/>
      <c r="I31" s="25"/>
      <c r="J31" s="25"/>
      <c r="K31" s="25"/>
      <c r="L31" s="22"/>
    </row>
    <row r="32" spans="1:12" ht="19.5" customHeight="1">
      <c r="A32" s="31"/>
      <c r="B32" s="25" t="s">
        <v>486</v>
      </c>
      <c r="C32" s="25"/>
      <c r="D32" s="25"/>
      <c r="E32" s="25"/>
      <c r="F32" s="25"/>
      <c r="G32" s="21"/>
      <c r="H32" s="21"/>
      <c r="I32" s="21"/>
      <c r="J32" s="21"/>
      <c r="K32" s="21"/>
      <c r="L32" s="22" t="s">
        <v>13</v>
      </c>
    </row>
    <row r="33" spans="1:12" ht="19.5" customHeight="1">
      <c r="A33" s="31"/>
      <c r="B33" s="25" t="s">
        <v>460</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461</v>
      </c>
      <c r="B35" s="26"/>
      <c r="C35" s="32"/>
      <c r="D35" s="26"/>
      <c r="E35" s="26"/>
      <c r="F35" s="26"/>
      <c r="G35" s="26"/>
      <c r="H35" s="26"/>
      <c r="I35" s="26"/>
      <c r="J35" s="26"/>
      <c r="K35" s="26"/>
      <c r="L35" s="22"/>
    </row>
    <row r="36" spans="1:12" ht="19.5" customHeight="1">
      <c r="A36" s="27"/>
      <c r="B36" s="25" t="s">
        <v>487</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462</v>
      </c>
      <c r="B38" s="35"/>
      <c r="C38" s="25"/>
      <c r="D38" s="25"/>
      <c r="E38" s="25"/>
      <c r="F38" s="25"/>
      <c r="G38" s="25"/>
      <c r="H38" s="25"/>
      <c r="I38" s="25"/>
      <c r="J38" s="25"/>
      <c r="K38" s="25"/>
      <c r="L38" s="38"/>
    </row>
    <row r="39" spans="1:12" ht="19.5" customHeight="1">
      <c r="A39" s="27"/>
      <c r="B39" s="25" t="s">
        <v>463</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219</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488</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2">
      <c r="A47" s="11"/>
      <c r="B47" s="11"/>
      <c r="C47" s="11"/>
      <c r="D47" s="11"/>
      <c r="E47" s="11"/>
      <c r="F47" s="11"/>
      <c r="G47" s="11"/>
      <c r="H47" s="11"/>
      <c r="I47" s="11"/>
      <c r="J47" s="11"/>
      <c r="K47" s="11"/>
      <c r="L47" s="11"/>
    </row>
    <row r="48" spans="1:12" ht="12">
      <c r="A48" s="11"/>
      <c r="B48" s="11"/>
      <c r="C48" s="11"/>
      <c r="D48" s="11"/>
      <c r="E48" s="11"/>
      <c r="F48" s="11"/>
      <c r="G48" s="11"/>
      <c r="H48" s="11"/>
      <c r="I48" s="11"/>
      <c r="J48" s="11"/>
      <c r="K48" s="11"/>
      <c r="L48" s="11"/>
    </row>
    <row r="49" spans="1:12" ht="12">
      <c r="A49" s="11"/>
      <c r="B49" s="11"/>
      <c r="C49" s="11"/>
      <c r="D49" s="11"/>
      <c r="E49" s="11"/>
      <c r="F49" s="11"/>
      <c r="G49" s="11"/>
      <c r="H49" s="11"/>
      <c r="I49" s="11"/>
      <c r="J49" s="11"/>
      <c r="K49" s="11"/>
      <c r="L49" s="11"/>
    </row>
    <row r="50" spans="1:12" ht="12">
      <c r="A50" s="11"/>
      <c r="B50" s="11"/>
      <c r="C50" s="11"/>
      <c r="D50" s="11"/>
      <c r="E50" s="11"/>
      <c r="F50" s="11"/>
      <c r="G50" s="11"/>
      <c r="H50" s="11"/>
      <c r="I50" s="11"/>
      <c r="J50" s="11"/>
      <c r="K50" s="11"/>
      <c r="L50" s="11"/>
    </row>
    <row r="51" spans="1:12" ht="12">
      <c r="A51" s="11"/>
      <c r="B51" s="11"/>
      <c r="C51" s="11"/>
      <c r="D51" s="11"/>
      <c r="E51" s="11"/>
      <c r="F51" s="11"/>
      <c r="G51" s="11"/>
      <c r="H51" s="11"/>
      <c r="I51" s="11"/>
      <c r="J51" s="11"/>
      <c r="K51" s="11"/>
      <c r="L51" s="11"/>
    </row>
    <row r="52" spans="1:12" ht="12">
      <c r="A52" s="11"/>
      <c r="B52" s="11"/>
      <c r="C52" s="11"/>
      <c r="D52" s="11"/>
      <c r="E52" s="11"/>
      <c r="F52" s="11"/>
      <c r="G52" s="11"/>
      <c r="H52" s="11"/>
      <c r="I52" s="11"/>
      <c r="J52" s="11"/>
      <c r="K52" s="11"/>
      <c r="L52" s="11"/>
    </row>
    <row r="53" spans="1:12" ht="12">
      <c r="A53" s="11"/>
      <c r="B53" s="11"/>
      <c r="C53" s="11"/>
      <c r="D53" s="11"/>
      <c r="E53" s="11"/>
      <c r="F53" s="11"/>
      <c r="G53" s="11"/>
      <c r="H53" s="11"/>
      <c r="I53" s="11"/>
      <c r="J53" s="11"/>
      <c r="K53" s="11"/>
      <c r="L53" s="11"/>
    </row>
    <row r="54" spans="1:12" ht="12">
      <c r="A54" s="11"/>
      <c r="B54" s="11"/>
      <c r="C54" s="11"/>
      <c r="D54" s="11"/>
      <c r="E54" s="11"/>
      <c r="F54" s="11"/>
      <c r="G54" s="11"/>
      <c r="H54" s="11"/>
      <c r="I54" s="11"/>
      <c r="J54" s="11"/>
      <c r="K54" s="11"/>
      <c r="L54" s="11"/>
    </row>
    <row r="55" spans="1:12" ht="12">
      <c r="A55" s="11"/>
      <c r="B55" s="11"/>
      <c r="C55" s="11"/>
      <c r="D55" s="11"/>
      <c r="E55" s="11"/>
      <c r="F55" s="11"/>
      <c r="G55" s="11"/>
      <c r="H55" s="11"/>
      <c r="I55" s="11"/>
      <c r="J55" s="11"/>
      <c r="K55" s="11"/>
      <c r="L55" s="11"/>
    </row>
    <row r="56" spans="1:12" ht="12">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803571428571429" right="0.38690476190476192" top="1.155357142857143" bottom="0.52083333333333337" header="0.3" footer="0.3"/>
  <pageSetup paperSize="9" scale="95" orientation="portrait" r:id="rId1"/>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4"/>
  </sheetPr>
  <dimension ref="A1:L174"/>
  <sheetViews>
    <sheetView showGridLines="0" view="pageBreakPreview" topLeftCell="E43" zoomScale="130" zoomScaleNormal="100" zoomScaleSheetLayoutView="130" zoomScalePageLayoutView="145" workbookViewId="0">
      <selection activeCell="M24" sqref="M24"/>
    </sheetView>
  </sheetViews>
  <sheetFormatPr defaultColWidth="9.33203125" defaultRowHeight="11.25"/>
  <cols>
    <col min="1" max="1" width="21.83203125" customWidth="1"/>
    <col min="2" max="2" width="20.83203125" customWidth="1"/>
    <col min="3" max="3" width="15.83203125" customWidth="1"/>
    <col min="4" max="4" width="17" customWidth="1"/>
    <col min="5" max="5" width="13.5" customWidth="1"/>
    <col min="6" max="6" width="13.83203125" customWidth="1"/>
    <col min="7" max="7" width="14.5" customWidth="1"/>
    <col min="9" max="9" width="18.6640625" customWidth="1"/>
    <col min="10" max="10" width="19.5" customWidth="1"/>
    <col min="11" max="11" width="9.33203125" customWidth="1"/>
  </cols>
  <sheetData>
    <row r="1" spans="1:12" ht="11.25" customHeight="1">
      <c r="A1" s="304" t="s">
        <v>303</v>
      </c>
      <c r="B1" s="303"/>
      <c r="C1" s="303"/>
      <c r="D1" s="303"/>
      <c r="E1" s="303"/>
      <c r="F1" s="303"/>
      <c r="G1" s="303"/>
    </row>
    <row r="2" spans="1:12" ht="14.25" customHeight="1">
      <c r="A2" s="895" t="s">
        <v>277</v>
      </c>
      <c r="B2" s="898" t="s">
        <v>56</v>
      </c>
      <c r="C2" s="901" t="str">
        <f>"ENERGÍA PRODUCIDA "&amp;UPPER('1. Resumen'!Q4)&amp;" "&amp;'1. Resumen'!Q5</f>
        <v>ENERGÍA PRODUCIDA ENERO 2019</v>
      </c>
      <c r="D2" s="901"/>
      <c r="E2" s="901"/>
      <c r="F2" s="901"/>
      <c r="G2" s="652" t="s">
        <v>304</v>
      </c>
      <c r="H2" s="209"/>
      <c r="I2" s="209"/>
      <c r="J2" s="209"/>
      <c r="K2" s="209"/>
    </row>
    <row r="3" spans="1:12" ht="11.25" customHeight="1">
      <c r="A3" s="896"/>
      <c r="B3" s="899"/>
      <c r="C3" s="902" t="s">
        <v>305</v>
      </c>
      <c r="D3" s="902"/>
      <c r="E3" s="902"/>
      <c r="F3" s="903" t="str">
        <f>"TOTAL 
"&amp;UPPER('1. Resumen'!Q4)</f>
        <v>TOTAL 
ENERO</v>
      </c>
      <c r="G3" s="653" t="s">
        <v>306</v>
      </c>
      <c r="H3" s="200"/>
      <c r="I3" s="200"/>
      <c r="J3" s="200"/>
      <c r="K3" s="200"/>
      <c r="L3" s="36"/>
    </row>
    <row r="4" spans="1:12" ht="12.75" customHeight="1">
      <c r="A4" s="896"/>
      <c r="B4" s="899"/>
      <c r="C4" s="654" t="s">
        <v>232</v>
      </c>
      <c r="D4" s="654" t="s">
        <v>233</v>
      </c>
      <c r="E4" s="654" t="s">
        <v>307</v>
      </c>
      <c r="F4" s="904"/>
      <c r="G4" s="653">
        <v>2018</v>
      </c>
      <c r="H4" s="202"/>
      <c r="I4" s="201"/>
      <c r="J4" s="201"/>
      <c r="K4" s="201"/>
      <c r="L4" s="36"/>
    </row>
    <row r="5" spans="1:12" ht="11.25" customHeight="1">
      <c r="A5" s="897"/>
      <c r="B5" s="900"/>
      <c r="C5" s="655" t="s">
        <v>308</v>
      </c>
      <c r="D5" s="655" t="s">
        <v>308</v>
      </c>
      <c r="E5" s="655" t="s">
        <v>308</v>
      </c>
      <c r="F5" s="655" t="s">
        <v>308</v>
      </c>
      <c r="G5" s="656" t="s">
        <v>216</v>
      </c>
      <c r="H5" s="202"/>
      <c r="I5" s="202"/>
      <c r="J5" s="202"/>
      <c r="K5" s="202"/>
      <c r="L5" s="8"/>
    </row>
    <row r="6" spans="1:12" ht="9.75" customHeight="1">
      <c r="A6" s="551" t="s">
        <v>125</v>
      </c>
      <c r="B6" s="552" t="s">
        <v>89</v>
      </c>
      <c r="C6" s="553"/>
      <c r="D6" s="553"/>
      <c r="E6" s="553">
        <v>139.1796975</v>
      </c>
      <c r="F6" s="553">
        <v>139.1796975</v>
      </c>
      <c r="G6" s="553">
        <v>139.1796975</v>
      </c>
      <c r="H6" s="202"/>
      <c r="I6" s="703"/>
      <c r="J6" s="703"/>
      <c r="K6" s="202"/>
      <c r="L6" s="202"/>
    </row>
    <row r="7" spans="1:12" ht="9.75" customHeight="1">
      <c r="A7" s="687" t="s">
        <v>309</v>
      </c>
      <c r="B7" s="688"/>
      <c r="C7" s="689"/>
      <c r="D7" s="689"/>
      <c r="E7" s="689">
        <v>139.1796975</v>
      </c>
      <c r="F7" s="689">
        <v>139.1796975</v>
      </c>
      <c r="G7" s="689">
        <v>139.1796975</v>
      </c>
      <c r="H7" s="202"/>
      <c r="I7" s="703"/>
      <c r="J7" s="703"/>
      <c r="K7" s="202"/>
      <c r="L7" s="202"/>
    </row>
    <row r="8" spans="1:12" ht="9.75" customHeight="1">
      <c r="A8" s="551" t="s">
        <v>124</v>
      </c>
      <c r="B8" s="552" t="s">
        <v>65</v>
      </c>
      <c r="C8" s="553"/>
      <c r="D8" s="553"/>
      <c r="E8" s="553">
        <v>12456.741050000001</v>
      </c>
      <c r="F8" s="553">
        <v>12456.741050000001</v>
      </c>
      <c r="G8" s="553">
        <v>12456.741050000001</v>
      </c>
      <c r="H8" s="202"/>
      <c r="I8" s="703"/>
      <c r="J8" s="703"/>
      <c r="K8" s="202"/>
      <c r="L8" s="202"/>
    </row>
    <row r="9" spans="1:12" ht="9.75" customHeight="1">
      <c r="A9" s="687" t="s">
        <v>310</v>
      </c>
      <c r="B9" s="688"/>
      <c r="C9" s="689"/>
      <c r="D9" s="689"/>
      <c r="E9" s="689">
        <v>12456.741050000001</v>
      </c>
      <c r="F9" s="689">
        <v>12456.741050000001</v>
      </c>
      <c r="G9" s="689">
        <v>12456.741050000001</v>
      </c>
      <c r="H9" s="202"/>
      <c r="I9" s="703"/>
      <c r="J9" s="703"/>
      <c r="K9" s="202"/>
      <c r="L9" s="202"/>
    </row>
    <row r="10" spans="1:12" ht="9.75" customHeight="1">
      <c r="A10" s="556" t="s">
        <v>109</v>
      </c>
      <c r="B10" s="400" t="s">
        <v>86</v>
      </c>
      <c r="C10" s="554"/>
      <c r="D10" s="554"/>
      <c r="E10" s="554">
        <v>7015.8673500000004</v>
      </c>
      <c r="F10" s="554">
        <v>7015.8673500000004</v>
      </c>
      <c r="G10" s="554">
        <v>7015.8673500000004</v>
      </c>
      <c r="H10" s="202"/>
      <c r="I10" s="703"/>
      <c r="J10" s="703"/>
      <c r="K10" s="202"/>
      <c r="L10" s="202"/>
    </row>
    <row r="11" spans="1:12" ht="9.75" customHeight="1">
      <c r="A11" s="687" t="s">
        <v>311</v>
      </c>
      <c r="B11" s="688"/>
      <c r="C11" s="689"/>
      <c r="D11" s="689"/>
      <c r="E11" s="689">
        <v>7015.8673500000004</v>
      </c>
      <c r="F11" s="689">
        <v>7015.8673500000004</v>
      </c>
      <c r="G11" s="689">
        <v>7015.8673500000004</v>
      </c>
      <c r="H11" s="202"/>
      <c r="I11" s="703"/>
      <c r="J11" s="703"/>
      <c r="K11" s="202"/>
      <c r="L11" s="202"/>
    </row>
    <row r="12" spans="1:12" ht="9.75" customHeight="1">
      <c r="A12" s="556" t="s">
        <v>566</v>
      </c>
      <c r="B12" s="400" t="s">
        <v>624</v>
      </c>
      <c r="C12" s="554"/>
      <c r="D12" s="554"/>
      <c r="E12" s="554">
        <v>8521.4816824999998</v>
      </c>
      <c r="F12" s="554">
        <v>8521.4816824999998</v>
      </c>
      <c r="G12" s="554">
        <v>8521.4816824999998</v>
      </c>
      <c r="H12" s="202"/>
      <c r="I12" s="703"/>
      <c r="J12" s="703"/>
      <c r="K12" s="202"/>
      <c r="L12" s="202"/>
    </row>
    <row r="13" spans="1:12" ht="9.75" customHeight="1">
      <c r="A13" s="687" t="s">
        <v>570</v>
      </c>
      <c r="B13" s="688"/>
      <c r="C13" s="689"/>
      <c r="D13" s="689"/>
      <c r="E13" s="689">
        <v>8521.4816824999998</v>
      </c>
      <c r="F13" s="689">
        <v>8521.4816824999998</v>
      </c>
      <c r="G13" s="689">
        <v>8521.4816824999998</v>
      </c>
      <c r="H13" s="202"/>
      <c r="I13" s="703"/>
      <c r="J13" s="703"/>
      <c r="K13" s="202"/>
      <c r="L13" s="202"/>
    </row>
    <row r="14" spans="1:12" ht="9.75" customHeight="1">
      <c r="A14" s="556" t="s">
        <v>97</v>
      </c>
      <c r="B14" s="400" t="s">
        <v>312</v>
      </c>
      <c r="C14" s="554">
        <v>104600.3016775</v>
      </c>
      <c r="D14" s="554"/>
      <c r="E14" s="554"/>
      <c r="F14" s="554">
        <v>104600.3016775</v>
      </c>
      <c r="G14" s="554">
        <v>104600.3016775</v>
      </c>
      <c r="H14" s="202"/>
      <c r="I14" s="703"/>
      <c r="J14" s="703"/>
      <c r="K14" s="202"/>
      <c r="L14" s="202"/>
    </row>
    <row r="15" spans="1:12" ht="9.75" customHeight="1">
      <c r="A15" s="687" t="s">
        <v>313</v>
      </c>
      <c r="B15" s="688"/>
      <c r="C15" s="689">
        <v>104600.3016775</v>
      </c>
      <c r="D15" s="689"/>
      <c r="E15" s="689"/>
      <c r="F15" s="689">
        <v>104600.3016775</v>
      </c>
      <c r="G15" s="689">
        <v>104600.3016775</v>
      </c>
      <c r="H15" s="202"/>
      <c r="I15" s="703"/>
      <c r="J15" s="703"/>
      <c r="K15" s="202"/>
      <c r="L15" s="202"/>
    </row>
    <row r="16" spans="1:12" ht="10.5" customHeight="1">
      <c r="A16" s="556" t="s">
        <v>261</v>
      </c>
      <c r="B16" s="400" t="s">
        <v>314</v>
      </c>
      <c r="C16" s="554"/>
      <c r="D16" s="554">
        <v>0</v>
      </c>
      <c r="E16" s="554"/>
      <c r="F16" s="554">
        <v>0</v>
      </c>
      <c r="G16" s="554">
        <v>0</v>
      </c>
      <c r="H16" s="202"/>
      <c r="I16" s="703"/>
      <c r="J16" s="703"/>
      <c r="K16" s="202"/>
      <c r="L16" s="202"/>
    </row>
    <row r="17" spans="1:12" ht="10.5" customHeight="1">
      <c r="A17" s="687" t="s">
        <v>315</v>
      </c>
      <c r="B17" s="688"/>
      <c r="C17" s="689"/>
      <c r="D17" s="689">
        <v>0</v>
      </c>
      <c r="E17" s="689"/>
      <c r="F17" s="689">
        <v>0</v>
      </c>
      <c r="G17" s="689">
        <v>0</v>
      </c>
      <c r="H17" s="202"/>
      <c r="I17" s="703"/>
      <c r="J17" s="703"/>
      <c r="K17" s="202"/>
      <c r="L17" s="202"/>
    </row>
    <row r="18" spans="1:12" ht="9.75" customHeight="1">
      <c r="A18" s="556" t="s">
        <v>96</v>
      </c>
      <c r="B18" s="400" t="s">
        <v>316</v>
      </c>
      <c r="C18" s="554">
        <v>83834.512302499992</v>
      </c>
      <c r="D18" s="554"/>
      <c r="E18" s="554"/>
      <c r="F18" s="554">
        <v>83834.512302499992</v>
      </c>
      <c r="G18" s="554">
        <v>83834.512302499992</v>
      </c>
      <c r="H18" s="202"/>
      <c r="I18" s="703"/>
      <c r="J18" s="703"/>
      <c r="K18" s="202"/>
      <c r="L18" s="202"/>
    </row>
    <row r="19" spans="1:12" ht="9.75" customHeight="1">
      <c r="A19" s="556"/>
      <c r="B19" s="726" t="s">
        <v>317</v>
      </c>
      <c r="C19" s="745">
        <v>26675.792235000001</v>
      </c>
      <c r="D19" s="745"/>
      <c r="E19" s="745"/>
      <c r="F19" s="745">
        <v>26675.792235000001</v>
      </c>
      <c r="G19" s="745">
        <v>26675.792235000001</v>
      </c>
      <c r="H19" s="202"/>
      <c r="I19" s="703"/>
      <c r="J19" s="703"/>
      <c r="K19" s="202"/>
      <c r="L19" s="202"/>
    </row>
    <row r="20" spans="1:12" ht="9.75" customHeight="1">
      <c r="A20" s="687" t="s">
        <v>318</v>
      </c>
      <c r="B20" s="688"/>
      <c r="C20" s="689">
        <v>110510.30453749999</v>
      </c>
      <c r="D20" s="689"/>
      <c r="E20" s="689"/>
      <c r="F20" s="689">
        <v>110510.30453749999</v>
      </c>
      <c r="G20" s="689">
        <v>110510.30453749999</v>
      </c>
      <c r="H20" s="202"/>
      <c r="I20" s="703"/>
      <c r="J20" s="703"/>
      <c r="K20" s="202"/>
      <c r="L20" s="202"/>
    </row>
    <row r="21" spans="1:12" ht="9.75" customHeight="1">
      <c r="A21" s="556" t="s">
        <v>94</v>
      </c>
      <c r="B21" s="400" t="s">
        <v>319</v>
      </c>
      <c r="C21" s="554">
        <v>1240.9940525000002</v>
      </c>
      <c r="D21" s="554"/>
      <c r="E21" s="554"/>
      <c r="F21" s="554">
        <v>1240.9940525000002</v>
      </c>
      <c r="G21" s="554">
        <v>1240.9940525000002</v>
      </c>
      <c r="H21" s="202"/>
      <c r="I21" s="703"/>
      <c r="J21" s="703"/>
      <c r="K21" s="202"/>
      <c r="L21" s="202"/>
    </row>
    <row r="22" spans="1:12" ht="9.75" customHeight="1">
      <c r="A22" s="556"/>
      <c r="B22" s="726" t="s">
        <v>320</v>
      </c>
      <c r="C22" s="745">
        <v>418.88076750000005</v>
      </c>
      <c r="D22" s="745"/>
      <c r="E22" s="745"/>
      <c r="F22" s="745">
        <v>418.88076750000005</v>
      </c>
      <c r="G22" s="745">
        <v>418.88076750000005</v>
      </c>
      <c r="H22" s="202"/>
      <c r="I22" s="703"/>
      <c r="J22" s="703"/>
      <c r="K22" s="202"/>
      <c r="L22" s="202"/>
    </row>
    <row r="23" spans="1:12" ht="9.75" customHeight="1">
      <c r="A23" s="556"/>
      <c r="B23" s="400" t="s">
        <v>321</v>
      </c>
      <c r="C23" s="554">
        <v>3355.0789649999997</v>
      </c>
      <c r="D23" s="554"/>
      <c r="E23" s="554"/>
      <c r="F23" s="554">
        <v>3355.0789649999997</v>
      </c>
      <c r="G23" s="554">
        <v>3355.0789649999997</v>
      </c>
      <c r="H23" s="202"/>
      <c r="I23" s="703"/>
      <c r="J23" s="703"/>
      <c r="K23" s="202"/>
      <c r="L23" s="202"/>
    </row>
    <row r="24" spans="1:12" ht="9.75" customHeight="1">
      <c r="A24" s="556"/>
      <c r="B24" s="400" t="s">
        <v>322</v>
      </c>
      <c r="C24" s="554">
        <v>9128.7618999999995</v>
      </c>
      <c r="D24" s="554"/>
      <c r="E24" s="554"/>
      <c r="F24" s="554">
        <v>9128.7618999999995</v>
      </c>
      <c r="G24" s="554">
        <v>9128.7618999999995</v>
      </c>
      <c r="H24" s="202"/>
      <c r="I24" s="703"/>
      <c r="J24" s="703"/>
      <c r="K24" s="202"/>
      <c r="L24" s="202"/>
    </row>
    <row r="25" spans="1:12" ht="9.75" customHeight="1">
      <c r="A25" s="556"/>
      <c r="B25" s="400" t="s">
        <v>323</v>
      </c>
      <c r="C25" s="554">
        <v>55201.711574999994</v>
      </c>
      <c r="D25" s="554"/>
      <c r="E25" s="554"/>
      <c r="F25" s="554">
        <v>55201.711574999994</v>
      </c>
      <c r="G25" s="554">
        <v>55201.711574999994</v>
      </c>
      <c r="H25" s="202"/>
      <c r="I25" s="703"/>
      <c r="J25" s="703"/>
      <c r="K25" s="202"/>
      <c r="L25" s="202"/>
    </row>
    <row r="26" spans="1:12" ht="9.75" customHeight="1">
      <c r="A26" s="556"/>
      <c r="B26" s="400" t="s">
        <v>324</v>
      </c>
      <c r="C26" s="554">
        <v>5588.7610125000001</v>
      </c>
      <c r="D26" s="554"/>
      <c r="E26" s="554"/>
      <c r="F26" s="554">
        <v>5588.7610125000001</v>
      </c>
      <c r="G26" s="554">
        <v>5588.7610125000001</v>
      </c>
      <c r="H26" s="202"/>
      <c r="I26" s="703"/>
      <c r="J26" s="703"/>
      <c r="K26" s="202"/>
      <c r="L26" s="202"/>
    </row>
    <row r="27" spans="1:12" ht="9.75" customHeight="1">
      <c r="A27" s="556"/>
      <c r="B27" s="400" t="s">
        <v>325</v>
      </c>
      <c r="C27" s="554"/>
      <c r="D27" s="554">
        <v>0</v>
      </c>
      <c r="E27" s="554"/>
      <c r="F27" s="554">
        <v>0</v>
      </c>
      <c r="G27" s="554">
        <v>0</v>
      </c>
      <c r="H27" s="202"/>
      <c r="I27" s="703"/>
      <c r="J27" s="703"/>
      <c r="K27" s="202"/>
      <c r="L27" s="202"/>
    </row>
    <row r="28" spans="1:12" ht="9.75" customHeight="1">
      <c r="A28" s="556"/>
      <c r="B28" s="400" t="s">
        <v>326</v>
      </c>
      <c r="C28" s="554"/>
      <c r="D28" s="554">
        <v>0.68935500000000005</v>
      </c>
      <c r="E28" s="554"/>
      <c r="F28" s="554">
        <v>0.68935500000000005</v>
      </c>
      <c r="G28" s="554">
        <v>0.68935500000000005</v>
      </c>
      <c r="H28" s="202"/>
      <c r="I28" s="703"/>
      <c r="J28" s="703"/>
      <c r="K28" s="202"/>
      <c r="L28" s="202"/>
    </row>
    <row r="29" spans="1:12" ht="9.75" customHeight="1">
      <c r="A29" s="556"/>
      <c r="B29" s="400" t="s">
        <v>327</v>
      </c>
      <c r="C29" s="554"/>
      <c r="D29" s="554">
        <v>9619.7199874999988</v>
      </c>
      <c r="E29" s="554"/>
      <c r="F29" s="554">
        <v>9619.7199874999988</v>
      </c>
      <c r="G29" s="554">
        <v>9619.7199874999988</v>
      </c>
      <c r="H29" s="202"/>
      <c r="I29" s="703"/>
      <c r="J29" s="703"/>
      <c r="K29" s="202"/>
      <c r="L29" s="202"/>
    </row>
    <row r="30" spans="1:12" ht="9.75" customHeight="1">
      <c r="A30" s="687" t="s">
        <v>328</v>
      </c>
      <c r="B30" s="688"/>
      <c r="C30" s="689">
        <v>74934.188272500003</v>
      </c>
      <c r="D30" s="689">
        <v>9620.4093424999992</v>
      </c>
      <c r="E30" s="689"/>
      <c r="F30" s="689">
        <v>84554.597614999991</v>
      </c>
      <c r="G30" s="689">
        <v>84554.597614999991</v>
      </c>
      <c r="H30" s="202"/>
      <c r="I30" s="703"/>
      <c r="J30" s="703"/>
      <c r="K30" s="202"/>
      <c r="L30" s="202"/>
    </row>
    <row r="31" spans="1:12" ht="9.75" customHeight="1">
      <c r="A31" s="556" t="s">
        <v>117</v>
      </c>
      <c r="B31" s="400" t="s">
        <v>72</v>
      </c>
      <c r="C31" s="554"/>
      <c r="D31" s="554"/>
      <c r="E31" s="554">
        <v>2622.3807299999999</v>
      </c>
      <c r="F31" s="554">
        <v>2622.3807299999999</v>
      </c>
      <c r="G31" s="554">
        <v>2622.3807299999999</v>
      </c>
      <c r="H31" s="202"/>
      <c r="I31" s="703"/>
      <c r="J31" s="703"/>
      <c r="K31" s="202"/>
      <c r="L31" s="202"/>
    </row>
    <row r="32" spans="1:12" ht="9.75" customHeight="1">
      <c r="A32" s="687" t="s">
        <v>329</v>
      </c>
      <c r="B32" s="688"/>
      <c r="C32" s="689"/>
      <c r="D32" s="689"/>
      <c r="E32" s="689">
        <v>2622.3807299999999</v>
      </c>
      <c r="F32" s="689">
        <v>2622.3807299999999</v>
      </c>
      <c r="G32" s="689">
        <v>2622.3807299999999</v>
      </c>
      <c r="H32" s="202"/>
      <c r="I32" s="703"/>
      <c r="J32" s="703"/>
      <c r="K32" s="202"/>
      <c r="L32" s="202"/>
    </row>
    <row r="33" spans="1:12" ht="9.75" customHeight="1">
      <c r="A33" s="556" t="s">
        <v>95</v>
      </c>
      <c r="B33" s="400" t="s">
        <v>330</v>
      </c>
      <c r="C33" s="554">
        <v>123218.93545750002</v>
      </c>
      <c r="D33" s="554"/>
      <c r="E33" s="554"/>
      <c r="F33" s="554">
        <v>123218.93545750002</v>
      </c>
      <c r="G33" s="554">
        <v>123218.93545750002</v>
      </c>
      <c r="H33" s="202"/>
      <c r="I33" s="703"/>
      <c r="J33" s="703"/>
      <c r="K33" s="202"/>
      <c r="L33" s="202"/>
    </row>
    <row r="34" spans="1:12" ht="9.75" customHeight="1">
      <c r="A34" s="687" t="s">
        <v>331</v>
      </c>
      <c r="B34" s="688"/>
      <c r="C34" s="689">
        <v>123218.93545750002</v>
      </c>
      <c r="D34" s="689"/>
      <c r="E34" s="689"/>
      <c r="F34" s="689">
        <v>123218.93545750002</v>
      </c>
      <c r="G34" s="689">
        <v>123218.93545750002</v>
      </c>
      <c r="H34" s="202"/>
      <c r="I34" s="703"/>
      <c r="J34" s="703"/>
      <c r="K34" s="202"/>
      <c r="L34" s="202"/>
    </row>
    <row r="35" spans="1:12" ht="9.75" customHeight="1">
      <c r="A35" s="556" t="s">
        <v>104</v>
      </c>
      <c r="B35" s="400" t="s">
        <v>332</v>
      </c>
      <c r="C35" s="554">
        <v>5656.4745000000003</v>
      </c>
      <c r="D35" s="554"/>
      <c r="E35" s="554"/>
      <c r="F35" s="554">
        <v>5656.4745000000003</v>
      </c>
      <c r="G35" s="554">
        <v>5656.4745000000003</v>
      </c>
      <c r="H35" s="202"/>
      <c r="I35" s="703"/>
      <c r="J35" s="703"/>
      <c r="K35" s="202"/>
      <c r="L35" s="202"/>
    </row>
    <row r="36" spans="1:12" ht="9.75" customHeight="1">
      <c r="A36" s="556"/>
      <c r="B36" s="726" t="s">
        <v>333</v>
      </c>
      <c r="C36" s="745">
        <v>3763.08</v>
      </c>
      <c r="D36" s="745"/>
      <c r="E36" s="745"/>
      <c r="F36" s="745">
        <v>3763.08</v>
      </c>
      <c r="G36" s="745">
        <v>3763.08</v>
      </c>
      <c r="H36" s="202"/>
      <c r="I36" s="703"/>
      <c r="J36" s="703"/>
      <c r="K36" s="202"/>
      <c r="L36" s="202"/>
    </row>
    <row r="37" spans="1:12" ht="9.75" customHeight="1">
      <c r="A37" s="556"/>
      <c r="B37" s="400" t="s">
        <v>334</v>
      </c>
      <c r="C37" s="554"/>
      <c r="D37" s="554">
        <v>12804.9607925</v>
      </c>
      <c r="E37" s="554"/>
      <c r="F37" s="554">
        <v>12804.9607925</v>
      </c>
      <c r="G37" s="554">
        <v>12804.9607925</v>
      </c>
      <c r="H37" s="202"/>
      <c r="I37" s="703"/>
      <c r="J37" s="703"/>
      <c r="K37" s="202"/>
      <c r="L37" s="202"/>
    </row>
    <row r="38" spans="1:12" ht="9.75" customHeight="1">
      <c r="A38" s="687" t="s">
        <v>335</v>
      </c>
      <c r="B38" s="688"/>
      <c r="C38" s="689">
        <v>9419.5545000000002</v>
      </c>
      <c r="D38" s="689">
        <v>12804.9607925</v>
      </c>
      <c r="E38" s="689"/>
      <c r="F38" s="689">
        <v>22224.5152925</v>
      </c>
      <c r="G38" s="689">
        <v>22224.5152925</v>
      </c>
      <c r="H38" s="202"/>
      <c r="I38" s="703"/>
      <c r="J38" s="703"/>
      <c r="K38" s="202"/>
      <c r="L38" s="202"/>
    </row>
    <row r="39" spans="1:12" ht="9.75" customHeight="1">
      <c r="A39" s="556" t="s">
        <v>122</v>
      </c>
      <c r="B39" s="400" t="s">
        <v>77</v>
      </c>
      <c r="C39" s="554"/>
      <c r="D39" s="554"/>
      <c r="E39" s="554">
        <v>270.54250250000001</v>
      </c>
      <c r="F39" s="554">
        <v>270.54250250000001</v>
      </c>
      <c r="G39" s="554">
        <v>270.54250250000001</v>
      </c>
      <c r="H39" s="202"/>
      <c r="I39" s="703"/>
      <c r="J39" s="703"/>
      <c r="K39" s="202"/>
      <c r="L39" s="202"/>
    </row>
    <row r="40" spans="1:12" ht="9.75" customHeight="1">
      <c r="A40" s="687" t="s">
        <v>336</v>
      </c>
      <c r="B40" s="688"/>
      <c r="C40" s="689"/>
      <c r="D40" s="689"/>
      <c r="E40" s="689">
        <v>270.54250250000001</v>
      </c>
      <c r="F40" s="689">
        <v>270.54250250000001</v>
      </c>
      <c r="G40" s="689">
        <v>270.54250250000001</v>
      </c>
      <c r="H40" s="202"/>
      <c r="I40" s="703"/>
      <c r="J40" s="703"/>
      <c r="K40" s="202"/>
      <c r="L40" s="202"/>
    </row>
    <row r="41" spans="1:12" ht="9.75" customHeight="1">
      <c r="A41" s="556" t="s">
        <v>118</v>
      </c>
      <c r="B41" s="400" t="s">
        <v>75</v>
      </c>
      <c r="C41" s="554"/>
      <c r="D41" s="554"/>
      <c r="E41" s="554">
        <v>2329.9530325000001</v>
      </c>
      <c r="F41" s="554">
        <v>2329.9530325000001</v>
      </c>
      <c r="G41" s="554">
        <v>2329.9530325000001</v>
      </c>
      <c r="H41" s="202"/>
      <c r="I41" s="703"/>
      <c r="J41" s="703"/>
      <c r="K41" s="202"/>
      <c r="L41" s="202"/>
    </row>
    <row r="42" spans="1:12" ht="9.75" customHeight="1">
      <c r="A42" s="687" t="s">
        <v>337</v>
      </c>
      <c r="B42" s="688"/>
      <c r="C42" s="689"/>
      <c r="D42" s="689"/>
      <c r="E42" s="689">
        <v>2329.9530325000001</v>
      </c>
      <c r="F42" s="689">
        <v>2329.9530325000001</v>
      </c>
      <c r="G42" s="689">
        <v>2329.9530325000001</v>
      </c>
      <c r="H42" s="202"/>
      <c r="I42" s="703"/>
      <c r="J42" s="703"/>
      <c r="K42" s="202"/>
      <c r="L42" s="202"/>
    </row>
    <row r="43" spans="1:12" ht="9.75" customHeight="1">
      <c r="A43" s="556" t="s">
        <v>593</v>
      </c>
      <c r="B43" s="400" t="s">
        <v>625</v>
      </c>
      <c r="C43" s="554"/>
      <c r="D43" s="554"/>
      <c r="E43" s="554">
        <v>369.46052250000002</v>
      </c>
      <c r="F43" s="554">
        <v>369.46052250000002</v>
      </c>
      <c r="G43" s="554">
        <v>369.46052250000002</v>
      </c>
      <c r="H43" s="202"/>
      <c r="I43" s="703"/>
      <c r="J43" s="703"/>
      <c r="K43" s="202"/>
      <c r="L43" s="202"/>
    </row>
    <row r="44" spans="1:12" ht="9.75" customHeight="1">
      <c r="A44" s="687" t="s">
        <v>594</v>
      </c>
      <c r="B44" s="688"/>
      <c r="C44" s="689"/>
      <c r="D44" s="689"/>
      <c r="E44" s="689">
        <v>369.46052250000002</v>
      </c>
      <c r="F44" s="689">
        <v>369.46052250000002</v>
      </c>
      <c r="G44" s="689">
        <v>369.46052250000002</v>
      </c>
      <c r="H44" s="202"/>
      <c r="I44" s="703"/>
      <c r="J44" s="703"/>
      <c r="K44" s="202"/>
      <c r="L44" s="202"/>
    </row>
    <row r="45" spans="1:12" ht="9.75" customHeight="1">
      <c r="A45" s="556" t="s">
        <v>92</v>
      </c>
      <c r="B45" s="400" t="s">
        <v>338</v>
      </c>
      <c r="C45" s="554">
        <v>430204.53960000008</v>
      </c>
      <c r="D45" s="554"/>
      <c r="E45" s="554"/>
      <c r="F45" s="554">
        <v>430204.53960000008</v>
      </c>
      <c r="G45" s="554">
        <v>430204.53960000008</v>
      </c>
      <c r="H45" s="202"/>
      <c r="I45" s="703"/>
      <c r="J45" s="703"/>
      <c r="K45" s="202"/>
      <c r="L45" s="202"/>
    </row>
    <row r="46" spans="1:12" ht="9.75" customHeight="1">
      <c r="A46" s="556"/>
      <c r="B46" s="400" t="s">
        <v>339</v>
      </c>
      <c r="C46" s="554">
        <v>137508.57647999999</v>
      </c>
      <c r="D46" s="554"/>
      <c r="E46" s="554"/>
      <c r="F46" s="554">
        <v>137508.57647999999</v>
      </c>
      <c r="G46" s="554">
        <v>137508.57647999999</v>
      </c>
      <c r="H46" s="202"/>
      <c r="I46" s="703"/>
      <c r="J46" s="703"/>
      <c r="K46" s="202"/>
      <c r="L46" s="202"/>
    </row>
    <row r="47" spans="1:12" ht="9.75" customHeight="1">
      <c r="A47" s="556"/>
      <c r="B47" s="400" t="s">
        <v>340</v>
      </c>
      <c r="C47" s="554"/>
      <c r="D47" s="554">
        <v>0</v>
      </c>
      <c r="E47" s="554"/>
      <c r="F47" s="554">
        <v>0</v>
      </c>
      <c r="G47" s="554">
        <v>0</v>
      </c>
      <c r="H47" s="202"/>
      <c r="I47" s="703"/>
      <c r="J47" s="703"/>
      <c r="K47" s="202"/>
      <c r="L47" s="202"/>
    </row>
    <row r="48" spans="1:12" ht="9.75" customHeight="1">
      <c r="A48" s="687" t="s">
        <v>341</v>
      </c>
      <c r="B48" s="688"/>
      <c r="C48" s="689">
        <v>567713.11608000007</v>
      </c>
      <c r="D48" s="689">
        <v>0</v>
      </c>
      <c r="E48" s="689"/>
      <c r="F48" s="689">
        <v>567713.11608000007</v>
      </c>
      <c r="G48" s="689">
        <v>567713.11608000007</v>
      </c>
      <c r="H48" s="202"/>
      <c r="I48" s="703"/>
      <c r="J48" s="703"/>
      <c r="K48" s="202"/>
      <c r="L48" s="202"/>
    </row>
    <row r="49" spans="1:12" ht="9.75" customHeight="1">
      <c r="A49" s="556" t="s">
        <v>262</v>
      </c>
      <c r="B49" s="400" t="s">
        <v>342</v>
      </c>
      <c r="C49" s="554">
        <v>301351.0629275</v>
      </c>
      <c r="D49" s="554"/>
      <c r="E49" s="554"/>
      <c r="F49" s="554">
        <v>301351.0629275</v>
      </c>
      <c r="G49" s="554">
        <v>301351.0629275</v>
      </c>
      <c r="H49" s="202"/>
      <c r="I49" s="703"/>
      <c r="J49" s="703"/>
      <c r="K49" s="202"/>
      <c r="L49" s="202"/>
    </row>
    <row r="50" spans="1:12" ht="9.75" customHeight="1">
      <c r="A50" s="556"/>
      <c r="B50" s="400" t="s">
        <v>343</v>
      </c>
      <c r="C50" s="554">
        <v>4552.2874400000001</v>
      </c>
      <c r="D50" s="554"/>
      <c r="E50" s="554"/>
      <c r="F50" s="554">
        <v>4552.2874400000001</v>
      </c>
      <c r="G50" s="554">
        <v>4552.2874400000001</v>
      </c>
      <c r="H50" s="202"/>
      <c r="I50" s="703"/>
      <c r="J50" s="703"/>
      <c r="K50" s="202"/>
      <c r="L50" s="202"/>
    </row>
    <row r="51" spans="1:12" ht="9.75" customHeight="1">
      <c r="A51" s="687" t="s">
        <v>344</v>
      </c>
      <c r="B51" s="688"/>
      <c r="C51" s="689">
        <v>305903.35036749998</v>
      </c>
      <c r="D51" s="689"/>
      <c r="E51" s="689"/>
      <c r="F51" s="689">
        <v>305903.35036749998</v>
      </c>
      <c r="G51" s="689">
        <v>305903.35036749998</v>
      </c>
      <c r="H51" s="202"/>
      <c r="I51" s="703"/>
      <c r="J51" s="703"/>
      <c r="K51" s="202"/>
      <c r="L51" s="202"/>
    </row>
    <row r="52" spans="1:12" ht="9.75" customHeight="1">
      <c r="A52" s="556" t="s">
        <v>263</v>
      </c>
      <c r="B52" s="400" t="s">
        <v>345</v>
      </c>
      <c r="C52" s="554">
        <v>28551.412292499997</v>
      </c>
      <c r="D52" s="554"/>
      <c r="E52" s="554"/>
      <c r="F52" s="554">
        <v>28551.412292499997</v>
      </c>
      <c r="G52" s="554">
        <v>28551.412292499997</v>
      </c>
      <c r="H52" s="202"/>
      <c r="I52" s="703"/>
      <c r="J52" s="703"/>
      <c r="K52" s="202"/>
      <c r="L52" s="202"/>
    </row>
    <row r="53" spans="1:12" ht="9.75" customHeight="1">
      <c r="A53" s="687" t="s">
        <v>346</v>
      </c>
      <c r="B53" s="688"/>
      <c r="C53" s="689">
        <v>28551.412292499997</v>
      </c>
      <c r="D53" s="689"/>
      <c r="E53" s="689"/>
      <c r="F53" s="689">
        <v>28551.412292499997</v>
      </c>
      <c r="G53" s="689">
        <v>28551.412292499997</v>
      </c>
      <c r="H53" s="111"/>
      <c r="I53" s="571"/>
      <c r="J53" s="703"/>
      <c r="K53" s="202"/>
      <c r="L53" s="202"/>
    </row>
    <row r="54" spans="1:12" ht="9.75" customHeight="1">
      <c r="A54" s="556" t="s">
        <v>264</v>
      </c>
      <c r="B54" s="400" t="s">
        <v>62</v>
      </c>
      <c r="C54" s="554"/>
      <c r="D54" s="554"/>
      <c r="E54" s="554">
        <v>12857.864145</v>
      </c>
      <c r="F54" s="554">
        <v>12857.864145</v>
      </c>
      <c r="G54" s="554">
        <v>12857.864145</v>
      </c>
      <c r="H54" s="111"/>
      <c r="I54" s="571"/>
      <c r="J54" s="703"/>
      <c r="K54" s="202"/>
      <c r="L54" s="202"/>
    </row>
    <row r="55" spans="1:12" ht="9.75" customHeight="1">
      <c r="A55" s="556"/>
      <c r="B55" s="400" t="s">
        <v>59</v>
      </c>
      <c r="C55" s="554"/>
      <c r="D55" s="554"/>
      <c r="E55" s="554">
        <v>14528.373985</v>
      </c>
      <c r="F55" s="554">
        <v>14528.373985</v>
      </c>
      <c r="G55" s="554">
        <v>14528.373985</v>
      </c>
      <c r="H55" s="111"/>
      <c r="I55" s="571"/>
      <c r="J55" s="703"/>
      <c r="K55" s="202"/>
      <c r="L55" s="202"/>
    </row>
    <row r="56" spans="1:12" ht="9.75" customHeight="1">
      <c r="A56" s="687" t="s">
        <v>347</v>
      </c>
      <c r="B56" s="688"/>
      <c r="C56" s="689"/>
      <c r="D56" s="689"/>
      <c r="E56" s="689">
        <v>27386.238129999998</v>
      </c>
      <c r="F56" s="689">
        <v>27386.238129999998</v>
      </c>
      <c r="G56" s="689">
        <v>27386.238129999998</v>
      </c>
      <c r="H56" s="111"/>
      <c r="I56" s="571"/>
      <c r="J56" s="703"/>
      <c r="K56" s="202"/>
      <c r="L56" s="202"/>
    </row>
    <row r="57" spans="1:12" ht="9.75" customHeight="1">
      <c r="A57" s="556" t="s">
        <v>91</v>
      </c>
      <c r="B57" s="400" t="s">
        <v>348</v>
      </c>
      <c r="C57" s="554">
        <v>17829.8323475</v>
      </c>
      <c r="D57" s="554"/>
      <c r="E57" s="554"/>
      <c r="F57" s="554">
        <v>17829.8323475</v>
      </c>
      <c r="G57" s="554">
        <v>17829.8323475</v>
      </c>
      <c r="H57" s="111"/>
      <c r="I57" s="571"/>
      <c r="J57" s="703"/>
      <c r="K57" s="202"/>
      <c r="L57" s="202"/>
    </row>
    <row r="58" spans="1:12" ht="9.75" customHeight="1">
      <c r="A58" s="556"/>
      <c r="B58" s="400" t="s">
        <v>349</v>
      </c>
      <c r="C58" s="554">
        <v>104635.72404250001</v>
      </c>
      <c r="D58" s="554"/>
      <c r="E58" s="554"/>
      <c r="F58" s="554">
        <v>104635.72404250001</v>
      </c>
      <c r="G58" s="554">
        <v>104635.72404250001</v>
      </c>
      <c r="H58" s="203"/>
      <c r="I58" s="703"/>
      <c r="J58" s="703"/>
      <c r="K58" s="202"/>
      <c r="L58" s="202"/>
    </row>
    <row r="59" spans="1:12" ht="9.75" customHeight="1">
      <c r="A59" s="556"/>
      <c r="B59" s="400" t="s">
        <v>350</v>
      </c>
      <c r="C59" s="554">
        <v>79549.877967499997</v>
      </c>
      <c r="D59" s="554"/>
      <c r="E59" s="554"/>
      <c r="F59" s="554">
        <v>79549.877967499997</v>
      </c>
      <c r="G59" s="554">
        <v>79549.877967499997</v>
      </c>
      <c r="H59" s="203"/>
      <c r="I59" s="703"/>
      <c r="J59" s="703"/>
      <c r="K59" s="202"/>
      <c r="L59" s="202"/>
    </row>
    <row r="60" spans="1:12" ht="9.75" customHeight="1">
      <c r="A60" s="556"/>
      <c r="B60" s="400" t="s">
        <v>351</v>
      </c>
      <c r="C60" s="554">
        <v>36371.075462499997</v>
      </c>
      <c r="D60" s="554"/>
      <c r="E60" s="554"/>
      <c r="F60" s="554">
        <v>36371.075462499997</v>
      </c>
      <c r="G60" s="554">
        <v>36371.075462499997</v>
      </c>
      <c r="H60" s="203"/>
      <c r="I60" s="703"/>
      <c r="J60" s="703"/>
      <c r="K60" s="202"/>
      <c r="L60" s="202"/>
    </row>
    <row r="61" spans="1:12" ht="9.75" customHeight="1">
      <c r="A61" s="556"/>
      <c r="B61" s="400" t="s">
        <v>352</v>
      </c>
      <c r="C61" s="554"/>
      <c r="D61" s="554">
        <v>9390.7811325000002</v>
      </c>
      <c r="E61" s="554"/>
      <c r="F61" s="554">
        <v>9390.7811325000002</v>
      </c>
      <c r="G61" s="554">
        <v>9390.7811325000002</v>
      </c>
      <c r="H61" s="203"/>
      <c r="I61" s="703"/>
      <c r="J61" s="703"/>
      <c r="K61" s="202"/>
      <c r="L61" s="202"/>
    </row>
    <row r="62" spans="1:12" ht="9.75" customHeight="1">
      <c r="A62" s="556"/>
      <c r="B62" s="400" t="s">
        <v>353</v>
      </c>
      <c r="C62" s="554"/>
      <c r="D62" s="554">
        <v>33328.935949999999</v>
      </c>
      <c r="E62" s="554"/>
      <c r="F62" s="554">
        <v>33328.935949999999</v>
      </c>
      <c r="G62" s="554">
        <v>33328.935949999999</v>
      </c>
      <c r="H62" s="203"/>
      <c r="I62" s="703"/>
      <c r="J62" s="703"/>
      <c r="K62" s="202"/>
      <c r="L62" s="202"/>
    </row>
    <row r="63" spans="1:12" ht="9.75" customHeight="1">
      <c r="A63" s="556"/>
      <c r="B63" s="400" t="s">
        <v>354</v>
      </c>
      <c r="C63" s="554"/>
      <c r="D63" s="554">
        <v>197447.91988499998</v>
      </c>
      <c r="E63" s="554"/>
      <c r="F63" s="554">
        <v>197447.91988499998</v>
      </c>
      <c r="G63" s="554">
        <v>197447.91988499998</v>
      </c>
      <c r="H63" s="203"/>
      <c r="I63" s="703"/>
      <c r="J63" s="703"/>
      <c r="K63" s="202"/>
      <c r="L63" s="202"/>
    </row>
    <row r="64" spans="1:12" ht="9.75" customHeight="1">
      <c r="A64" s="556"/>
      <c r="B64" s="400" t="s">
        <v>620</v>
      </c>
      <c r="C64" s="554"/>
      <c r="D64" s="554"/>
      <c r="E64" s="554">
        <v>70.256727499999997</v>
      </c>
      <c r="F64" s="554">
        <v>70.256727499999997</v>
      </c>
      <c r="G64" s="554">
        <v>70.256727499999997</v>
      </c>
      <c r="I64" s="400"/>
      <c r="J64" s="703"/>
      <c r="K64" s="202"/>
      <c r="L64" s="202"/>
    </row>
    <row r="65" spans="1:12" ht="9.75" customHeight="1">
      <c r="A65" s="687" t="s">
        <v>355</v>
      </c>
      <c r="B65" s="688"/>
      <c r="C65" s="689">
        <v>238386.50981999998</v>
      </c>
      <c r="D65" s="689">
        <v>240167.63696749997</v>
      </c>
      <c r="E65" s="689">
        <v>70.256727499999997</v>
      </c>
      <c r="F65" s="689">
        <v>478624.40351499995</v>
      </c>
      <c r="G65" s="689">
        <v>478624.40351499995</v>
      </c>
      <c r="I65" s="400"/>
      <c r="J65" s="703"/>
      <c r="K65" s="202"/>
      <c r="L65" s="202"/>
    </row>
    <row r="66" spans="1:12" ht="9.75" customHeight="1">
      <c r="A66" s="556" t="s">
        <v>99</v>
      </c>
      <c r="B66" s="400" t="s">
        <v>356</v>
      </c>
      <c r="C66" s="554"/>
      <c r="D66" s="554">
        <v>217.94641250000001</v>
      </c>
      <c r="E66" s="554"/>
      <c r="F66" s="554">
        <v>217.94641250000001</v>
      </c>
      <c r="G66" s="554">
        <v>217.94641250000001</v>
      </c>
      <c r="I66" s="400"/>
      <c r="J66" s="703"/>
      <c r="K66" s="202"/>
      <c r="L66" s="202"/>
    </row>
    <row r="67" spans="1:12" ht="9.75" customHeight="1">
      <c r="A67" s="556"/>
      <c r="B67" s="400" t="s">
        <v>357</v>
      </c>
      <c r="C67" s="554"/>
      <c r="D67" s="554">
        <v>49096.610215000001</v>
      </c>
      <c r="E67" s="554"/>
      <c r="F67" s="554">
        <v>49096.610215000001</v>
      </c>
      <c r="G67" s="554">
        <v>49096.610215000001</v>
      </c>
      <c r="I67" s="400"/>
      <c r="J67" s="703"/>
      <c r="K67" s="202"/>
      <c r="L67" s="202"/>
    </row>
    <row r="68" spans="1:12" ht="9.75" customHeight="1">
      <c r="A68" s="556"/>
      <c r="B68" s="400" t="s">
        <v>358</v>
      </c>
      <c r="C68" s="554"/>
      <c r="D68" s="554">
        <v>6247.0547525000002</v>
      </c>
      <c r="E68" s="554"/>
      <c r="F68" s="554">
        <v>6247.0547525000002</v>
      </c>
      <c r="G68" s="554">
        <v>6247.0547525000002</v>
      </c>
      <c r="I68" s="400"/>
      <c r="J68" s="703"/>
      <c r="K68" s="202"/>
      <c r="L68" s="202"/>
    </row>
    <row r="69" spans="1:12" ht="9.75" customHeight="1">
      <c r="A69" s="687" t="s">
        <v>359</v>
      </c>
      <c r="B69" s="688"/>
      <c r="C69" s="689"/>
      <c r="D69" s="689">
        <v>55561.611380000002</v>
      </c>
      <c r="E69" s="689"/>
      <c r="F69" s="689">
        <v>55561.611380000002</v>
      </c>
      <c r="G69" s="689">
        <v>55561.611380000002</v>
      </c>
      <c r="I69" s="400"/>
      <c r="J69" s="703"/>
      <c r="K69" s="202"/>
      <c r="L69" s="202"/>
    </row>
    <row r="70" spans="1:12" ht="9.75" customHeight="1">
      <c r="A70" s="556" t="s">
        <v>101</v>
      </c>
      <c r="B70" s="400" t="s">
        <v>611</v>
      </c>
      <c r="C70" s="557"/>
      <c r="D70" s="557"/>
      <c r="E70" s="557">
        <v>30815.854310000002</v>
      </c>
      <c r="F70" s="400">
        <v>30815.854310000002</v>
      </c>
      <c r="G70" s="400">
        <v>30815.854310000002</v>
      </c>
      <c r="I70" s="400"/>
      <c r="J70" s="703"/>
      <c r="K70" s="202"/>
      <c r="L70" s="202"/>
    </row>
    <row r="71" spans="1:12" ht="9.75" customHeight="1">
      <c r="A71" s="556"/>
      <c r="B71" s="400" t="s">
        <v>612</v>
      </c>
      <c r="C71" s="557"/>
      <c r="D71" s="557"/>
      <c r="E71" s="557">
        <v>39269.720107499998</v>
      </c>
      <c r="F71" s="400">
        <v>39269.720107499998</v>
      </c>
      <c r="G71" s="400">
        <v>39269.720107499998</v>
      </c>
      <c r="I71" s="400"/>
      <c r="J71" s="703"/>
      <c r="K71" s="202"/>
      <c r="L71" s="202"/>
    </row>
    <row r="72" spans="1:12" ht="9.75" customHeight="1">
      <c r="A72" s="687" t="s">
        <v>360</v>
      </c>
      <c r="B72" s="688"/>
      <c r="C72" s="689"/>
      <c r="D72" s="689"/>
      <c r="E72" s="689">
        <v>70085.5744175</v>
      </c>
      <c r="F72" s="689">
        <v>70085.5744175</v>
      </c>
      <c r="G72" s="689">
        <v>70085.5744175</v>
      </c>
      <c r="I72" s="400"/>
      <c r="J72" s="703"/>
      <c r="K72" s="202"/>
      <c r="L72" s="202"/>
    </row>
    <row r="73" spans="1:12" ht="9.75" customHeight="1">
      <c r="A73" s="556" t="s">
        <v>100</v>
      </c>
      <c r="B73" s="400" t="s">
        <v>80</v>
      </c>
      <c r="C73" s="557"/>
      <c r="D73" s="557"/>
      <c r="E73" s="557">
        <v>24544.796729999998</v>
      </c>
      <c r="F73" s="400">
        <v>24544.796729999998</v>
      </c>
      <c r="G73" s="400">
        <v>24544.796729999998</v>
      </c>
      <c r="I73" s="400"/>
      <c r="J73" s="703"/>
      <c r="K73" s="202"/>
      <c r="L73" s="202"/>
    </row>
    <row r="74" spans="1:12" ht="9.75" customHeight="1">
      <c r="A74" s="556"/>
      <c r="B74" s="400" t="s">
        <v>82</v>
      </c>
      <c r="C74" s="557"/>
      <c r="D74" s="557"/>
      <c r="E74" s="557">
        <v>6986.70766</v>
      </c>
      <c r="F74" s="400">
        <v>6986.70766</v>
      </c>
      <c r="G74" s="400">
        <v>6986.70766</v>
      </c>
      <c r="I74" s="400"/>
      <c r="J74" s="703"/>
      <c r="K74" s="202"/>
      <c r="L74" s="202"/>
    </row>
    <row r="75" spans="1:12" ht="9.75" customHeight="1">
      <c r="A75" s="687" t="s">
        <v>361</v>
      </c>
      <c r="B75" s="688"/>
      <c r="C75" s="689"/>
      <c r="D75" s="689"/>
      <c r="E75" s="689">
        <v>31531.504389999998</v>
      </c>
      <c r="F75" s="689">
        <v>31531.504389999998</v>
      </c>
      <c r="G75" s="689">
        <v>31531.504389999998</v>
      </c>
      <c r="I75" s="400"/>
      <c r="J75" s="703"/>
      <c r="K75" s="202"/>
      <c r="L75" s="202"/>
    </row>
    <row r="76" spans="1:12" ht="9.75" customHeight="1">
      <c r="A76" s="400"/>
      <c r="B76" s="400"/>
      <c r="C76" s="557"/>
      <c r="D76" s="557"/>
      <c r="E76" s="557"/>
      <c r="F76" s="400"/>
      <c r="G76" s="400"/>
    </row>
    <row r="77" spans="1:12" ht="9.75" customHeight="1">
      <c r="A77" s="400"/>
      <c r="B77" s="400"/>
      <c r="C77" s="557"/>
      <c r="D77" s="557"/>
      <c r="E77" s="557"/>
      <c r="F77" s="400"/>
      <c r="G77" s="400"/>
    </row>
    <row r="78" spans="1:12" ht="9.75" customHeight="1">
      <c r="A78" s="400"/>
      <c r="B78" s="400"/>
      <c r="C78" s="557"/>
      <c r="D78" s="557"/>
      <c r="E78" s="557"/>
      <c r="F78" s="400"/>
      <c r="G78" s="400"/>
    </row>
    <row r="79" spans="1:12" ht="9.75" customHeight="1">
      <c r="A79" s="400"/>
      <c r="B79" s="400"/>
      <c r="C79" s="557"/>
      <c r="D79" s="557"/>
      <c r="E79" s="557"/>
      <c r="F79" s="400"/>
      <c r="G79" s="400"/>
    </row>
    <row r="80" spans="1:12" ht="9.75" customHeight="1">
      <c r="A80" s="400"/>
      <c r="B80" s="400"/>
      <c r="C80" s="557"/>
      <c r="D80" s="557"/>
      <c r="E80" s="557"/>
      <c r="F80" s="400"/>
      <c r="G80" s="400"/>
    </row>
    <row r="81" spans="1:7" ht="9.75" customHeight="1">
      <c r="A81" s="400"/>
      <c r="B81" s="400"/>
      <c r="C81" s="557"/>
      <c r="D81" s="557"/>
      <c r="E81" s="557"/>
      <c r="F81" s="400"/>
      <c r="G81" s="400"/>
    </row>
    <row r="82" spans="1:7" ht="9.75" customHeight="1">
      <c r="A82" s="400"/>
      <c r="B82" s="400"/>
      <c r="C82" s="557"/>
      <c r="D82" s="557"/>
      <c r="E82" s="557"/>
      <c r="F82" s="400"/>
      <c r="G82" s="400"/>
    </row>
    <row r="83" spans="1:7" ht="9.75" customHeight="1">
      <c r="A83" s="400"/>
      <c r="B83" s="400"/>
      <c r="C83" s="557"/>
      <c r="D83" s="557"/>
      <c r="E83" s="557"/>
      <c r="F83" s="400"/>
      <c r="G83" s="400"/>
    </row>
    <row r="84" spans="1:7" ht="9.75" customHeight="1">
      <c r="A84" s="400"/>
      <c r="B84" s="400"/>
      <c r="C84" s="557"/>
      <c r="D84" s="557"/>
      <c r="E84" s="557"/>
      <c r="F84" s="400"/>
      <c r="G84" s="400"/>
    </row>
    <row r="85" spans="1:7" ht="9.75" customHeight="1">
      <c r="A85" s="400"/>
      <c r="B85" s="400"/>
      <c r="C85" s="557"/>
      <c r="D85" s="557"/>
      <c r="E85" s="557"/>
      <c r="F85" s="400"/>
      <c r="G85" s="400"/>
    </row>
    <row r="86" spans="1:7" ht="9.75" customHeight="1">
      <c r="A86" s="400"/>
      <c r="B86" s="400"/>
      <c r="C86" s="557"/>
      <c r="D86" s="557"/>
      <c r="E86" s="557"/>
      <c r="F86" s="400"/>
      <c r="G86" s="400"/>
    </row>
    <row r="87" spans="1:7" ht="9.75" customHeight="1">
      <c r="A87" s="400"/>
      <c r="B87" s="400"/>
      <c r="C87" s="557"/>
      <c r="D87" s="557"/>
      <c r="E87" s="557"/>
      <c r="F87" s="400"/>
      <c r="G87" s="400"/>
    </row>
    <row r="88" spans="1:7" ht="9.75" customHeight="1">
      <c r="A88" s="400"/>
      <c r="B88" s="400"/>
      <c r="C88" s="557"/>
      <c r="D88" s="557"/>
      <c r="E88" s="557"/>
      <c r="F88" s="400"/>
      <c r="G88" s="400"/>
    </row>
    <row r="89" spans="1:7" ht="9.75" customHeight="1">
      <c r="A89" s="400"/>
      <c r="B89" s="400"/>
      <c r="C89" s="557"/>
      <c r="D89" s="557"/>
      <c r="E89" s="557"/>
      <c r="F89" s="400"/>
      <c r="G89" s="400"/>
    </row>
    <row r="90" spans="1:7" ht="9.75" customHeight="1">
      <c r="A90" s="400"/>
      <c r="B90" s="400"/>
      <c r="C90" s="557"/>
      <c r="D90" s="557"/>
      <c r="E90" s="557"/>
      <c r="F90" s="400"/>
      <c r="G90" s="400"/>
    </row>
    <row r="91" spans="1:7" ht="9.75" customHeight="1">
      <c r="A91" s="400"/>
      <c r="B91" s="400"/>
      <c r="C91" s="557"/>
      <c r="D91" s="557"/>
      <c r="E91" s="557"/>
      <c r="F91" s="400"/>
      <c r="G91" s="400"/>
    </row>
    <row r="92" spans="1:7" ht="9.75" customHeight="1">
      <c r="A92" s="400"/>
      <c r="B92" s="400"/>
      <c r="C92" s="557"/>
      <c r="D92" s="557"/>
      <c r="E92" s="557"/>
      <c r="F92" s="400"/>
      <c r="G92" s="400"/>
    </row>
    <row r="93" spans="1:7" ht="9.75" customHeight="1">
      <c r="A93" s="400"/>
      <c r="B93" s="400"/>
      <c r="C93" s="557"/>
      <c r="D93" s="557"/>
      <c r="E93" s="557"/>
      <c r="F93" s="400"/>
      <c r="G93" s="400"/>
    </row>
    <row r="94" spans="1:7" ht="9.75" customHeight="1">
      <c r="A94" s="400"/>
      <c r="B94" s="400"/>
      <c r="C94" s="557"/>
      <c r="D94" s="557"/>
      <c r="E94" s="557"/>
      <c r="F94" s="400"/>
      <c r="G94" s="400"/>
    </row>
    <row r="95" spans="1:7" ht="9.75" customHeight="1">
      <c r="A95" s="400"/>
      <c r="B95" s="400"/>
      <c r="C95" s="557"/>
      <c r="D95" s="557"/>
      <c r="E95" s="557"/>
      <c r="F95" s="400"/>
      <c r="G95" s="400"/>
    </row>
    <row r="96" spans="1:7" ht="9.75" customHeight="1">
      <c r="A96" s="400"/>
      <c r="B96" s="400"/>
      <c r="C96" s="557"/>
      <c r="D96" s="557"/>
      <c r="E96" s="557"/>
      <c r="F96" s="400"/>
      <c r="G96" s="400"/>
    </row>
    <row r="97" spans="1:7" ht="9.75" customHeight="1">
      <c r="A97" s="400"/>
      <c r="B97" s="400"/>
      <c r="C97" s="557"/>
      <c r="D97" s="557"/>
      <c r="E97" s="557"/>
      <c r="F97" s="400"/>
      <c r="G97" s="400"/>
    </row>
    <row r="98" spans="1:7" ht="9.75" customHeight="1">
      <c r="A98" s="400"/>
      <c r="B98" s="400"/>
      <c r="C98" s="557"/>
      <c r="D98" s="557"/>
      <c r="E98" s="557"/>
      <c r="F98" s="400"/>
      <c r="G98" s="400"/>
    </row>
    <row r="99" spans="1:7" ht="9.75" customHeight="1">
      <c r="A99" s="400"/>
      <c r="B99" s="400"/>
      <c r="C99" s="557"/>
      <c r="D99" s="557"/>
      <c r="E99" s="557"/>
      <c r="F99" s="400"/>
      <c r="G99" s="400"/>
    </row>
    <row r="100" spans="1:7" ht="9.75" customHeight="1">
      <c r="A100" s="400"/>
      <c r="B100" s="400"/>
      <c r="C100" s="557"/>
      <c r="D100" s="557"/>
      <c r="E100" s="557"/>
      <c r="F100" s="400"/>
      <c r="G100" s="400"/>
    </row>
    <row r="101" spans="1:7" ht="9.75" customHeight="1">
      <c r="A101" s="400"/>
      <c r="B101" s="400"/>
      <c r="C101" s="557"/>
      <c r="D101" s="557"/>
      <c r="E101" s="557"/>
      <c r="F101" s="400"/>
      <c r="G101" s="400"/>
    </row>
    <row r="102" spans="1:7" ht="9.75" customHeight="1">
      <c r="A102" s="400"/>
      <c r="B102" s="400"/>
      <c r="C102" s="557"/>
      <c r="D102" s="557"/>
      <c r="E102" s="557"/>
      <c r="F102" s="400"/>
      <c r="G102" s="400"/>
    </row>
    <row r="103" spans="1:7" ht="9.75" customHeight="1">
      <c r="A103" s="400"/>
      <c r="B103" s="400"/>
      <c r="C103" s="557"/>
      <c r="D103" s="557"/>
      <c r="E103" s="557"/>
      <c r="F103" s="400"/>
      <c r="G103" s="400"/>
    </row>
    <row r="104" spans="1:7" ht="9.75" customHeight="1">
      <c r="A104" s="400"/>
      <c r="B104" s="400"/>
      <c r="C104" s="557"/>
      <c r="D104" s="557"/>
      <c r="E104" s="557"/>
      <c r="F104" s="400"/>
      <c r="G104" s="400"/>
    </row>
    <row r="105" spans="1:7" ht="9.75" customHeight="1">
      <c r="A105" s="400"/>
      <c r="B105" s="400"/>
      <c r="C105" s="557"/>
      <c r="D105" s="557"/>
      <c r="E105" s="557"/>
      <c r="F105" s="400"/>
      <c r="G105" s="400"/>
    </row>
    <row r="106" spans="1:7" ht="9.75" customHeight="1">
      <c r="A106" s="400"/>
      <c r="B106" s="400"/>
      <c r="C106" s="557"/>
      <c r="D106" s="557"/>
      <c r="E106" s="557"/>
      <c r="F106" s="400"/>
      <c r="G106" s="400"/>
    </row>
    <row r="107" spans="1:7" ht="9.75" customHeight="1">
      <c r="A107" s="400"/>
      <c r="B107" s="400"/>
      <c r="C107" s="557"/>
      <c r="D107" s="557"/>
      <c r="E107" s="557"/>
      <c r="F107" s="400"/>
      <c r="G107" s="400"/>
    </row>
    <row r="108" spans="1:7" ht="9.75" customHeight="1">
      <c r="A108" s="400"/>
      <c r="B108" s="400"/>
      <c r="C108" s="557"/>
      <c r="D108" s="557"/>
      <c r="E108" s="557"/>
      <c r="F108" s="400"/>
      <c r="G108" s="400"/>
    </row>
    <row r="109" spans="1:7" ht="9.75" customHeight="1">
      <c r="A109" s="400"/>
      <c r="B109" s="400"/>
      <c r="C109" s="557"/>
      <c r="D109" s="557"/>
      <c r="E109" s="557"/>
      <c r="F109" s="400"/>
      <c r="G109" s="400"/>
    </row>
    <row r="110" spans="1:7" ht="9.75" customHeight="1">
      <c r="A110" s="400"/>
      <c r="B110" s="400"/>
      <c r="C110" s="557"/>
      <c r="D110" s="557"/>
      <c r="E110" s="557"/>
      <c r="F110" s="400"/>
      <c r="G110" s="400"/>
    </row>
    <row r="111" spans="1:7" ht="9.75" customHeight="1">
      <c r="A111" s="400"/>
      <c r="B111" s="400"/>
      <c r="C111" s="557"/>
      <c r="D111" s="557"/>
      <c r="E111" s="557"/>
      <c r="F111" s="400"/>
      <c r="G111" s="400"/>
    </row>
    <row r="112" spans="1:7" ht="9.75" customHeight="1">
      <c r="A112" s="400"/>
      <c r="B112" s="400"/>
      <c r="C112" s="557"/>
      <c r="D112" s="557"/>
      <c r="E112" s="557"/>
      <c r="F112" s="400"/>
      <c r="G112" s="400"/>
    </row>
    <row r="113" spans="1:7" ht="9.75" customHeight="1">
      <c r="A113" s="400"/>
      <c r="B113" s="400"/>
      <c r="C113" s="557"/>
      <c r="D113" s="557"/>
      <c r="E113" s="557"/>
      <c r="F113" s="400"/>
      <c r="G113" s="400"/>
    </row>
    <row r="114" spans="1:7" ht="9.75" customHeight="1">
      <c r="A114" s="400"/>
      <c r="B114" s="400"/>
      <c r="C114" s="557"/>
      <c r="D114" s="557"/>
      <c r="E114" s="557"/>
      <c r="F114" s="400"/>
      <c r="G114" s="400"/>
    </row>
    <row r="115" spans="1:7" ht="9.75" customHeight="1">
      <c r="A115" s="400"/>
      <c r="B115" s="400"/>
      <c r="C115" s="557"/>
      <c r="D115" s="557"/>
      <c r="E115" s="557"/>
      <c r="F115" s="400"/>
      <c r="G115" s="400"/>
    </row>
    <row r="116" spans="1:7" ht="9.75" customHeight="1">
      <c r="A116" s="400"/>
      <c r="B116" s="400"/>
      <c r="C116" s="557"/>
      <c r="D116" s="557"/>
      <c r="E116" s="557"/>
      <c r="F116" s="400"/>
      <c r="G116" s="400"/>
    </row>
    <row r="117" spans="1:7" ht="9.75" customHeight="1">
      <c r="A117" s="400"/>
      <c r="B117" s="400"/>
      <c r="C117" s="557"/>
      <c r="D117" s="557"/>
      <c r="E117" s="557"/>
      <c r="F117" s="400"/>
      <c r="G117" s="400"/>
    </row>
    <row r="118" spans="1:7" ht="9.75" customHeight="1">
      <c r="A118" s="400"/>
      <c r="B118" s="400"/>
      <c r="C118" s="557"/>
      <c r="D118" s="557"/>
      <c r="E118" s="557"/>
      <c r="F118" s="400"/>
      <c r="G118" s="400"/>
    </row>
    <row r="119" spans="1:7" ht="9.75" customHeight="1">
      <c r="A119" s="400"/>
      <c r="B119" s="400"/>
      <c r="C119" s="557"/>
      <c r="D119" s="557"/>
      <c r="E119" s="557"/>
      <c r="F119" s="400"/>
      <c r="G119" s="400"/>
    </row>
    <row r="120" spans="1:7" ht="9.75" customHeight="1">
      <c r="A120" s="400"/>
      <c r="B120" s="400"/>
      <c r="C120" s="557"/>
      <c r="D120" s="557"/>
      <c r="E120" s="557"/>
      <c r="F120" s="400"/>
      <c r="G120" s="400"/>
    </row>
    <row r="121" spans="1:7" ht="9.75" customHeight="1">
      <c r="A121" s="400"/>
      <c r="B121" s="400"/>
      <c r="C121" s="557"/>
      <c r="D121" s="557"/>
      <c r="E121" s="557"/>
      <c r="F121" s="400"/>
      <c r="G121" s="400"/>
    </row>
    <row r="122" spans="1:7" ht="9.75" customHeight="1">
      <c r="A122" s="400"/>
      <c r="B122" s="400"/>
      <c r="C122" s="557"/>
      <c r="D122" s="557"/>
      <c r="E122" s="557"/>
      <c r="F122" s="400"/>
      <c r="G122" s="400"/>
    </row>
    <row r="123" spans="1:7" ht="9.75" customHeight="1">
      <c r="A123" s="400"/>
      <c r="B123" s="400"/>
      <c r="C123" s="557"/>
      <c r="D123" s="557"/>
      <c r="E123" s="557"/>
      <c r="F123" s="400"/>
      <c r="G123" s="400"/>
    </row>
    <row r="124" spans="1:7" ht="9.75" customHeight="1">
      <c r="A124" s="400"/>
      <c r="B124" s="400"/>
      <c r="C124" s="557"/>
      <c r="D124" s="557"/>
      <c r="E124" s="557"/>
      <c r="F124" s="400"/>
      <c r="G124" s="400"/>
    </row>
    <row r="125" spans="1:7" ht="9.75" customHeight="1">
      <c r="A125" s="400"/>
      <c r="B125" s="400"/>
      <c r="C125" s="557"/>
      <c r="D125" s="557"/>
      <c r="E125" s="557"/>
      <c r="F125" s="400"/>
      <c r="G125" s="400"/>
    </row>
    <row r="126" spans="1:7" ht="9.75" customHeight="1">
      <c r="A126" s="400"/>
      <c r="B126" s="400"/>
      <c r="C126" s="557"/>
      <c r="D126" s="557"/>
      <c r="E126" s="557"/>
      <c r="F126" s="400"/>
      <c r="G126" s="400"/>
    </row>
    <row r="127" spans="1:7" ht="9.75" customHeight="1">
      <c r="A127" s="400"/>
      <c r="B127" s="400"/>
      <c r="C127" s="557"/>
      <c r="D127" s="557"/>
      <c r="E127" s="557"/>
      <c r="F127" s="400"/>
      <c r="G127" s="400"/>
    </row>
    <row r="128" spans="1:7" ht="9.75" customHeight="1">
      <c r="A128" s="400"/>
      <c r="B128" s="400"/>
      <c r="C128" s="557"/>
      <c r="D128" s="557"/>
      <c r="E128" s="557"/>
      <c r="F128" s="400"/>
      <c r="G128" s="400"/>
    </row>
    <row r="129" spans="1:7" ht="9.75" customHeight="1">
      <c r="A129" s="400"/>
      <c r="B129" s="400"/>
      <c r="C129" s="557"/>
      <c r="D129" s="557"/>
      <c r="E129" s="557"/>
      <c r="F129" s="400"/>
      <c r="G129" s="400"/>
    </row>
    <row r="130" spans="1:7" ht="9.75" customHeight="1">
      <c r="A130" s="400"/>
      <c r="B130" s="400"/>
      <c r="C130" s="557"/>
      <c r="D130" s="557"/>
      <c r="E130" s="557"/>
      <c r="F130" s="400"/>
      <c r="G130" s="400"/>
    </row>
    <row r="131" spans="1:7" ht="9.75" customHeight="1">
      <c r="A131" s="400"/>
      <c r="B131" s="400"/>
      <c r="C131" s="557"/>
      <c r="D131" s="557"/>
      <c r="E131" s="557"/>
      <c r="F131" s="400"/>
      <c r="G131" s="400"/>
    </row>
    <row r="132" spans="1:7" ht="9.75" customHeight="1">
      <c r="A132" s="400"/>
      <c r="B132" s="400"/>
      <c r="C132" s="557"/>
      <c r="D132" s="557"/>
      <c r="E132" s="557"/>
      <c r="F132" s="400"/>
      <c r="G132" s="400"/>
    </row>
    <row r="133" spans="1:7" ht="9.75" customHeight="1">
      <c r="A133" s="400"/>
      <c r="B133" s="400"/>
      <c r="C133" s="557"/>
      <c r="D133" s="557"/>
      <c r="E133" s="557"/>
      <c r="F133" s="400"/>
      <c r="G133" s="400"/>
    </row>
    <row r="134" spans="1:7" ht="9.75" customHeight="1">
      <c r="A134" s="400"/>
      <c r="B134" s="400"/>
      <c r="C134" s="557"/>
      <c r="D134" s="557"/>
      <c r="E134" s="557"/>
      <c r="F134" s="400"/>
      <c r="G134" s="400"/>
    </row>
    <row r="135" spans="1:7" ht="9.75" customHeight="1">
      <c r="A135" s="400"/>
      <c r="B135" s="400"/>
      <c r="C135" s="557"/>
      <c r="D135" s="557"/>
      <c r="E135" s="557"/>
      <c r="F135" s="400"/>
      <c r="G135" s="400"/>
    </row>
    <row r="136" spans="1:7" ht="9.75" customHeight="1">
      <c r="A136" s="400"/>
      <c r="B136" s="400"/>
      <c r="C136" s="557"/>
      <c r="D136" s="557"/>
      <c r="E136" s="557"/>
      <c r="F136" s="400"/>
      <c r="G136" s="400"/>
    </row>
    <row r="137" spans="1:7" ht="9.75" customHeight="1">
      <c r="A137" s="400"/>
      <c r="B137" s="400"/>
      <c r="C137" s="557"/>
      <c r="D137" s="557"/>
      <c r="E137" s="557"/>
      <c r="F137" s="400"/>
      <c r="G137" s="400"/>
    </row>
    <row r="138" spans="1:7" ht="9.75" customHeight="1">
      <c r="A138" s="400"/>
      <c r="B138" s="400"/>
      <c r="C138" s="557"/>
      <c r="D138" s="557"/>
      <c r="E138" s="557"/>
      <c r="F138" s="400"/>
      <c r="G138" s="400"/>
    </row>
    <row r="139" spans="1:7" ht="9.75" customHeight="1">
      <c r="A139" s="400"/>
      <c r="B139" s="400"/>
      <c r="C139" s="557"/>
      <c r="D139" s="557"/>
      <c r="E139" s="557"/>
      <c r="F139" s="400"/>
      <c r="G139" s="400"/>
    </row>
    <row r="140" spans="1:7" ht="9.75" customHeight="1">
      <c r="A140" s="400"/>
      <c r="B140" s="400"/>
      <c r="C140" s="557"/>
      <c r="D140" s="557"/>
      <c r="E140" s="557"/>
      <c r="F140" s="400"/>
      <c r="G140" s="400"/>
    </row>
    <row r="141" spans="1:7" ht="9.75" customHeight="1">
      <c r="A141" s="400"/>
      <c r="B141" s="400"/>
      <c r="C141" s="557"/>
      <c r="D141" s="557"/>
      <c r="E141" s="557"/>
      <c r="F141" s="400"/>
      <c r="G141" s="400"/>
    </row>
    <row r="142" spans="1:7" ht="9.75" customHeight="1">
      <c r="A142" s="400"/>
      <c r="B142" s="400"/>
      <c r="C142" s="557"/>
      <c r="D142" s="557"/>
      <c r="E142" s="557"/>
      <c r="F142" s="400"/>
      <c r="G142" s="400"/>
    </row>
    <row r="143" spans="1:7" ht="9.75" customHeight="1">
      <c r="A143" s="400"/>
      <c r="B143" s="400"/>
      <c r="C143" s="557"/>
      <c r="D143" s="557"/>
      <c r="E143" s="557"/>
      <c r="F143" s="400"/>
      <c r="G143" s="400"/>
    </row>
    <row r="144" spans="1:7" ht="9.75" customHeight="1">
      <c r="A144" s="400"/>
      <c r="B144" s="400"/>
      <c r="C144" s="557"/>
      <c r="D144" s="557"/>
      <c r="E144" s="557"/>
      <c r="F144" s="400"/>
      <c r="G144" s="400"/>
    </row>
    <row r="145" spans="1:7" ht="9.75" customHeight="1">
      <c r="A145" s="400"/>
      <c r="B145" s="400"/>
      <c r="C145" s="557"/>
      <c r="D145" s="557"/>
      <c r="E145" s="557"/>
      <c r="F145" s="400"/>
      <c r="G145" s="400"/>
    </row>
    <row r="146" spans="1:7" ht="9.75" customHeight="1">
      <c r="A146" s="400"/>
      <c r="B146" s="400"/>
      <c r="C146" s="557"/>
      <c r="D146" s="557"/>
      <c r="E146" s="557"/>
      <c r="F146" s="400"/>
      <c r="G146" s="400"/>
    </row>
    <row r="147" spans="1:7" ht="9.75" customHeight="1">
      <c r="A147" s="400"/>
      <c r="B147" s="400"/>
      <c r="C147" s="557"/>
      <c r="D147" s="557"/>
      <c r="E147" s="557"/>
      <c r="F147" s="400"/>
      <c r="G147" s="400"/>
    </row>
    <row r="148" spans="1:7" ht="9.75" customHeight="1">
      <c r="A148" s="400"/>
      <c r="B148" s="400"/>
      <c r="C148" s="557"/>
      <c r="D148" s="557"/>
      <c r="E148" s="557"/>
      <c r="F148" s="400"/>
      <c r="G148" s="400"/>
    </row>
    <row r="149" spans="1:7" ht="9.75" customHeight="1">
      <c r="A149" s="400"/>
      <c r="B149" s="400"/>
      <c r="C149" s="557"/>
      <c r="D149" s="557"/>
      <c r="E149" s="557"/>
      <c r="F149" s="400"/>
      <c r="G149" s="400"/>
    </row>
    <row r="150" spans="1:7" ht="9.75" customHeight="1">
      <c r="A150" s="400"/>
      <c r="B150" s="400"/>
      <c r="C150" s="557"/>
      <c r="D150" s="557"/>
      <c r="E150" s="557"/>
      <c r="F150" s="400"/>
      <c r="G150" s="400"/>
    </row>
    <row r="151" spans="1:7" ht="9.75" customHeight="1">
      <c r="A151" s="400"/>
      <c r="B151" s="400"/>
      <c r="C151" s="557"/>
      <c r="D151" s="557"/>
      <c r="E151" s="557"/>
      <c r="F151" s="400"/>
      <c r="G151" s="400"/>
    </row>
    <row r="152" spans="1:7" ht="9.75" customHeight="1">
      <c r="A152" s="400"/>
      <c r="B152" s="400"/>
      <c r="C152" s="557"/>
      <c r="D152" s="557"/>
      <c r="E152" s="557"/>
      <c r="F152" s="400"/>
      <c r="G152" s="400"/>
    </row>
    <row r="153" spans="1:7" ht="9.75" customHeight="1">
      <c r="A153" s="400"/>
      <c r="B153" s="400"/>
      <c r="C153" s="557"/>
      <c r="D153" s="557"/>
      <c r="E153" s="557"/>
      <c r="F153" s="400"/>
      <c r="G153" s="400"/>
    </row>
    <row r="154" spans="1:7" ht="9.75" customHeight="1">
      <c r="A154" s="400"/>
      <c r="B154" s="400"/>
      <c r="C154" s="557"/>
      <c r="D154" s="557"/>
      <c r="E154" s="557"/>
      <c r="F154" s="400"/>
      <c r="G154" s="400"/>
    </row>
    <row r="155" spans="1:7" ht="9.75" customHeight="1">
      <c r="A155" s="400"/>
      <c r="B155" s="400"/>
      <c r="C155" s="557"/>
      <c r="D155" s="557"/>
      <c r="E155" s="557"/>
      <c r="F155" s="400"/>
      <c r="G155" s="400"/>
    </row>
    <row r="156" spans="1:7" ht="9.75" customHeight="1">
      <c r="A156" s="400"/>
      <c r="B156" s="400"/>
      <c r="C156" s="557"/>
      <c r="D156" s="557"/>
      <c r="E156" s="557"/>
      <c r="F156" s="400"/>
      <c r="G156" s="400"/>
    </row>
    <row r="157" spans="1:7" ht="9.75" customHeight="1">
      <c r="A157" s="400"/>
      <c r="B157" s="400"/>
      <c r="C157" s="557"/>
      <c r="D157" s="557"/>
      <c r="E157" s="557"/>
      <c r="F157" s="400"/>
      <c r="G157" s="400"/>
    </row>
    <row r="158" spans="1:7" ht="9.75" customHeight="1">
      <c r="A158" s="400"/>
      <c r="B158" s="400"/>
      <c r="C158" s="557"/>
      <c r="D158" s="557"/>
      <c r="E158" s="557"/>
      <c r="F158" s="400"/>
      <c r="G158" s="400"/>
    </row>
    <row r="159" spans="1:7" ht="9.75" customHeight="1">
      <c r="A159" s="400"/>
      <c r="B159" s="400"/>
      <c r="C159" s="557"/>
      <c r="D159" s="557"/>
      <c r="E159" s="557"/>
      <c r="F159" s="400"/>
      <c r="G159" s="400"/>
    </row>
    <row r="160" spans="1:7" ht="9.75" customHeight="1">
      <c r="A160" s="400"/>
      <c r="B160" s="400"/>
      <c r="C160" s="557"/>
      <c r="D160" s="557"/>
      <c r="E160" s="557"/>
      <c r="F160" s="400"/>
      <c r="G160" s="400"/>
    </row>
    <row r="161" spans="1:7" ht="9.75" customHeight="1">
      <c r="A161" s="400"/>
      <c r="B161" s="400"/>
      <c r="C161" s="557"/>
      <c r="D161" s="557"/>
      <c r="E161" s="557"/>
      <c r="F161" s="400"/>
      <c r="G161" s="400"/>
    </row>
    <row r="162" spans="1:7" ht="9.75" customHeight="1">
      <c r="A162" s="400"/>
      <c r="B162" s="400"/>
      <c r="C162" s="557"/>
      <c r="D162" s="557"/>
      <c r="E162" s="557"/>
      <c r="F162" s="400"/>
      <c r="G162" s="400"/>
    </row>
    <row r="163" spans="1:7" ht="9.75" customHeight="1">
      <c r="A163" s="400"/>
      <c r="B163" s="400"/>
      <c r="C163" s="557"/>
      <c r="D163" s="557"/>
      <c r="E163" s="557"/>
      <c r="F163" s="400"/>
      <c r="G163" s="400"/>
    </row>
    <row r="164" spans="1:7" ht="9.75" customHeight="1">
      <c r="A164" s="400"/>
      <c r="B164" s="400"/>
      <c r="C164" s="557"/>
      <c r="D164" s="557"/>
      <c r="E164" s="557"/>
      <c r="F164" s="400"/>
      <c r="G164" s="400"/>
    </row>
    <row r="165" spans="1:7" ht="9.75" customHeight="1">
      <c r="A165" s="400"/>
      <c r="B165" s="400"/>
      <c r="C165" s="557"/>
      <c r="D165" s="557"/>
      <c r="E165" s="557"/>
      <c r="F165" s="400"/>
      <c r="G165" s="400"/>
    </row>
    <row r="166" spans="1:7" ht="9.75" customHeight="1">
      <c r="A166" s="400"/>
      <c r="B166" s="400"/>
      <c r="C166" s="400"/>
      <c r="D166" s="400"/>
      <c r="E166" s="400"/>
      <c r="F166" s="400"/>
      <c r="G166" s="400"/>
    </row>
    <row r="167" spans="1:7" ht="9.75" customHeight="1">
      <c r="A167" s="400"/>
      <c r="B167" s="400"/>
      <c r="C167" s="400"/>
      <c r="D167" s="400"/>
      <c r="E167" s="400"/>
      <c r="F167" s="400"/>
      <c r="G167" s="400"/>
    </row>
    <row r="168" spans="1:7" ht="9.75" customHeight="1">
      <c r="A168" s="400"/>
      <c r="B168" s="400"/>
      <c r="C168" s="400"/>
      <c r="D168" s="400"/>
      <c r="E168" s="400"/>
      <c r="F168" s="400"/>
      <c r="G168" s="400"/>
    </row>
    <row r="169" spans="1:7" ht="9.75" customHeight="1">
      <c r="A169" s="400"/>
      <c r="B169" s="400"/>
      <c r="C169" s="400"/>
      <c r="D169" s="400"/>
      <c r="E169" s="400"/>
      <c r="F169" s="400"/>
      <c r="G169" s="400"/>
    </row>
    <row r="170" spans="1:7" ht="9.75" customHeight="1">
      <c r="A170" s="400"/>
      <c r="B170" s="400"/>
      <c r="C170" s="400"/>
      <c r="D170" s="400"/>
      <c r="E170" s="400"/>
      <c r="F170" s="400"/>
      <c r="G170" s="400"/>
    </row>
    <row r="171" spans="1:7" ht="9.75" customHeight="1">
      <c r="A171" s="400"/>
      <c r="B171" s="400"/>
      <c r="C171" s="400"/>
      <c r="D171" s="400"/>
      <c r="E171" s="400"/>
      <c r="F171" s="400"/>
      <c r="G171" s="400"/>
    </row>
    <row r="172" spans="1:7" ht="9.75" customHeight="1">
      <c r="A172" s="400"/>
      <c r="B172" s="400"/>
      <c r="C172" s="400"/>
      <c r="D172" s="400"/>
      <c r="E172" s="400"/>
      <c r="F172" s="400"/>
      <c r="G172" s="400"/>
    </row>
    <row r="173" spans="1:7" ht="9.75" customHeight="1">
      <c r="A173" s="400"/>
      <c r="B173" s="400"/>
      <c r="C173" s="400"/>
      <c r="D173" s="400"/>
      <c r="E173" s="400"/>
      <c r="F173" s="400"/>
      <c r="G173" s="400"/>
    </row>
    <row r="174" spans="1:7" ht="9.75" customHeight="1">
      <c r="A174" s="400"/>
      <c r="B174" s="400"/>
      <c r="C174" s="400"/>
      <c r="D174" s="400"/>
      <c r="E174" s="400"/>
      <c r="F174" s="400"/>
      <c r="G174" s="400"/>
    </row>
  </sheetData>
  <mergeCells count="5">
    <mergeCell ref="A2:A5"/>
    <mergeCell ref="B2:B5"/>
    <mergeCell ref="C2:F2"/>
    <mergeCell ref="C3:E3"/>
    <mergeCell ref="F3:F4"/>
  </mergeCells>
  <pageMargins left="0.70866141732283472" right="0.47244094488188981" top="1.4311417322834645" bottom="0.62992125984251968" header="0.31496062992125984" footer="0.31496062992125984"/>
  <pageSetup paperSize="9" scale="95" orientation="portrait" r:id="rId1"/>
  <headerFooter>
    <oddHeader>&amp;R&amp;7Informe de la Operación Mensual - Enero 2019
INFSGI-MES-01-2019
13/02/2019
Versión: 01</oddHeader>
    <oddFooter>&amp;L&amp;7COES, 2019&amp;C18&amp;R&amp;7Dirección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4"/>
  </sheetPr>
  <dimension ref="A1:L107"/>
  <sheetViews>
    <sheetView showGridLines="0" view="pageBreakPreview" topLeftCell="A28" zoomScale="120" zoomScaleNormal="100" zoomScaleSheetLayoutView="120" zoomScalePageLayoutView="130" workbookViewId="0">
      <selection activeCell="M24" sqref="M24"/>
    </sheetView>
  </sheetViews>
  <sheetFormatPr defaultColWidth="9.33203125" defaultRowHeight="11.25"/>
  <cols>
    <col min="1" max="1" width="22.83203125" customWidth="1"/>
    <col min="2" max="2" width="21.33203125" customWidth="1"/>
    <col min="3" max="3" width="16.5" customWidth="1"/>
    <col min="4" max="4" width="18.5" customWidth="1"/>
    <col min="5" max="5" width="10.33203125" customWidth="1"/>
    <col min="6" max="6" width="12.5" customWidth="1"/>
    <col min="7" max="7" width="16.1640625" bestFit="1" customWidth="1"/>
    <col min="8" max="8" width="13" bestFit="1" customWidth="1"/>
    <col min="10" max="11" width="9.33203125" style="527" customWidth="1"/>
    <col min="12" max="12" width="9.33203125" style="527"/>
  </cols>
  <sheetData>
    <row r="1" spans="1:12" ht="17.25" customHeight="1">
      <c r="A1" s="905" t="s">
        <v>277</v>
      </c>
      <c r="B1" s="899" t="s">
        <v>56</v>
      </c>
      <c r="C1" s="901" t="str">
        <f>+'18. ANEXOI-1'!C2:F2</f>
        <v>ENERGÍA PRODUCIDA ENERO 2019</v>
      </c>
      <c r="D1" s="901"/>
      <c r="E1" s="901"/>
      <c r="F1" s="901"/>
      <c r="G1" s="652" t="s">
        <v>304</v>
      </c>
      <c r="H1" s="209"/>
      <c r="I1" s="209"/>
      <c r="J1" s="705"/>
      <c r="K1" s="705"/>
    </row>
    <row r="2" spans="1:12" ht="11.25" customHeight="1">
      <c r="A2" s="905"/>
      <c r="B2" s="899"/>
      <c r="C2" s="902" t="s">
        <v>305</v>
      </c>
      <c r="D2" s="902"/>
      <c r="E2" s="902"/>
      <c r="F2" s="903" t="str">
        <f>"TOTAL 
"&amp;UPPER('1. Resumen'!Q4)</f>
        <v>TOTAL 
ENERO</v>
      </c>
      <c r="G2" s="653" t="s">
        <v>306</v>
      </c>
      <c r="H2" s="200"/>
      <c r="I2" s="200"/>
      <c r="J2" s="706"/>
      <c r="K2" s="706"/>
      <c r="L2" s="705"/>
    </row>
    <row r="3" spans="1:12" ht="11.25" customHeight="1">
      <c r="A3" s="905"/>
      <c r="B3" s="899"/>
      <c r="C3" s="654" t="s">
        <v>232</v>
      </c>
      <c r="D3" s="654" t="s">
        <v>233</v>
      </c>
      <c r="E3" s="654" t="s">
        <v>307</v>
      </c>
      <c r="F3" s="904"/>
      <c r="G3" s="653">
        <v>2018</v>
      </c>
      <c r="H3" s="202"/>
      <c r="I3" s="201"/>
      <c r="J3" s="707"/>
      <c r="K3" s="707"/>
      <c r="L3" s="705"/>
    </row>
    <row r="4" spans="1:12" ht="11.25" customHeight="1">
      <c r="A4" s="906"/>
      <c r="B4" s="907"/>
      <c r="C4" s="655" t="s">
        <v>308</v>
      </c>
      <c r="D4" s="655" t="s">
        <v>308</v>
      </c>
      <c r="E4" s="655" t="s">
        <v>308</v>
      </c>
      <c r="F4" s="655" t="s">
        <v>308</v>
      </c>
      <c r="G4" s="656" t="s">
        <v>216</v>
      </c>
      <c r="H4" s="202"/>
      <c r="I4" s="202"/>
      <c r="J4" s="708"/>
      <c r="K4" s="708"/>
      <c r="L4" s="709"/>
    </row>
    <row r="5" spans="1:12" ht="10.5" customHeight="1">
      <c r="A5" s="556" t="s">
        <v>90</v>
      </c>
      <c r="B5" s="400" t="s">
        <v>362</v>
      </c>
      <c r="C5" s="554">
        <v>64986.237852500002</v>
      </c>
      <c r="D5" s="554"/>
      <c r="E5" s="554"/>
      <c r="F5" s="554">
        <v>64986.237852500002</v>
      </c>
      <c r="G5" s="555">
        <v>64986.237852500002</v>
      </c>
      <c r="I5" s="704"/>
      <c r="K5" s="708"/>
      <c r="L5" s="708"/>
    </row>
    <row r="6" spans="1:12" ht="10.5" customHeight="1">
      <c r="A6" s="556"/>
      <c r="B6" s="400" t="s">
        <v>363</v>
      </c>
      <c r="C6" s="554">
        <v>91278.294177500007</v>
      </c>
      <c r="D6" s="554"/>
      <c r="E6" s="554"/>
      <c r="F6" s="554">
        <v>91278.294177500007</v>
      </c>
      <c r="G6" s="555">
        <v>91278.294177500007</v>
      </c>
      <c r="I6" s="704"/>
      <c r="K6" s="708"/>
      <c r="L6" s="708"/>
    </row>
    <row r="7" spans="1:12" ht="10.5" customHeight="1">
      <c r="A7" s="556"/>
      <c r="B7" s="400" t="s">
        <v>364</v>
      </c>
      <c r="C7" s="554"/>
      <c r="D7" s="554">
        <v>393542.68146500003</v>
      </c>
      <c r="E7" s="554"/>
      <c r="F7" s="554">
        <v>393542.68146500003</v>
      </c>
      <c r="G7" s="555">
        <v>393542.68146500003</v>
      </c>
      <c r="I7" s="704"/>
      <c r="K7" s="708"/>
      <c r="L7" s="708"/>
    </row>
    <row r="8" spans="1:12" ht="10.5" customHeight="1">
      <c r="A8" s="556"/>
      <c r="B8" s="400" t="s">
        <v>365</v>
      </c>
      <c r="C8" s="554"/>
      <c r="D8" s="554">
        <v>43451.231217499997</v>
      </c>
      <c r="E8" s="554"/>
      <c r="F8" s="554">
        <v>43451.231217499997</v>
      </c>
      <c r="G8" s="555">
        <v>43451.231217499997</v>
      </c>
      <c r="I8" s="704"/>
      <c r="K8" s="708"/>
      <c r="L8" s="708"/>
    </row>
    <row r="9" spans="1:12" ht="10.5" customHeight="1">
      <c r="A9" s="556"/>
      <c r="B9" s="400" t="s">
        <v>366</v>
      </c>
      <c r="C9" s="554"/>
      <c r="D9" s="554">
        <v>4072.2708400000001</v>
      </c>
      <c r="E9" s="554"/>
      <c r="F9" s="554">
        <v>4072.2708400000001</v>
      </c>
      <c r="G9" s="555">
        <v>4072.2708400000001</v>
      </c>
      <c r="I9" s="704"/>
      <c r="K9" s="708"/>
      <c r="L9" s="708"/>
    </row>
    <row r="10" spans="1:12" ht="10.5" customHeight="1">
      <c r="A10" s="556"/>
      <c r="B10" s="400" t="s">
        <v>367</v>
      </c>
      <c r="C10" s="554"/>
      <c r="D10" s="554">
        <v>546.84278500000005</v>
      </c>
      <c r="E10" s="554"/>
      <c r="F10" s="554">
        <v>546.84278500000005</v>
      </c>
      <c r="G10" s="555">
        <v>546.84278500000005</v>
      </c>
      <c r="I10" s="704"/>
      <c r="K10" s="708"/>
      <c r="L10" s="708"/>
    </row>
    <row r="11" spans="1:12" ht="10.5" customHeight="1">
      <c r="A11" s="556"/>
      <c r="B11" s="400" t="s">
        <v>368</v>
      </c>
      <c r="C11" s="554"/>
      <c r="D11" s="554">
        <v>0</v>
      </c>
      <c r="E11" s="554"/>
      <c r="F11" s="554">
        <v>0</v>
      </c>
      <c r="G11" s="555">
        <v>0</v>
      </c>
      <c r="I11" s="704"/>
      <c r="K11" s="708"/>
      <c r="L11" s="708"/>
    </row>
    <row r="12" spans="1:12" ht="10.5" customHeight="1">
      <c r="A12" s="556"/>
      <c r="B12" s="400" t="s">
        <v>617</v>
      </c>
      <c r="C12" s="554"/>
      <c r="D12" s="554"/>
      <c r="E12" s="554">
        <v>7285.0010625000004</v>
      </c>
      <c r="F12" s="554">
        <v>7285.0010625000004</v>
      </c>
      <c r="G12" s="555">
        <v>7285.0010625000004</v>
      </c>
      <c r="I12" s="704"/>
      <c r="K12" s="708"/>
      <c r="L12" s="708"/>
    </row>
    <row r="13" spans="1:12" ht="10.5" customHeight="1">
      <c r="A13" s="687" t="s">
        <v>369</v>
      </c>
      <c r="B13" s="688"/>
      <c r="C13" s="689">
        <v>156264.53203</v>
      </c>
      <c r="D13" s="689">
        <v>441613.02630750003</v>
      </c>
      <c r="E13" s="689">
        <v>7285.0010625000004</v>
      </c>
      <c r="F13" s="689">
        <v>605162.55940000014</v>
      </c>
      <c r="G13" s="690">
        <v>605162.55940000014</v>
      </c>
      <c r="I13" s="704"/>
      <c r="K13" s="708"/>
      <c r="L13" s="708"/>
    </row>
    <row r="14" spans="1:12" ht="10.5" customHeight="1">
      <c r="A14" s="556" t="s">
        <v>265</v>
      </c>
      <c r="B14" s="400" t="s">
        <v>370</v>
      </c>
      <c r="C14" s="554"/>
      <c r="D14" s="554">
        <v>374357.60818749998</v>
      </c>
      <c r="E14" s="554"/>
      <c r="F14" s="554">
        <v>374357.60818749998</v>
      </c>
      <c r="G14" s="555">
        <v>374357.60818749998</v>
      </c>
      <c r="I14" s="704"/>
      <c r="K14" s="708"/>
      <c r="L14" s="708"/>
    </row>
    <row r="15" spans="1:12" ht="10.5" customHeight="1">
      <c r="A15" s="687" t="s">
        <v>371</v>
      </c>
      <c r="B15" s="688"/>
      <c r="C15" s="689"/>
      <c r="D15" s="689">
        <v>374357.60818749998</v>
      </c>
      <c r="E15" s="689"/>
      <c r="F15" s="689">
        <v>374357.60818749998</v>
      </c>
      <c r="G15" s="690">
        <v>374357.60818749998</v>
      </c>
      <c r="I15" s="704"/>
      <c r="K15" s="708"/>
      <c r="L15" s="708"/>
    </row>
    <row r="16" spans="1:12" ht="10.5" customHeight="1">
      <c r="A16" s="556" t="s">
        <v>111</v>
      </c>
      <c r="B16" s="400" t="s">
        <v>68</v>
      </c>
      <c r="C16" s="554"/>
      <c r="D16" s="554"/>
      <c r="E16" s="554">
        <v>4393.5131824999999</v>
      </c>
      <c r="F16" s="554">
        <v>4393.5131824999999</v>
      </c>
      <c r="G16" s="555">
        <v>4393.5131824999999</v>
      </c>
      <c r="I16" s="704"/>
      <c r="K16" s="708"/>
      <c r="L16" s="708"/>
    </row>
    <row r="17" spans="1:12" ht="10.5" customHeight="1">
      <c r="A17" s="556"/>
      <c r="B17" s="400" t="s">
        <v>621</v>
      </c>
      <c r="C17" s="554"/>
      <c r="D17" s="554"/>
      <c r="E17" s="554">
        <v>6499.2396750000007</v>
      </c>
      <c r="F17" s="554">
        <v>6499.2396750000007</v>
      </c>
      <c r="G17" s="555">
        <v>6499.2396750000007</v>
      </c>
      <c r="I17" s="704"/>
      <c r="K17" s="708"/>
      <c r="L17" s="708"/>
    </row>
    <row r="18" spans="1:12" ht="10.5" customHeight="1">
      <c r="A18" s="556"/>
      <c r="B18" s="400" t="s">
        <v>622</v>
      </c>
      <c r="C18" s="554"/>
      <c r="D18" s="554"/>
      <c r="E18" s="554">
        <v>6402.3982274999998</v>
      </c>
      <c r="F18" s="554">
        <v>6402.3982274999998</v>
      </c>
      <c r="G18" s="555">
        <v>6402.3982274999998</v>
      </c>
      <c r="I18" s="704"/>
      <c r="K18" s="708"/>
      <c r="L18" s="708"/>
    </row>
    <row r="19" spans="1:12" ht="10.5" customHeight="1">
      <c r="A19" s="556"/>
      <c r="B19" s="400" t="s">
        <v>623</v>
      </c>
      <c r="C19" s="554"/>
      <c r="D19" s="554"/>
      <c r="E19" s="554">
        <v>6168.4928875000005</v>
      </c>
      <c r="F19" s="554">
        <v>6168.4928875000005</v>
      </c>
      <c r="G19" s="555">
        <v>6168.4928875000005</v>
      </c>
      <c r="I19" s="704"/>
      <c r="K19" s="708"/>
      <c r="L19" s="708"/>
    </row>
    <row r="20" spans="1:12" ht="10.5" customHeight="1">
      <c r="A20" s="687" t="s">
        <v>372</v>
      </c>
      <c r="B20" s="688"/>
      <c r="C20" s="689"/>
      <c r="D20" s="689"/>
      <c r="E20" s="689">
        <v>23463.643972499998</v>
      </c>
      <c r="F20" s="689">
        <v>23463.643972499998</v>
      </c>
      <c r="G20" s="690">
        <v>23463.643972499998</v>
      </c>
      <c r="I20" s="704"/>
      <c r="K20" s="708"/>
      <c r="L20" s="708"/>
    </row>
    <row r="21" spans="1:12" ht="10.5" customHeight="1">
      <c r="A21" s="556" t="s">
        <v>114</v>
      </c>
      <c r="B21" s="400" t="s">
        <v>257</v>
      </c>
      <c r="C21" s="554"/>
      <c r="D21" s="554"/>
      <c r="E21" s="554">
        <v>3665.5805725</v>
      </c>
      <c r="F21" s="554">
        <v>3665.5805725</v>
      </c>
      <c r="G21" s="555">
        <v>3665.5805725</v>
      </c>
      <c r="I21" s="704"/>
      <c r="K21" s="708"/>
      <c r="L21" s="708"/>
    </row>
    <row r="22" spans="1:12" ht="10.5" customHeight="1">
      <c r="A22" s="687" t="s">
        <v>373</v>
      </c>
      <c r="B22" s="688"/>
      <c r="C22" s="689"/>
      <c r="D22" s="689"/>
      <c r="E22" s="689">
        <v>3665.5805725</v>
      </c>
      <c r="F22" s="689">
        <v>3665.5805725</v>
      </c>
      <c r="G22" s="690">
        <v>3665.5805725</v>
      </c>
      <c r="I22" s="704"/>
      <c r="K22" s="708"/>
      <c r="L22" s="708"/>
    </row>
    <row r="23" spans="1:12" ht="10.5" customHeight="1">
      <c r="A23" s="556" t="s">
        <v>115</v>
      </c>
      <c r="B23" s="400" t="s">
        <v>85</v>
      </c>
      <c r="C23" s="554"/>
      <c r="D23" s="554"/>
      <c r="E23" s="554">
        <v>3381.10169</v>
      </c>
      <c r="F23" s="554">
        <v>3381.10169</v>
      </c>
      <c r="G23" s="555">
        <v>3381.10169</v>
      </c>
      <c r="I23" s="704"/>
      <c r="K23" s="708"/>
      <c r="L23" s="708"/>
    </row>
    <row r="24" spans="1:12" ht="10.5" customHeight="1">
      <c r="A24" s="687" t="s">
        <v>374</v>
      </c>
      <c r="B24" s="688"/>
      <c r="C24" s="689"/>
      <c r="D24" s="689"/>
      <c r="E24" s="689">
        <v>3381.10169</v>
      </c>
      <c r="F24" s="689">
        <v>3381.10169</v>
      </c>
      <c r="G24" s="690">
        <v>3381.10169</v>
      </c>
      <c r="I24" s="704"/>
      <c r="K24" s="708"/>
      <c r="L24" s="708"/>
    </row>
    <row r="25" spans="1:12" ht="10.5" customHeight="1">
      <c r="A25" s="556" t="s">
        <v>119</v>
      </c>
      <c r="B25" s="400" t="s">
        <v>76</v>
      </c>
      <c r="C25" s="554"/>
      <c r="D25" s="554"/>
      <c r="E25" s="554">
        <v>2438.8000000000002</v>
      </c>
      <c r="F25" s="554">
        <v>2438.8000000000002</v>
      </c>
      <c r="G25" s="555">
        <v>2438.8000000000002</v>
      </c>
      <c r="I25" s="704"/>
      <c r="K25" s="708"/>
      <c r="L25" s="708"/>
    </row>
    <row r="26" spans="1:12" ht="10.5" customHeight="1">
      <c r="A26" s="687" t="s">
        <v>375</v>
      </c>
      <c r="B26" s="688"/>
      <c r="C26" s="689"/>
      <c r="D26" s="689"/>
      <c r="E26" s="689">
        <v>2438.8000000000002</v>
      </c>
      <c r="F26" s="689">
        <v>2438.8000000000002</v>
      </c>
      <c r="G26" s="690">
        <v>2438.8000000000002</v>
      </c>
      <c r="I26" s="704"/>
      <c r="K26" s="708"/>
      <c r="L26" s="708"/>
    </row>
    <row r="27" spans="1:12" ht="10.5" customHeight="1">
      <c r="A27" s="556" t="s">
        <v>106</v>
      </c>
      <c r="B27" s="400" t="s">
        <v>376</v>
      </c>
      <c r="C27" s="554">
        <v>13781.913</v>
      </c>
      <c r="D27" s="554"/>
      <c r="E27" s="554"/>
      <c r="F27" s="554">
        <v>13781.913</v>
      </c>
      <c r="G27" s="555">
        <v>13781.913</v>
      </c>
      <c r="I27" s="704"/>
      <c r="K27" s="708"/>
      <c r="L27" s="708"/>
    </row>
    <row r="28" spans="1:12" ht="10.5" customHeight="1">
      <c r="A28" s="687" t="s">
        <v>377</v>
      </c>
      <c r="B28" s="688"/>
      <c r="C28" s="689">
        <v>13781.913</v>
      </c>
      <c r="D28" s="689"/>
      <c r="E28" s="689"/>
      <c r="F28" s="689">
        <v>13781.913</v>
      </c>
      <c r="G28" s="690">
        <v>13781.913</v>
      </c>
      <c r="I28" s="704"/>
      <c r="K28" s="708"/>
      <c r="L28" s="708"/>
    </row>
    <row r="29" spans="1:12" ht="20.25" customHeight="1">
      <c r="A29" s="746" t="s">
        <v>618</v>
      </c>
      <c r="B29" s="400" t="s">
        <v>378</v>
      </c>
      <c r="C29" s="554">
        <v>13776.820822499998</v>
      </c>
      <c r="D29" s="554"/>
      <c r="E29" s="554"/>
      <c r="F29" s="554">
        <v>13776.820822499998</v>
      </c>
      <c r="G29" s="555">
        <v>13776.820822499998</v>
      </c>
      <c r="I29" s="704"/>
      <c r="K29" s="708"/>
      <c r="L29" s="708"/>
    </row>
    <row r="30" spans="1:12" ht="10.5" customHeight="1">
      <c r="A30" s="687" t="s">
        <v>595</v>
      </c>
      <c r="B30" s="688"/>
      <c r="C30" s="689">
        <v>13776.820822499998</v>
      </c>
      <c r="D30" s="689"/>
      <c r="E30" s="689"/>
      <c r="F30" s="689">
        <v>13776.820822499998</v>
      </c>
      <c r="G30" s="690">
        <v>13776.820822499998</v>
      </c>
      <c r="I30" s="704"/>
      <c r="K30" s="708"/>
      <c r="L30" s="708"/>
    </row>
    <row r="31" spans="1:12" ht="10.5" customHeight="1">
      <c r="A31" s="556" t="s">
        <v>266</v>
      </c>
      <c r="B31" s="400" t="s">
        <v>61</v>
      </c>
      <c r="C31" s="554"/>
      <c r="D31" s="554"/>
      <c r="E31" s="554">
        <v>12711.195619999999</v>
      </c>
      <c r="F31" s="554">
        <v>12711.195619999999</v>
      </c>
      <c r="G31" s="555">
        <v>12711.195619999999</v>
      </c>
      <c r="I31" s="704"/>
      <c r="K31" s="708"/>
      <c r="L31" s="708"/>
    </row>
    <row r="32" spans="1:12" ht="10.5" customHeight="1">
      <c r="A32" s="687" t="s">
        <v>379</v>
      </c>
      <c r="B32" s="688"/>
      <c r="C32" s="689"/>
      <c r="D32" s="689"/>
      <c r="E32" s="689">
        <v>12711.195619999999</v>
      </c>
      <c r="F32" s="689">
        <v>12711.195619999999</v>
      </c>
      <c r="G32" s="690">
        <v>12711.195619999999</v>
      </c>
      <c r="I32" s="704"/>
      <c r="K32" s="708"/>
      <c r="L32" s="708"/>
    </row>
    <row r="33" spans="1:12" ht="10.5" customHeight="1">
      <c r="A33" s="556" t="s">
        <v>538</v>
      </c>
      <c r="B33" s="400" t="s">
        <v>626</v>
      </c>
      <c r="C33" s="554">
        <v>695.37625000000003</v>
      </c>
      <c r="D33" s="554"/>
      <c r="E33" s="554"/>
      <c r="F33" s="554">
        <v>695.37625000000003</v>
      </c>
      <c r="G33" s="555">
        <v>695.37625000000003</v>
      </c>
      <c r="I33" s="704"/>
      <c r="K33" s="708"/>
      <c r="L33" s="708"/>
    </row>
    <row r="34" spans="1:12" ht="10.5" customHeight="1">
      <c r="A34" s="687" t="s">
        <v>543</v>
      </c>
      <c r="B34" s="688"/>
      <c r="C34" s="689">
        <v>695.37625000000003</v>
      </c>
      <c r="D34" s="689"/>
      <c r="E34" s="689"/>
      <c r="F34" s="689">
        <v>695.37625000000003</v>
      </c>
      <c r="G34" s="690">
        <v>695.37625000000003</v>
      </c>
      <c r="I34" s="704"/>
      <c r="K34" s="708"/>
      <c r="L34" s="708"/>
    </row>
    <row r="35" spans="1:12" ht="10.5" customHeight="1">
      <c r="A35" s="556" t="s">
        <v>121</v>
      </c>
      <c r="B35" s="400" t="s">
        <v>380</v>
      </c>
      <c r="C35" s="554"/>
      <c r="D35" s="554">
        <v>0</v>
      </c>
      <c r="E35" s="554"/>
      <c r="F35" s="554">
        <v>0</v>
      </c>
      <c r="G35" s="555">
        <v>0</v>
      </c>
      <c r="I35" s="704"/>
      <c r="K35" s="708"/>
      <c r="L35" s="708"/>
    </row>
    <row r="36" spans="1:12" ht="10.5" customHeight="1">
      <c r="A36" s="556"/>
      <c r="B36" s="400" t="s">
        <v>381</v>
      </c>
      <c r="C36" s="554"/>
      <c r="D36" s="554">
        <v>252.235345</v>
      </c>
      <c r="E36" s="554"/>
      <c r="F36" s="554">
        <v>252.235345</v>
      </c>
      <c r="G36" s="555">
        <v>252.235345</v>
      </c>
      <c r="I36" s="704"/>
      <c r="K36" s="708"/>
      <c r="L36" s="708"/>
    </row>
    <row r="37" spans="1:12" ht="10.5" customHeight="1">
      <c r="A37" s="687" t="s">
        <v>382</v>
      </c>
      <c r="B37" s="688"/>
      <c r="C37" s="689"/>
      <c r="D37" s="689">
        <v>252.235345</v>
      </c>
      <c r="E37" s="689"/>
      <c r="F37" s="689">
        <v>252.235345</v>
      </c>
      <c r="G37" s="690">
        <v>252.235345</v>
      </c>
      <c r="I37" s="704"/>
      <c r="K37" s="708"/>
      <c r="L37" s="708"/>
    </row>
    <row r="38" spans="1:12" ht="10.5" customHeight="1">
      <c r="A38" s="556" t="s">
        <v>531</v>
      </c>
      <c r="B38" s="400" t="s">
        <v>383</v>
      </c>
      <c r="C38" s="554"/>
      <c r="D38" s="554">
        <v>187271.0884375</v>
      </c>
      <c r="E38" s="554"/>
      <c r="F38" s="554">
        <v>187271.0884375</v>
      </c>
      <c r="G38" s="555">
        <v>187271.0884375</v>
      </c>
      <c r="I38" s="704"/>
      <c r="K38" s="708"/>
      <c r="L38" s="708"/>
    </row>
    <row r="39" spans="1:12" ht="10.5" customHeight="1">
      <c r="A39" s="556"/>
      <c r="B39" s="400" t="s">
        <v>384</v>
      </c>
      <c r="C39" s="554"/>
      <c r="D39" s="554">
        <v>23999.385062500001</v>
      </c>
      <c r="E39" s="554"/>
      <c r="F39" s="554">
        <v>23999.385062500001</v>
      </c>
      <c r="G39" s="555">
        <v>23999.385062500001</v>
      </c>
      <c r="I39" s="704"/>
      <c r="K39" s="708"/>
      <c r="L39" s="708"/>
    </row>
    <row r="40" spans="1:12" ht="10.5" customHeight="1">
      <c r="A40" s="556"/>
      <c r="B40" s="400" t="s">
        <v>609</v>
      </c>
      <c r="C40" s="554">
        <v>266367.83115749998</v>
      </c>
      <c r="D40" s="554"/>
      <c r="E40" s="554"/>
      <c r="F40" s="554">
        <v>266367.83115749998</v>
      </c>
      <c r="G40" s="555">
        <v>266367.83115749998</v>
      </c>
      <c r="I40" s="704"/>
      <c r="K40" s="708"/>
      <c r="L40" s="708"/>
    </row>
    <row r="41" spans="1:12" ht="10.5" customHeight="1">
      <c r="A41" s="556"/>
      <c r="B41" s="400" t="s">
        <v>385</v>
      </c>
      <c r="C41" s="554">
        <v>7259.9552075000001</v>
      </c>
      <c r="D41" s="554"/>
      <c r="E41" s="554"/>
      <c r="F41" s="554">
        <v>7259.9552075000001</v>
      </c>
      <c r="G41" s="555">
        <v>7259.9552075000001</v>
      </c>
      <c r="I41" s="704"/>
      <c r="K41" s="708"/>
      <c r="L41" s="708"/>
    </row>
    <row r="42" spans="1:12" ht="10.5" customHeight="1">
      <c r="A42" s="687" t="s">
        <v>386</v>
      </c>
      <c r="B42" s="688"/>
      <c r="C42" s="689">
        <v>273627.78636500001</v>
      </c>
      <c r="D42" s="689">
        <v>211270.47349999999</v>
      </c>
      <c r="E42" s="689"/>
      <c r="F42" s="689">
        <v>484898.25986500003</v>
      </c>
      <c r="G42" s="690">
        <v>484898.25986500003</v>
      </c>
      <c r="I42" s="704"/>
      <c r="K42" s="708"/>
      <c r="L42" s="708"/>
    </row>
    <row r="43" spans="1:12" ht="10.5" customHeight="1">
      <c r="A43" s="556" t="s">
        <v>607</v>
      </c>
      <c r="B43" s="400" t="s">
        <v>614</v>
      </c>
      <c r="C43" s="554">
        <v>66598.914512499992</v>
      </c>
      <c r="D43" s="554"/>
      <c r="E43" s="554"/>
      <c r="F43" s="554">
        <v>66598.914512499992</v>
      </c>
      <c r="G43" s="555">
        <v>66598.914512499992</v>
      </c>
      <c r="I43" s="704"/>
      <c r="K43" s="708"/>
      <c r="L43" s="708"/>
    </row>
    <row r="44" spans="1:12" ht="10.5" customHeight="1">
      <c r="A44" s="687" t="s">
        <v>613</v>
      </c>
      <c r="B44" s="688"/>
      <c r="C44" s="689">
        <v>66598.914512499992</v>
      </c>
      <c r="D44" s="689"/>
      <c r="E44" s="689"/>
      <c r="F44" s="689">
        <v>66598.914512499992</v>
      </c>
      <c r="G44" s="690">
        <v>66598.914512499992</v>
      </c>
      <c r="I44" s="704"/>
      <c r="K44" s="708"/>
      <c r="L44" s="708"/>
    </row>
    <row r="45" spans="1:12" ht="10.5" customHeight="1">
      <c r="A45" s="556" t="s">
        <v>120</v>
      </c>
      <c r="B45" s="400" t="s">
        <v>74</v>
      </c>
      <c r="C45" s="554"/>
      <c r="D45" s="554"/>
      <c r="E45" s="554">
        <v>1861.1704999999999</v>
      </c>
      <c r="F45" s="554">
        <v>1861.1704999999999</v>
      </c>
      <c r="G45" s="555">
        <v>1861.1704999999999</v>
      </c>
      <c r="I45" s="704"/>
      <c r="K45" s="708"/>
      <c r="L45" s="708"/>
    </row>
    <row r="46" spans="1:12" ht="10.5" customHeight="1">
      <c r="A46" s="687" t="s">
        <v>387</v>
      </c>
      <c r="B46" s="688"/>
      <c r="C46" s="689"/>
      <c r="D46" s="689"/>
      <c r="E46" s="689">
        <v>1861.1704999999999</v>
      </c>
      <c r="F46" s="689">
        <v>1861.1704999999999</v>
      </c>
      <c r="G46" s="690">
        <v>1861.1704999999999</v>
      </c>
      <c r="I46" s="704"/>
      <c r="K46" s="708"/>
      <c r="L46" s="708"/>
    </row>
    <row r="47" spans="1:12" ht="10.5" customHeight="1">
      <c r="A47" s="556" t="s">
        <v>113</v>
      </c>
      <c r="B47" s="400" t="s">
        <v>84</v>
      </c>
      <c r="C47" s="554"/>
      <c r="D47" s="554"/>
      <c r="E47" s="554">
        <v>3340.1037550000001</v>
      </c>
      <c r="F47" s="554">
        <v>3340.1037550000001</v>
      </c>
      <c r="G47" s="555">
        <v>3340.1037550000001</v>
      </c>
      <c r="I47" s="704"/>
      <c r="K47" s="708"/>
      <c r="L47" s="708"/>
    </row>
    <row r="48" spans="1:12" ht="10.5" customHeight="1">
      <c r="A48" s="687" t="s">
        <v>388</v>
      </c>
      <c r="B48" s="688"/>
      <c r="C48" s="689"/>
      <c r="D48" s="689"/>
      <c r="E48" s="689">
        <v>3340.1037550000001</v>
      </c>
      <c r="F48" s="689">
        <v>3340.1037550000001</v>
      </c>
      <c r="G48" s="690">
        <v>3340.1037550000001</v>
      </c>
      <c r="H48" s="432"/>
      <c r="I48" s="704"/>
      <c r="K48" s="708"/>
      <c r="L48" s="708"/>
    </row>
    <row r="49" spans="1:12" ht="10.5" customHeight="1">
      <c r="A49" s="556" t="s">
        <v>267</v>
      </c>
      <c r="B49" s="400" t="s">
        <v>73</v>
      </c>
      <c r="C49" s="554"/>
      <c r="D49" s="554"/>
      <c r="E49" s="554">
        <v>3242.643435</v>
      </c>
      <c r="F49" s="554">
        <v>3242.643435</v>
      </c>
      <c r="G49" s="555">
        <v>3242.643435</v>
      </c>
      <c r="I49" s="704"/>
      <c r="K49" s="708"/>
      <c r="L49" s="708"/>
    </row>
    <row r="50" spans="1:12" ht="10.5" customHeight="1">
      <c r="A50" s="556"/>
      <c r="B50" s="400" t="s">
        <v>389</v>
      </c>
      <c r="C50" s="554">
        <v>175525.06762749999</v>
      </c>
      <c r="D50" s="554"/>
      <c r="E50" s="554"/>
      <c r="F50" s="554">
        <v>175525.06762749999</v>
      </c>
      <c r="G50" s="555">
        <v>175525.06762749999</v>
      </c>
      <c r="I50" s="704"/>
      <c r="K50" s="708"/>
      <c r="L50" s="708"/>
    </row>
    <row r="51" spans="1:12" ht="10.5" customHeight="1">
      <c r="A51" s="556"/>
      <c r="B51" s="400" t="s">
        <v>390</v>
      </c>
      <c r="C51" s="554">
        <v>50377.008679999999</v>
      </c>
      <c r="D51" s="554"/>
      <c r="E51" s="554"/>
      <c r="F51" s="554">
        <v>50377.008679999999</v>
      </c>
      <c r="G51" s="555">
        <v>50377.008679999999</v>
      </c>
      <c r="I51" s="704"/>
      <c r="K51" s="708"/>
      <c r="L51" s="708"/>
    </row>
    <row r="52" spans="1:12" ht="10.5" customHeight="1">
      <c r="A52" s="556"/>
      <c r="B52" s="400" t="s">
        <v>64</v>
      </c>
      <c r="C52" s="554"/>
      <c r="D52" s="554"/>
      <c r="E52" s="554">
        <v>6253.8891274999996</v>
      </c>
      <c r="F52" s="554">
        <v>6253.8891274999996</v>
      </c>
      <c r="G52" s="555">
        <v>6253.8891274999996</v>
      </c>
      <c r="I52" s="704"/>
      <c r="K52" s="708"/>
      <c r="L52" s="708"/>
    </row>
    <row r="53" spans="1:12" ht="10.5" customHeight="1">
      <c r="A53" s="687" t="s">
        <v>391</v>
      </c>
      <c r="B53" s="688"/>
      <c r="C53" s="689">
        <v>225902.07630749998</v>
      </c>
      <c r="D53" s="689"/>
      <c r="E53" s="689">
        <v>9496.5325625000005</v>
      </c>
      <c r="F53" s="689">
        <v>235398.60887</v>
      </c>
      <c r="G53" s="690">
        <v>235398.60887</v>
      </c>
      <c r="I53" s="704"/>
      <c r="K53" s="708"/>
      <c r="L53" s="708"/>
    </row>
    <row r="54" spans="1:12" ht="10.5" customHeight="1">
      <c r="A54" s="556" t="s">
        <v>268</v>
      </c>
      <c r="B54" s="400" t="s">
        <v>81</v>
      </c>
      <c r="C54" s="554"/>
      <c r="D54" s="554"/>
      <c r="E54" s="554">
        <v>9431.2920825000001</v>
      </c>
      <c r="F54" s="554">
        <v>9431.2920825000001</v>
      </c>
      <c r="G54" s="555">
        <v>9431.2920825000001</v>
      </c>
      <c r="I54" s="704"/>
      <c r="K54" s="708"/>
      <c r="L54" s="708"/>
    </row>
    <row r="55" spans="1:12" ht="10.5" customHeight="1">
      <c r="A55" s="687" t="s">
        <v>392</v>
      </c>
      <c r="B55" s="688"/>
      <c r="C55" s="689"/>
      <c r="D55" s="689"/>
      <c r="E55" s="689">
        <v>9431.2920825000001</v>
      </c>
      <c r="F55" s="689">
        <v>9431.2920825000001</v>
      </c>
      <c r="G55" s="690">
        <v>9431.2920825000001</v>
      </c>
      <c r="I55" s="704"/>
      <c r="K55" s="708"/>
      <c r="L55" s="708"/>
    </row>
    <row r="56" spans="1:12" ht="10.5" customHeight="1">
      <c r="A56" s="556" t="s">
        <v>102</v>
      </c>
      <c r="B56" s="400" t="s">
        <v>78</v>
      </c>
      <c r="C56" s="554"/>
      <c r="D56" s="554"/>
      <c r="E56" s="554">
        <v>29883.272102499999</v>
      </c>
      <c r="F56" s="554">
        <v>29883.272102499999</v>
      </c>
      <c r="G56" s="555">
        <v>29883.272102499999</v>
      </c>
      <c r="I56" s="704"/>
      <c r="K56" s="708"/>
      <c r="L56" s="708"/>
    </row>
    <row r="57" spans="1:12" ht="10.5" customHeight="1">
      <c r="A57" s="687" t="s">
        <v>393</v>
      </c>
      <c r="B57" s="688"/>
      <c r="C57" s="689"/>
      <c r="D57" s="689"/>
      <c r="E57" s="689">
        <v>29883.272102499999</v>
      </c>
      <c r="F57" s="689">
        <v>29883.272102499999</v>
      </c>
      <c r="G57" s="690">
        <v>29883.272102499999</v>
      </c>
      <c r="I57" s="704"/>
      <c r="K57" s="708"/>
      <c r="L57" s="708"/>
    </row>
    <row r="58" spans="1:12" ht="10.5" customHeight="1">
      <c r="A58" s="556" t="s">
        <v>110</v>
      </c>
      <c r="B58" s="400" t="s">
        <v>256</v>
      </c>
      <c r="C58" s="554"/>
      <c r="D58" s="554"/>
      <c r="E58" s="554">
        <v>3636.9701074999998</v>
      </c>
      <c r="F58" s="554">
        <v>3636.9701074999998</v>
      </c>
      <c r="G58" s="555">
        <v>3636.9701074999998</v>
      </c>
      <c r="I58" s="704"/>
      <c r="K58" s="708"/>
      <c r="L58" s="708"/>
    </row>
    <row r="59" spans="1:12" ht="10.5" customHeight="1">
      <c r="A59" s="687" t="s">
        <v>394</v>
      </c>
      <c r="B59" s="688"/>
      <c r="C59" s="689"/>
      <c r="D59" s="689"/>
      <c r="E59" s="689">
        <v>3636.9701074999998</v>
      </c>
      <c r="F59" s="689">
        <v>3636.9701074999998</v>
      </c>
      <c r="G59" s="690">
        <v>3636.9701074999998</v>
      </c>
      <c r="I59" s="704"/>
      <c r="K59" s="708"/>
      <c r="L59" s="708"/>
    </row>
    <row r="60" spans="1:12" ht="10.5" customHeight="1">
      <c r="A60" s="556" t="s">
        <v>532</v>
      </c>
      <c r="B60" s="400" t="s">
        <v>610</v>
      </c>
      <c r="C60" s="554"/>
      <c r="D60" s="554"/>
      <c r="E60" s="554">
        <v>1970.5591599999998</v>
      </c>
      <c r="F60" s="554">
        <v>1970.5591599999998</v>
      </c>
      <c r="G60" s="555">
        <v>1970.5591599999998</v>
      </c>
      <c r="I60" s="704"/>
      <c r="K60" s="708"/>
      <c r="L60" s="708"/>
    </row>
    <row r="61" spans="1:12" ht="10.5" customHeight="1">
      <c r="A61" s="556"/>
      <c r="B61" s="400" t="s">
        <v>87</v>
      </c>
      <c r="C61" s="554"/>
      <c r="D61" s="554"/>
      <c r="E61" s="554">
        <v>3092.011465</v>
      </c>
      <c r="F61" s="554">
        <v>3092.011465</v>
      </c>
      <c r="G61" s="555">
        <v>3092.011465</v>
      </c>
      <c r="I61" s="704"/>
      <c r="K61" s="708"/>
      <c r="L61" s="708"/>
    </row>
    <row r="62" spans="1:12" ht="10.5" customHeight="1">
      <c r="A62" s="556"/>
      <c r="B62" s="400" t="s">
        <v>619</v>
      </c>
      <c r="C62" s="554"/>
      <c r="D62" s="554"/>
      <c r="E62" s="554">
        <v>686.64175</v>
      </c>
      <c r="F62" s="554">
        <v>686.64175</v>
      </c>
      <c r="G62" s="555">
        <v>686.64175</v>
      </c>
      <c r="I62" s="704"/>
      <c r="K62" s="708"/>
      <c r="L62" s="708"/>
    </row>
    <row r="63" spans="1:12" ht="10.5" customHeight="1">
      <c r="A63" s="687" t="s">
        <v>395</v>
      </c>
      <c r="B63" s="688"/>
      <c r="C63" s="689"/>
      <c r="D63" s="689"/>
      <c r="E63" s="689">
        <v>5749.2123750000001</v>
      </c>
      <c r="F63" s="689">
        <v>5749.2123750000001</v>
      </c>
      <c r="G63" s="690">
        <v>5749.2123750000001</v>
      </c>
      <c r="I63" s="704"/>
      <c r="K63" s="708"/>
      <c r="L63" s="708"/>
    </row>
    <row r="64" spans="1:12" ht="10.5" customHeight="1">
      <c r="A64" s="556" t="s">
        <v>269</v>
      </c>
      <c r="B64" s="400" t="s">
        <v>396</v>
      </c>
      <c r="C64" s="554"/>
      <c r="D64" s="554">
        <v>16.8776975</v>
      </c>
      <c r="E64" s="554"/>
      <c r="F64" s="554">
        <v>16.8776975</v>
      </c>
      <c r="G64" s="555">
        <v>16.8776975</v>
      </c>
      <c r="I64" s="704"/>
      <c r="K64" s="708"/>
      <c r="L64" s="708"/>
    </row>
    <row r="65" spans="1:12" ht="10.5" customHeight="1">
      <c r="A65" s="687" t="s">
        <v>397</v>
      </c>
      <c r="B65" s="688"/>
      <c r="C65" s="689"/>
      <c r="D65" s="689">
        <v>16.8776975</v>
      </c>
      <c r="E65" s="689"/>
      <c r="F65" s="689">
        <v>16.8776975</v>
      </c>
      <c r="G65" s="690">
        <v>16.8776975</v>
      </c>
      <c r="I65" s="704"/>
      <c r="K65" s="708"/>
      <c r="L65" s="708"/>
    </row>
    <row r="66" spans="1:12" ht="10.5" customHeight="1">
      <c r="A66" s="556" t="s">
        <v>107</v>
      </c>
      <c r="B66" s="400" t="s">
        <v>63</v>
      </c>
      <c r="C66" s="554"/>
      <c r="D66" s="554"/>
      <c r="E66" s="554">
        <v>8505.4386950000007</v>
      </c>
      <c r="F66" s="554">
        <v>8505.4386950000007</v>
      </c>
      <c r="G66" s="555">
        <v>8505.4386950000007</v>
      </c>
      <c r="I66" s="704"/>
      <c r="K66" s="708"/>
      <c r="L66" s="708"/>
    </row>
    <row r="67" spans="1:12" ht="10.5" customHeight="1">
      <c r="A67" s="687" t="s">
        <v>398</v>
      </c>
      <c r="B67" s="688"/>
      <c r="C67" s="689"/>
      <c r="D67" s="689"/>
      <c r="E67" s="689">
        <v>8505.4386950000007</v>
      </c>
      <c r="F67" s="689">
        <v>8505.4386950000007</v>
      </c>
      <c r="G67" s="690">
        <v>8505.4386950000007</v>
      </c>
      <c r="I67" s="704"/>
      <c r="K67" s="708"/>
      <c r="L67" s="708"/>
    </row>
    <row r="68" spans="1:12" ht="10.5" customHeight="1">
      <c r="A68" s="556" t="s">
        <v>270</v>
      </c>
      <c r="B68" s="400" t="s">
        <v>399</v>
      </c>
      <c r="C68" s="554"/>
      <c r="D68" s="554">
        <v>0</v>
      </c>
      <c r="E68" s="554"/>
      <c r="F68" s="554">
        <v>0</v>
      </c>
      <c r="G68" s="555">
        <v>0</v>
      </c>
      <c r="I68" s="704"/>
      <c r="K68" s="708"/>
      <c r="L68" s="708"/>
    </row>
    <row r="69" spans="1:12" ht="10.5" customHeight="1">
      <c r="A69" s="687" t="s">
        <v>400</v>
      </c>
      <c r="B69" s="688"/>
      <c r="C69" s="689"/>
      <c r="D69" s="689">
        <v>0</v>
      </c>
      <c r="E69" s="689"/>
      <c r="F69" s="689">
        <v>0</v>
      </c>
      <c r="G69" s="690">
        <v>0</v>
      </c>
      <c r="I69" s="704"/>
      <c r="K69" s="708"/>
      <c r="L69" s="708"/>
    </row>
    <row r="70" spans="1:12" ht="10.5" customHeight="1">
      <c r="I70" s="704"/>
      <c r="K70" s="708"/>
      <c r="L70" s="710"/>
    </row>
    <row r="71" spans="1:12" ht="10.5" customHeight="1">
      <c r="I71" s="704"/>
      <c r="K71" s="708"/>
      <c r="L71" s="710"/>
    </row>
    <row r="72" spans="1:12" ht="10.5" customHeight="1">
      <c r="A72" s="400"/>
      <c r="B72" s="400"/>
      <c r="C72" s="400"/>
      <c r="D72" s="400"/>
      <c r="E72" s="400"/>
      <c r="F72" s="400"/>
      <c r="G72" s="400"/>
    </row>
    <row r="73" spans="1:12" ht="10.5" customHeight="1">
      <c r="A73" s="400"/>
      <c r="B73" s="400"/>
      <c r="C73" s="400"/>
      <c r="D73" s="400"/>
      <c r="E73" s="400"/>
      <c r="F73" s="400"/>
      <c r="G73" s="400"/>
    </row>
    <row r="74" spans="1:12" ht="10.5" customHeight="1">
      <c r="A74" s="400"/>
      <c r="B74" s="400"/>
      <c r="C74" s="400"/>
      <c r="D74" s="400"/>
      <c r="E74" s="400"/>
      <c r="F74" s="400"/>
      <c r="G74" s="400"/>
    </row>
    <row r="75" spans="1:12" ht="10.5" customHeight="1">
      <c r="A75" s="400"/>
      <c r="B75" s="400"/>
      <c r="C75" s="400"/>
      <c r="D75" s="400"/>
      <c r="E75" s="400"/>
      <c r="F75" s="400"/>
      <c r="G75" s="400"/>
    </row>
    <row r="76" spans="1:12" ht="10.5" customHeight="1">
      <c r="A76" s="400"/>
      <c r="B76" s="400"/>
      <c r="C76" s="400"/>
      <c r="D76" s="400"/>
      <c r="E76" s="400"/>
      <c r="F76" s="400"/>
      <c r="G76" s="400"/>
    </row>
    <row r="77" spans="1:12" ht="10.5" customHeight="1">
      <c r="A77" s="400"/>
      <c r="B77" s="400"/>
      <c r="C77" s="400"/>
      <c r="D77" s="400"/>
      <c r="E77" s="400"/>
      <c r="F77" s="400"/>
      <c r="G77" s="400"/>
    </row>
    <row r="78" spans="1:12" ht="10.5" customHeight="1">
      <c r="A78" s="400"/>
      <c r="B78" s="400"/>
      <c r="C78" s="400"/>
      <c r="D78" s="400"/>
      <c r="E78" s="400"/>
      <c r="F78" s="400"/>
      <c r="G78" s="400"/>
    </row>
    <row r="79" spans="1:12" ht="10.5" customHeight="1">
      <c r="A79" s="400"/>
      <c r="B79" s="400"/>
      <c r="C79" s="400"/>
      <c r="D79" s="400"/>
      <c r="E79" s="400"/>
      <c r="F79" s="400"/>
      <c r="G79" s="400"/>
    </row>
    <row r="80" spans="1:12" ht="10.5" customHeight="1">
      <c r="A80" s="400"/>
      <c r="B80" s="400"/>
      <c r="C80" s="400"/>
      <c r="D80" s="400"/>
      <c r="E80" s="400"/>
      <c r="F80" s="400"/>
      <c r="G80" s="400"/>
    </row>
    <row r="81" spans="1:7" ht="10.5" customHeight="1">
      <c r="A81" s="400"/>
      <c r="B81" s="400"/>
      <c r="C81" s="400"/>
      <c r="D81" s="400"/>
      <c r="E81" s="400"/>
      <c r="F81" s="400"/>
      <c r="G81" s="400"/>
    </row>
    <row r="82" spans="1:7" ht="10.5" customHeight="1">
      <c r="A82" s="400"/>
      <c r="B82" s="400"/>
      <c r="C82" s="400"/>
      <c r="D82" s="400"/>
      <c r="E82" s="400"/>
      <c r="F82" s="400"/>
      <c r="G82" s="400"/>
    </row>
    <row r="83" spans="1:7" ht="10.5" customHeight="1">
      <c r="A83" s="400"/>
      <c r="B83" s="400"/>
      <c r="C83" s="400"/>
      <c r="D83" s="400"/>
      <c r="E83" s="400"/>
      <c r="F83" s="400"/>
      <c r="G83" s="400"/>
    </row>
    <row r="84" spans="1:7" ht="10.5" customHeight="1">
      <c r="A84" s="400"/>
      <c r="B84" s="400"/>
      <c r="C84" s="400"/>
      <c r="D84" s="400"/>
      <c r="E84" s="400"/>
      <c r="F84" s="400"/>
      <c r="G84" s="400"/>
    </row>
    <row r="85" spans="1:7" ht="10.5" customHeight="1">
      <c r="A85" s="400"/>
      <c r="B85" s="400"/>
      <c r="C85" s="400"/>
      <c r="D85" s="400"/>
      <c r="E85" s="400"/>
      <c r="F85" s="400"/>
      <c r="G85" s="400"/>
    </row>
    <row r="86" spans="1:7" ht="10.5" customHeight="1">
      <c r="A86" s="400"/>
      <c r="B86" s="400"/>
      <c r="C86" s="400"/>
      <c r="D86" s="400"/>
      <c r="E86" s="400"/>
      <c r="F86" s="400"/>
      <c r="G86" s="400"/>
    </row>
    <row r="87" spans="1:7" ht="10.5" customHeight="1">
      <c r="A87" s="400"/>
      <c r="B87" s="400"/>
      <c r="C87" s="400"/>
      <c r="D87" s="400"/>
      <c r="E87" s="400"/>
      <c r="F87" s="400"/>
      <c r="G87" s="400"/>
    </row>
    <row r="88" spans="1:7" ht="10.5" customHeight="1">
      <c r="A88" s="400"/>
      <c r="B88" s="400"/>
      <c r="C88" s="400"/>
      <c r="D88" s="400"/>
      <c r="E88" s="400"/>
      <c r="F88" s="400"/>
      <c r="G88" s="400"/>
    </row>
    <row r="89" spans="1:7" ht="10.5" customHeight="1">
      <c r="A89" s="400"/>
      <c r="B89" s="400"/>
      <c r="C89" s="400"/>
      <c r="D89" s="400"/>
      <c r="E89" s="400"/>
      <c r="F89" s="400"/>
      <c r="G89" s="400"/>
    </row>
    <row r="90" spans="1:7" ht="10.5" customHeight="1">
      <c r="A90" s="400"/>
      <c r="B90" s="400"/>
      <c r="C90" s="400"/>
      <c r="D90" s="400"/>
      <c r="E90" s="400"/>
      <c r="F90" s="400"/>
      <c r="G90" s="400"/>
    </row>
    <row r="91" spans="1:7" ht="10.5" customHeight="1">
      <c r="A91" s="400"/>
      <c r="B91" s="400"/>
      <c r="C91" s="400"/>
      <c r="D91" s="400"/>
      <c r="E91" s="400"/>
      <c r="F91" s="400"/>
      <c r="G91" s="400"/>
    </row>
    <row r="92" spans="1:7" ht="10.5" customHeight="1">
      <c r="A92" s="400"/>
      <c r="B92" s="400"/>
      <c r="C92" s="400"/>
      <c r="D92" s="400"/>
      <c r="E92" s="400"/>
      <c r="F92" s="400"/>
      <c r="G92" s="400"/>
    </row>
    <row r="93" spans="1:7" ht="10.5" customHeight="1">
      <c r="A93" s="400"/>
      <c r="B93" s="400"/>
      <c r="C93" s="400"/>
      <c r="D93" s="400"/>
      <c r="E93" s="400"/>
      <c r="F93" s="400"/>
      <c r="G93" s="400"/>
    </row>
    <row r="94" spans="1:7" ht="10.5" customHeight="1">
      <c r="A94" s="400"/>
      <c r="B94" s="400"/>
      <c r="C94" s="400"/>
      <c r="D94" s="400"/>
      <c r="E94" s="400"/>
      <c r="F94" s="400"/>
      <c r="G94" s="400"/>
    </row>
    <row r="95" spans="1:7" ht="10.5" customHeight="1">
      <c r="A95" s="400"/>
      <c r="B95" s="400"/>
      <c r="C95" s="400"/>
      <c r="D95" s="400"/>
      <c r="E95" s="400"/>
      <c r="F95" s="400"/>
      <c r="G95" s="400"/>
    </row>
    <row r="96" spans="1:7" ht="10.5" customHeight="1">
      <c r="A96" s="400"/>
      <c r="B96" s="400"/>
      <c r="C96" s="400"/>
      <c r="D96" s="400"/>
      <c r="E96" s="400"/>
      <c r="F96" s="400"/>
      <c r="G96" s="400"/>
    </row>
    <row r="97" spans="1:7" ht="10.5" customHeight="1">
      <c r="A97" s="400"/>
      <c r="B97" s="400"/>
      <c r="C97" s="400"/>
      <c r="D97" s="400"/>
      <c r="E97" s="400"/>
      <c r="F97" s="400"/>
      <c r="G97" s="400"/>
    </row>
    <row r="98" spans="1:7" ht="10.5" customHeight="1">
      <c r="A98" s="400"/>
      <c r="B98" s="400"/>
      <c r="C98" s="400"/>
      <c r="D98" s="400"/>
      <c r="E98" s="400"/>
      <c r="F98" s="400"/>
      <c r="G98" s="400"/>
    </row>
    <row r="99" spans="1:7" ht="10.5" customHeight="1">
      <c r="A99" s="400"/>
      <c r="B99" s="400"/>
      <c r="C99" s="400"/>
      <c r="D99" s="400"/>
      <c r="E99" s="400"/>
      <c r="F99" s="400"/>
      <c r="G99" s="400"/>
    </row>
    <row r="100" spans="1:7" ht="10.5" customHeight="1">
      <c r="A100" s="400"/>
      <c r="B100" s="400"/>
      <c r="C100" s="400"/>
      <c r="D100" s="400"/>
      <c r="E100" s="400"/>
      <c r="F100" s="400"/>
      <c r="G100" s="400"/>
    </row>
    <row r="101" spans="1:7" ht="10.5" customHeight="1">
      <c r="A101" s="400"/>
      <c r="B101" s="400"/>
      <c r="C101" s="400"/>
      <c r="D101" s="400"/>
      <c r="E101" s="400"/>
      <c r="F101" s="400"/>
      <c r="G101" s="400"/>
    </row>
    <row r="102" spans="1:7" ht="10.5" customHeight="1">
      <c r="A102" s="400"/>
      <c r="B102" s="400"/>
      <c r="C102" s="400"/>
      <c r="D102" s="400"/>
      <c r="E102" s="400"/>
      <c r="F102" s="400"/>
      <c r="G102" s="400"/>
    </row>
    <row r="103" spans="1:7" ht="10.5" customHeight="1">
      <c r="A103" s="400"/>
      <c r="B103" s="400"/>
      <c r="C103" s="400"/>
      <c r="D103" s="400"/>
      <c r="E103" s="400"/>
      <c r="F103" s="400"/>
      <c r="G103" s="400"/>
    </row>
    <row r="104" spans="1:7" ht="10.5" customHeight="1">
      <c r="A104" s="400"/>
      <c r="B104" s="400"/>
      <c r="C104" s="400"/>
      <c r="D104" s="400"/>
      <c r="E104" s="400"/>
      <c r="F104" s="400"/>
      <c r="G104" s="400"/>
    </row>
    <row r="105" spans="1:7" ht="10.5" customHeight="1">
      <c r="A105" s="400"/>
      <c r="B105" s="400"/>
      <c r="C105" s="400"/>
      <c r="D105" s="400"/>
      <c r="E105" s="400"/>
      <c r="F105" s="400"/>
      <c r="G105" s="400"/>
    </row>
    <row r="106" spans="1:7" ht="10.5" customHeight="1">
      <c r="A106" s="400"/>
      <c r="B106" s="400"/>
      <c r="C106" s="400"/>
      <c r="D106" s="400"/>
      <c r="E106" s="400"/>
      <c r="F106" s="400"/>
      <c r="G106" s="400"/>
    </row>
    <row r="107" spans="1:7" ht="10.5" customHeight="1">
      <c r="A107" s="400"/>
      <c r="B107" s="400"/>
      <c r="C107" s="400"/>
      <c r="D107" s="400"/>
      <c r="E107" s="400"/>
      <c r="F107" s="400"/>
      <c r="G107" s="400"/>
    </row>
  </sheetData>
  <mergeCells count="5">
    <mergeCell ref="A1:A4"/>
    <mergeCell ref="B1:B4"/>
    <mergeCell ref="C1:F1"/>
    <mergeCell ref="C2:E2"/>
    <mergeCell ref="F2:F3"/>
  </mergeCells>
  <conditionalFormatting sqref="K70:K71">
    <cfRule type="cellIs" dxfId="0" priority="1" operator="greaterThan">
      <formula>0</formula>
    </cfRule>
  </conditionalFormatting>
  <pageMargins left="0.70866141732283472" right="0.47244094488188981" top="1.4311417322834645" bottom="0.62992125984251968" header="0.31496062992125984" footer="0.31496062992125984"/>
  <pageSetup paperSize="9" scale="95" orientation="portrait" r:id="rId1"/>
  <headerFooter>
    <oddHeader>&amp;R&amp;7Informe de la Operación Mensual -Enero 2019
INFSGI-MES-01-2019
13/02/2019
Versión: 01</oddHeader>
    <oddFooter>&amp;L&amp;7COES, 2019&amp;C19&amp;R&amp;7Dirección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4"/>
  </sheetPr>
  <dimension ref="A1:M60"/>
  <sheetViews>
    <sheetView showGridLines="0" view="pageBreakPreview" topLeftCell="B1" zoomScale="130" zoomScaleNormal="100" zoomScaleSheetLayoutView="130" zoomScalePageLayoutView="160" workbookViewId="0">
      <selection activeCell="M24" sqref="M24"/>
    </sheetView>
  </sheetViews>
  <sheetFormatPr defaultColWidth="9.33203125" defaultRowHeight="11.25"/>
  <cols>
    <col min="1" max="1" width="22.6640625" customWidth="1"/>
    <col min="2" max="2" width="20.83203125" customWidth="1"/>
    <col min="3" max="3" width="16.5" customWidth="1"/>
    <col min="4" max="4" width="18.5" customWidth="1"/>
    <col min="5" max="5" width="10.33203125" customWidth="1"/>
    <col min="6" max="6" width="12.5" customWidth="1"/>
    <col min="7" max="7" width="16.1640625" bestFit="1" customWidth="1"/>
    <col min="10" max="11" width="9.33203125" customWidth="1"/>
  </cols>
  <sheetData>
    <row r="1" spans="1:12" ht="15.75" customHeight="1">
      <c r="A1" s="905" t="s">
        <v>277</v>
      </c>
      <c r="B1" s="899" t="s">
        <v>56</v>
      </c>
      <c r="C1" s="901" t="str">
        <f>+'19. ANEXOI-2'!C1:F1</f>
        <v>ENERGÍA PRODUCIDA ENERO 2019</v>
      </c>
      <c r="D1" s="901"/>
      <c r="E1" s="901"/>
      <c r="F1" s="901"/>
      <c r="G1" s="652" t="s">
        <v>304</v>
      </c>
      <c r="H1" s="209"/>
      <c r="I1" s="209"/>
      <c r="J1" s="209"/>
      <c r="K1" s="209"/>
    </row>
    <row r="2" spans="1:12" ht="11.25" customHeight="1">
      <c r="A2" s="905"/>
      <c r="B2" s="899"/>
      <c r="C2" s="902" t="s">
        <v>305</v>
      </c>
      <c r="D2" s="902"/>
      <c r="E2" s="902"/>
      <c r="F2" s="903" t="str">
        <f>"TOTAL 
"&amp;UPPER('1. Resumen'!Q4)</f>
        <v>TOTAL 
ENERO</v>
      </c>
      <c r="G2" s="653" t="s">
        <v>306</v>
      </c>
      <c r="H2" s="200"/>
      <c r="I2" s="200"/>
      <c r="J2" s="200"/>
      <c r="K2" s="200"/>
      <c r="L2" s="36"/>
    </row>
    <row r="3" spans="1:12" ht="11.25" customHeight="1">
      <c r="A3" s="905"/>
      <c r="B3" s="899"/>
      <c r="C3" s="654" t="s">
        <v>232</v>
      </c>
      <c r="D3" s="654" t="s">
        <v>233</v>
      </c>
      <c r="E3" s="654" t="s">
        <v>307</v>
      </c>
      <c r="F3" s="904"/>
      <c r="G3" s="653">
        <v>2018</v>
      </c>
      <c r="H3" s="202"/>
      <c r="I3" s="201"/>
      <c r="J3" s="201"/>
      <c r="K3" s="201"/>
      <c r="L3" s="36"/>
    </row>
    <row r="4" spans="1:12" ht="11.25" customHeight="1">
      <c r="A4" s="906"/>
      <c r="B4" s="907"/>
      <c r="C4" s="655" t="s">
        <v>308</v>
      </c>
      <c r="D4" s="655" t="s">
        <v>308</v>
      </c>
      <c r="E4" s="655" t="s">
        <v>308</v>
      </c>
      <c r="F4" s="655" t="s">
        <v>308</v>
      </c>
      <c r="G4" s="656" t="s">
        <v>216</v>
      </c>
      <c r="H4" s="202"/>
      <c r="I4" s="202"/>
      <c r="J4" s="202"/>
      <c r="K4" s="202"/>
      <c r="L4" s="8"/>
    </row>
    <row r="5" spans="1:12" s="400" customFormat="1" ht="9" customHeight="1">
      <c r="A5" s="556" t="s">
        <v>98</v>
      </c>
      <c r="B5" s="400" t="s">
        <v>401</v>
      </c>
      <c r="C5" s="554">
        <v>81888.166395000007</v>
      </c>
      <c r="D5" s="554"/>
      <c r="E5" s="554"/>
      <c r="F5" s="554">
        <v>81888.166395000007</v>
      </c>
      <c r="G5" s="555">
        <v>81888.166395000007</v>
      </c>
      <c r="I5" s="527"/>
      <c r="J5" s="527"/>
      <c r="K5" s="708"/>
      <c r="L5" s="708"/>
    </row>
    <row r="6" spans="1:12" s="400" customFormat="1" ht="9" customHeight="1">
      <c r="A6" s="687" t="s">
        <v>402</v>
      </c>
      <c r="B6" s="688"/>
      <c r="C6" s="689">
        <v>81888.166395000007</v>
      </c>
      <c r="D6" s="689"/>
      <c r="E6" s="689"/>
      <c r="F6" s="689">
        <v>81888.166395000007</v>
      </c>
      <c r="G6" s="690">
        <v>81888.166395000007</v>
      </c>
      <c r="I6" s="527"/>
      <c r="J6" s="527"/>
      <c r="K6" s="708"/>
      <c r="L6" s="708"/>
    </row>
    <row r="7" spans="1:12" s="400" customFormat="1" ht="9" customHeight="1">
      <c r="A7" s="556" t="s">
        <v>493</v>
      </c>
      <c r="B7" s="400" t="s">
        <v>615</v>
      </c>
      <c r="C7" s="554"/>
      <c r="D7" s="554"/>
      <c r="E7" s="554">
        <v>11887.642335</v>
      </c>
      <c r="F7" s="554">
        <v>11887.642335</v>
      </c>
      <c r="G7" s="555">
        <v>11887.642335</v>
      </c>
      <c r="I7" s="527"/>
      <c r="J7" s="527"/>
      <c r="K7" s="708"/>
      <c r="L7" s="708"/>
    </row>
    <row r="8" spans="1:12" s="400" customFormat="1" ht="9" customHeight="1">
      <c r="A8" s="687" t="s">
        <v>495</v>
      </c>
      <c r="B8" s="688"/>
      <c r="C8" s="689"/>
      <c r="D8" s="689"/>
      <c r="E8" s="689">
        <v>11887.642335</v>
      </c>
      <c r="F8" s="689">
        <v>11887.642335</v>
      </c>
      <c r="G8" s="690">
        <v>11887.642335</v>
      </c>
      <c r="I8" s="527"/>
      <c r="J8" s="527"/>
      <c r="K8" s="708"/>
      <c r="L8" s="708"/>
    </row>
    <row r="9" spans="1:12" s="400" customFormat="1" ht="9" customHeight="1">
      <c r="A9" s="556" t="s">
        <v>271</v>
      </c>
      <c r="B9" s="400" t="s">
        <v>67</v>
      </c>
      <c r="C9" s="554"/>
      <c r="D9" s="554"/>
      <c r="E9" s="554">
        <v>6074.7587025000003</v>
      </c>
      <c r="F9" s="554">
        <v>6074.7587025000003</v>
      </c>
      <c r="G9" s="555">
        <v>6074.7587025000003</v>
      </c>
      <c r="I9" s="527"/>
      <c r="J9" s="527"/>
      <c r="K9" s="708"/>
      <c r="L9" s="708"/>
    </row>
    <row r="10" spans="1:12" s="400" customFormat="1" ht="9" customHeight="1">
      <c r="A10" s="556"/>
      <c r="B10" s="400" t="s">
        <v>66</v>
      </c>
      <c r="C10" s="554"/>
      <c r="D10" s="554"/>
      <c r="E10" s="554">
        <v>6400.6751299999996</v>
      </c>
      <c r="F10" s="554">
        <v>6400.6751299999996</v>
      </c>
      <c r="G10" s="555">
        <v>6400.6751299999996</v>
      </c>
      <c r="I10" s="527"/>
      <c r="J10" s="527"/>
      <c r="K10" s="708"/>
      <c r="L10" s="708"/>
    </row>
    <row r="11" spans="1:12" s="400" customFormat="1" ht="9" customHeight="1">
      <c r="A11" s="556"/>
      <c r="B11" s="400" t="s">
        <v>70</v>
      </c>
      <c r="C11" s="554"/>
      <c r="D11" s="554"/>
      <c r="E11" s="554">
        <v>4240.5924999999997</v>
      </c>
      <c r="F11" s="554">
        <v>4240.5924999999997</v>
      </c>
      <c r="G11" s="555">
        <v>4240.5924999999997</v>
      </c>
      <c r="I11" s="527"/>
      <c r="J11" s="527"/>
      <c r="K11" s="708"/>
      <c r="L11" s="708"/>
    </row>
    <row r="12" spans="1:12" s="400" customFormat="1" ht="9" customHeight="1">
      <c r="A12" s="556"/>
      <c r="B12" s="400" t="s">
        <v>69</v>
      </c>
      <c r="C12" s="554"/>
      <c r="D12" s="554"/>
      <c r="E12" s="554">
        <v>4577.1508825000001</v>
      </c>
      <c r="F12" s="554">
        <v>4577.1508825000001</v>
      </c>
      <c r="G12" s="555">
        <v>4577.1508825000001</v>
      </c>
      <c r="I12" s="527"/>
      <c r="J12" s="527"/>
      <c r="K12" s="708"/>
      <c r="L12" s="708"/>
    </row>
    <row r="13" spans="1:12" s="400" customFormat="1" ht="9" customHeight="1">
      <c r="A13" s="687" t="s">
        <v>403</v>
      </c>
      <c r="B13" s="688"/>
      <c r="C13" s="689"/>
      <c r="D13" s="689"/>
      <c r="E13" s="689">
        <v>21293.177214999996</v>
      </c>
      <c r="F13" s="689">
        <v>21293.177214999996</v>
      </c>
      <c r="G13" s="690">
        <v>21293.177214999996</v>
      </c>
      <c r="I13" s="527"/>
      <c r="J13" s="527"/>
      <c r="K13" s="708"/>
      <c r="L13" s="708"/>
    </row>
    <row r="14" spans="1:12" s="400" customFormat="1" ht="9" customHeight="1">
      <c r="A14" s="556" t="s">
        <v>105</v>
      </c>
      <c r="B14" s="400" t="s">
        <v>404</v>
      </c>
      <c r="C14" s="554"/>
      <c r="D14" s="554">
        <v>20175.364079999999</v>
      </c>
      <c r="E14" s="554"/>
      <c r="F14" s="554">
        <v>20175.364079999999</v>
      </c>
      <c r="G14" s="555">
        <v>20175.364079999999</v>
      </c>
      <c r="I14" s="527"/>
      <c r="J14" s="527"/>
      <c r="K14" s="708"/>
      <c r="L14" s="708"/>
    </row>
    <row r="15" spans="1:12" s="400" customFormat="1" ht="9" customHeight="1">
      <c r="A15" s="687" t="s">
        <v>405</v>
      </c>
      <c r="B15" s="688"/>
      <c r="C15" s="689"/>
      <c r="D15" s="689">
        <v>20175.364079999999</v>
      </c>
      <c r="E15" s="689"/>
      <c r="F15" s="689">
        <v>20175.364079999999</v>
      </c>
      <c r="G15" s="690">
        <v>20175.364079999999</v>
      </c>
      <c r="I15" s="527"/>
      <c r="J15" s="527"/>
      <c r="K15" s="708"/>
      <c r="L15" s="708"/>
    </row>
    <row r="16" spans="1:12" s="400" customFormat="1" ht="9" customHeight="1">
      <c r="A16" s="556" t="s">
        <v>123</v>
      </c>
      <c r="B16" s="400" t="s">
        <v>406</v>
      </c>
      <c r="C16" s="554"/>
      <c r="D16" s="554">
        <v>5834.4011274999993</v>
      </c>
      <c r="E16" s="554"/>
      <c r="F16" s="554">
        <v>5834.4011274999993</v>
      </c>
      <c r="G16" s="555">
        <v>5834.4011274999993</v>
      </c>
      <c r="I16" s="527"/>
      <c r="J16" s="527"/>
      <c r="K16" s="708"/>
      <c r="L16" s="708"/>
    </row>
    <row r="17" spans="1:12" s="400" customFormat="1" ht="9" customHeight="1">
      <c r="A17" s="687" t="s">
        <v>407</v>
      </c>
      <c r="B17" s="688"/>
      <c r="C17" s="689"/>
      <c r="D17" s="689">
        <v>5834.4011274999993</v>
      </c>
      <c r="E17" s="689"/>
      <c r="F17" s="689">
        <v>5834.4011274999993</v>
      </c>
      <c r="G17" s="690">
        <v>5834.4011274999993</v>
      </c>
      <c r="I17" s="527"/>
      <c r="J17" s="527"/>
      <c r="K17" s="708"/>
      <c r="L17" s="708"/>
    </row>
    <row r="18" spans="1:12" s="400" customFormat="1" ht="9" customHeight="1">
      <c r="A18" s="556" t="s">
        <v>116</v>
      </c>
      <c r="B18" s="400" t="s">
        <v>71</v>
      </c>
      <c r="C18" s="554"/>
      <c r="D18" s="554"/>
      <c r="E18" s="554">
        <v>2547.7262900000001</v>
      </c>
      <c r="F18" s="554">
        <v>2547.7262900000001</v>
      </c>
      <c r="G18" s="555">
        <v>2547.7262900000001</v>
      </c>
      <c r="I18" s="527"/>
      <c r="J18" s="527"/>
      <c r="K18" s="708"/>
      <c r="L18" s="708"/>
    </row>
    <row r="19" spans="1:12" s="400" customFormat="1" ht="9" customHeight="1">
      <c r="A19" s="687" t="s">
        <v>408</v>
      </c>
      <c r="B19" s="688"/>
      <c r="C19" s="689"/>
      <c r="D19" s="689"/>
      <c r="E19" s="689">
        <v>2547.7262900000001</v>
      </c>
      <c r="F19" s="689">
        <v>2547.7262900000001</v>
      </c>
      <c r="G19" s="690">
        <v>2547.7262900000001</v>
      </c>
      <c r="I19" s="527"/>
      <c r="J19" s="527"/>
      <c r="K19" s="708"/>
      <c r="L19" s="708"/>
    </row>
    <row r="20" spans="1:12" s="400" customFormat="1" ht="9" customHeight="1">
      <c r="A20" s="556" t="s">
        <v>93</v>
      </c>
      <c r="B20" s="400" t="s">
        <v>409</v>
      </c>
      <c r="C20" s="554">
        <v>30978.128874999999</v>
      </c>
      <c r="D20" s="554"/>
      <c r="E20" s="554"/>
      <c r="F20" s="554">
        <v>30978.128874999999</v>
      </c>
      <c r="G20" s="555">
        <v>30978.128874999999</v>
      </c>
      <c r="I20" s="527"/>
      <c r="J20" s="527"/>
      <c r="K20" s="708"/>
      <c r="L20" s="708"/>
    </row>
    <row r="21" spans="1:12" s="400" customFormat="1" ht="9" customHeight="1">
      <c r="A21" s="556"/>
      <c r="B21" s="400" t="s">
        <v>410</v>
      </c>
      <c r="C21" s="554">
        <v>90602.580237499991</v>
      </c>
      <c r="D21" s="554"/>
      <c r="E21" s="554"/>
      <c r="F21" s="554">
        <v>90602.580237499991</v>
      </c>
      <c r="G21" s="555">
        <v>90602.580237499991</v>
      </c>
      <c r="I21" s="527"/>
      <c r="J21" s="527"/>
      <c r="K21" s="708"/>
      <c r="L21" s="708"/>
    </row>
    <row r="22" spans="1:12" s="400" customFormat="1" ht="9" customHeight="1">
      <c r="A22" s="556"/>
      <c r="B22" s="400" t="s">
        <v>411</v>
      </c>
      <c r="C22" s="554">
        <v>14256.189802500001</v>
      </c>
      <c r="D22" s="554"/>
      <c r="E22" s="554"/>
      <c r="F22" s="554">
        <v>14256.189802500001</v>
      </c>
      <c r="G22" s="555">
        <v>14256.189802500001</v>
      </c>
      <c r="I22" s="527"/>
      <c r="J22" s="527"/>
      <c r="K22" s="708"/>
      <c r="L22" s="708"/>
    </row>
    <row r="23" spans="1:12" s="400" customFormat="1" ht="9" customHeight="1">
      <c r="A23" s="556"/>
      <c r="B23" s="400" t="s">
        <v>412</v>
      </c>
      <c r="C23" s="554">
        <v>16.599577499999999</v>
      </c>
      <c r="D23" s="554"/>
      <c r="E23" s="554"/>
      <c r="F23" s="554">
        <v>16.599577499999999</v>
      </c>
      <c r="G23" s="555">
        <v>16.599577499999999</v>
      </c>
      <c r="I23" s="527"/>
      <c r="J23" s="527"/>
      <c r="K23" s="708"/>
      <c r="L23" s="708"/>
    </row>
    <row r="24" spans="1:12" s="400" customFormat="1" ht="9" customHeight="1">
      <c r="A24" s="556"/>
      <c r="B24" s="400" t="s">
        <v>413</v>
      </c>
      <c r="C24" s="554">
        <v>16139.014795000001</v>
      </c>
      <c r="D24" s="554"/>
      <c r="E24" s="554"/>
      <c r="F24" s="554">
        <v>16139.014795000001</v>
      </c>
      <c r="G24" s="555">
        <v>16139.014795000001</v>
      </c>
      <c r="I24" s="527"/>
      <c r="J24" s="527"/>
      <c r="K24" s="708"/>
      <c r="L24" s="708"/>
    </row>
    <row r="25" spans="1:12" s="400" customFormat="1" ht="9" customHeight="1">
      <c r="A25" s="556"/>
      <c r="B25" s="400" t="s">
        <v>414</v>
      </c>
      <c r="C25" s="554">
        <v>1800.5526</v>
      </c>
      <c r="D25" s="554"/>
      <c r="E25" s="554"/>
      <c r="F25" s="554">
        <v>1800.5526</v>
      </c>
      <c r="G25" s="555">
        <v>1800.5526</v>
      </c>
      <c r="I25" s="527"/>
      <c r="J25" s="527"/>
      <c r="K25" s="708"/>
      <c r="L25" s="708"/>
    </row>
    <row r="26" spans="1:12" s="400" customFormat="1" ht="9" customHeight="1">
      <c r="A26" s="556"/>
      <c r="B26" s="400" t="s">
        <v>415</v>
      </c>
      <c r="C26" s="554">
        <v>4262.6628000000001</v>
      </c>
      <c r="D26" s="554"/>
      <c r="E26" s="554"/>
      <c r="F26" s="554">
        <v>4262.6628000000001</v>
      </c>
      <c r="G26" s="555">
        <v>4262.6628000000001</v>
      </c>
      <c r="I26" s="527"/>
      <c r="J26" s="527"/>
      <c r="K26" s="708"/>
      <c r="L26" s="708"/>
    </row>
    <row r="27" spans="1:12" s="400" customFormat="1" ht="9" customHeight="1">
      <c r="A27" s="556"/>
      <c r="B27" s="400" t="s">
        <v>416</v>
      </c>
      <c r="C27" s="554">
        <v>354.26940999999999</v>
      </c>
      <c r="D27" s="554"/>
      <c r="E27" s="554"/>
      <c r="F27" s="554">
        <v>354.26940999999999</v>
      </c>
      <c r="G27" s="555">
        <v>354.26940999999999</v>
      </c>
      <c r="I27" s="527"/>
      <c r="J27" s="527"/>
      <c r="K27" s="708"/>
      <c r="L27" s="708"/>
    </row>
    <row r="28" spans="1:12" s="400" customFormat="1" ht="9" customHeight="1">
      <c r="A28" s="556"/>
      <c r="B28" s="400" t="s">
        <v>417</v>
      </c>
      <c r="C28" s="554">
        <v>1158.482915</v>
      </c>
      <c r="D28" s="554"/>
      <c r="E28" s="554"/>
      <c r="F28" s="554">
        <v>1158.482915</v>
      </c>
      <c r="G28" s="555">
        <v>1158.482915</v>
      </c>
      <c r="I28" s="527"/>
      <c r="J28" s="527"/>
      <c r="K28" s="708"/>
      <c r="L28" s="708"/>
    </row>
    <row r="29" spans="1:12" s="400" customFormat="1" ht="9" customHeight="1">
      <c r="A29" s="556"/>
      <c r="B29" s="400" t="s">
        <v>418</v>
      </c>
      <c r="C29" s="554">
        <v>106.9651525</v>
      </c>
      <c r="D29" s="554"/>
      <c r="E29" s="554"/>
      <c r="F29" s="554">
        <v>106.9651525</v>
      </c>
      <c r="G29" s="555">
        <v>106.9651525</v>
      </c>
      <c r="I29" s="527"/>
      <c r="J29" s="527"/>
      <c r="K29" s="708"/>
      <c r="L29" s="708"/>
    </row>
    <row r="30" spans="1:12" s="400" customFormat="1" ht="9" customHeight="1">
      <c r="A30" s="556"/>
      <c r="B30" s="400" t="s">
        <v>419</v>
      </c>
      <c r="C30" s="554">
        <v>81.223127500000004</v>
      </c>
      <c r="D30" s="554"/>
      <c r="E30" s="554"/>
      <c r="F30" s="554">
        <v>81.223127500000004</v>
      </c>
      <c r="G30" s="555">
        <v>81.223127500000004</v>
      </c>
      <c r="I30" s="527"/>
      <c r="J30" s="527"/>
      <c r="K30" s="708"/>
      <c r="L30" s="708"/>
    </row>
    <row r="31" spans="1:12" s="400" customFormat="1" ht="9" customHeight="1">
      <c r="A31" s="556"/>
      <c r="B31" s="400" t="s">
        <v>420</v>
      </c>
      <c r="C31" s="554">
        <v>76744.197964999999</v>
      </c>
      <c r="D31" s="554"/>
      <c r="E31" s="554"/>
      <c r="F31" s="554">
        <v>76744.197964999999</v>
      </c>
      <c r="G31" s="555">
        <v>76744.197964999999</v>
      </c>
      <c r="I31" s="527"/>
      <c r="J31" s="527"/>
      <c r="K31" s="708"/>
      <c r="L31" s="708"/>
    </row>
    <row r="32" spans="1:12" s="400" customFormat="1" ht="9" customHeight="1">
      <c r="A32" s="687" t="s">
        <v>421</v>
      </c>
      <c r="B32" s="688"/>
      <c r="C32" s="689">
        <v>236500.86725749998</v>
      </c>
      <c r="D32" s="689"/>
      <c r="E32" s="689"/>
      <c r="F32" s="689">
        <v>236500.86725749998</v>
      </c>
      <c r="G32" s="690">
        <v>236500.86725749998</v>
      </c>
      <c r="I32" s="527"/>
      <c r="J32" s="527"/>
      <c r="K32" s="708"/>
      <c r="L32" s="708"/>
    </row>
    <row r="33" spans="1:13" s="400" customFormat="1" ht="9" customHeight="1">
      <c r="A33" s="556" t="s">
        <v>112</v>
      </c>
      <c r="B33" s="400" t="s">
        <v>255</v>
      </c>
      <c r="C33" s="554"/>
      <c r="D33" s="554"/>
      <c r="E33" s="554">
        <v>4157.37194</v>
      </c>
      <c r="F33" s="554">
        <v>4157.37194</v>
      </c>
      <c r="G33" s="555">
        <v>4157.37194</v>
      </c>
      <c r="I33" s="527"/>
      <c r="J33" s="527"/>
      <c r="K33" s="708"/>
      <c r="L33" s="708"/>
    </row>
    <row r="34" spans="1:13" s="400" customFormat="1" ht="9" customHeight="1">
      <c r="A34" s="687" t="s">
        <v>422</v>
      </c>
      <c r="B34" s="688"/>
      <c r="C34" s="689"/>
      <c r="D34" s="689"/>
      <c r="E34" s="689">
        <v>4157.37194</v>
      </c>
      <c r="F34" s="689">
        <v>4157.37194</v>
      </c>
      <c r="G34" s="690">
        <v>4157.37194</v>
      </c>
      <c r="I34" s="527"/>
      <c r="J34" s="527"/>
      <c r="K34" s="708"/>
      <c r="L34" s="708"/>
    </row>
    <row r="35" spans="1:13" s="400" customFormat="1" ht="9" customHeight="1">
      <c r="A35" s="556" t="s">
        <v>103</v>
      </c>
      <c r="B35" s="400" t="s">
        <v>616</v>
      </c>
      <c r="C35" s="554"/>
      <c r="D35" s="554">
        <v>143773.6293225</v>
      </c>
      <c r="E35" s="554"/>
      <c r="F35" s="554">
        <v>143773.6293225</v>
      </c>
      <c r="G35" s="555">
        <v>143773.6293225</v>
      </c>
      <c r="K35" s="708"/>
      <c r="L35" s="708"/>
    </row>
    <row r="36" spans="1:13" s="400" customFormat="1" ht="9" customHeight="1">
      <c r="A36" s="687" t="s">
        <v>423</v>
      </c>
      <c r="B36" s="688"/>
      <c r="C36" s="689"/>
      <c r="D36" s="689">
        <v>143773.6293225</v>
      </c>
      <c r="E36" s="689"/>
      <c r="F36" s="689">
        <v>143773.6293225</v>
      </c>
      <c r="G36" s="690">
        <v>143773.6293225</v>
      </c>
      <c r="K36" s="708"/>
      <c r="L36" s="708"/>
    </row>
    <row r="37" spans="1:13">
      <c r="A37" s="556" t="s">
        <v>108</v>
      </c>
      <c r="B37" s="400" t="s">
        <v>424</v>
      </c>
      <c r="C37" s="400"/>
      <c r="D37" s="400">
        <v>21820.5228575</v>
      </c>
      <c r="E37" s="400"/>
      <c r="F37" s="400">
        <v>21820.5228575</v>
      </c>
      <c r="G37" s="400">
        <v>21820.5228575</v>
      </c>
    </row>
    <row r="38" spans="1:13">
      <c r="A38" s="687" t="s">
        <v>425</v>
      </c>
      <c r="B38" s="688"/>
      <c r="C38" s="689"/>
      <c r="D38" s="689">
        <v>21820.5228575</v>
      </c>
      <c r="E38" s="689"/>
      <c r="F38" s="689">
        <v>21820.5228575</v>
      </c>
      <c r="G38" s="690">
        <v>21820.5228575</v>
      </c>
    </row>
    <row r="39" spans="1:13">
      <c r="A39" s="400"/>
      <c r="B39" s="400"/>
      <c r="C39" s="400"/>
      <c r="D39" s="400"/>
      <c r="E39" s="400"/>
      <c r="F39" s="400"/>
      <c r="G39" s="400"/>
    </row>
    <row r="40" spans="1:13">
      <c r="A40" s="657" t="s">
        <v>608</v>
      </c>
      <c r="B40" s="660"/>
      <c r="C40" s="658">
        <v>2632274.125945</v>
      </c>
      <c r="D40" s="658">
        <v>1537268.7569074996</v>
      </c>
      <c r="E40" s="658">
        <v>327534.41311000002</v>
      </c>
      <c r="F40" s="658">
        <v>4497077.2959624995</v>
      </c>
      <c r="G40" s="658">
        <v>4497077.2959624995</v>
      </c>
    </row>
    <row r="41" spans="1:13">
      <c r="A41" s="657" t="s">
        <v>426</v>
      </c>
      <c r="B41" s="660"/>
      <c r="C41" s="661"/>
      <c r="D41" s="661"/>
      <c r="E41" s="748"/>
      <c r="F41" s="662">
        <v>0</v>
      </c>
      <c r="G41" s="662">
        <v>0</v>
      </c>
    </row>
    <row r="42" spans="1:13">
      <c r="A42" s="747" t="s">
        <v>427</v>
      </c>
      <c r="B42" s="660"/>
      <c r="C42" s="661"/>
      <c r="D42" s="661"/>
      <c r="E42" s="748"/>
      <c r="F42" s="662">
        <v>0</v>
      </c>
      <c r="G42" s="662"/>
    </row>
    <row r="43" spans="1:13" ht="6.75" customHeight="1"/>
    <row r="44" spans="1:13" ht="23.25" customHeight="1">
      <c r="A44" s="908" t="s">
        <v>630</v>
      </c>
      <c r="B44" s="908"/>
      <c r="C44" s="908"/>
      <c r="D44" s="908"/>
      <c r="E44" s="908"/>
      <c r="F44" s="908"/>
      <c r="G44" s="908"/>
    </row>
    <row r="45" spans="1:13" ht="8.25" customHeight="1"/>
    <row r="46" spans="1:13">
      <c r="A46" s="400"/>
      <c r="B46" s="305"/>
      <c r="C46" s="305"/>
      <c r="D46" s="305"/>
      <c r="E46" s="305"/>
      <c r="F46" s="305"/>
    </row>
    <row r="47" spans="1:13" s="513" customFormat="1">
      <c r="A47" s="400"/>
      <c r="B47" s="305"/>
      <c r="C47" s="305"/>
      <c r="D47" s="305"/>
      <c r="E47" s="305"/>
      <c r="F47" s="305"/>
      <c r="G47"/>
      <c r="H47"/>
      <c r="I47"/>
      <c r="J47"/>
      <c r="K47"/>
      <c r="L47"/>
      <c r="M47"/>
    </row>
    <row r="48" spans="1:13">
      <c r="A48" s="400"/>
      <c r="B48" s="305"/>
      <c r="C48" s="305"/>
      <c r="D48" s="305"/>
      <c r="E48" s="305"/>
      <c r="F48" s="305"/>
    </row>
    <row r="49" spans="1:6">
      <c r="A49" s="400"/>
      <c r="B49" s="305"/>
      <c r="C49" s="305"/>
      <c r="D49" s="305"/>
      <c r="E49" s="305"/>
      <c r="F49" s="305"/>
    </row>
    <row r="50" spans="1:6">
      <c r="A50" s="400"/>
      <c r="B50" s="305"/>
      <c r="C50" s="305"/>
      <c r="D50" s="305"/>
      <c r="E50" s="305"/>
      <c r="F50" s="305"/>
    </row>
    <row r="51" spans="1:6">
      <c r="A51" s="400"/>
      <c r="B51" s="305"/>
      <c r="C51" s="305"/>
      <c r="D51" s="305"/>
      <c r="E51" s="305"/>
      <c r="F51" s="305"/>
    </row>
    <row r="52" spans="1:6">
      <c r="A52" s="400"/>
      <c r="B52" s="305"/>
      <c r="C52" s="305"/>
      <c r="D52" s="305"/>
      <c r="E52" s="305"/>
      <c r="F52" s="305"/>
    </row>
    <row r="53" spans="1:6">
      <c r="A53" s="400"/>
      <c r="B53" s="305"/>
      <c r="C53" s="305"/>
      <c r="D53" s="305"/>
      <c r="E53" s="305"/>
      <c r="F53" s="305"/>
    </row>
    <row r="54" spans="1:6">
      <c r="A54" s="400"/>
      <c r="B54" s="305"/>
      <c r="C54" s="305"/>
      <c r="D54" s="305"/>
      <c r="E54" s="305"/>
      <c r="F54" s="305"/>
    </row>
    <row r="55" spans="1:6">
      <c r="A55" s="400"/>
      <c r="B55" s="305"/>
      <c r="C55" s="305"/>
      <c r="D55" s="305"/>
      <c r="E55" s="305"/>
      <c r="F55" s="305"/>
    </row>
    <row r="56" spans="1:6">
      <c r="A56" s="400"/>
      <c r="B56" s="305"/>
      <c r="C56" s="305"/>
      <c r="D56" s="305"/>
      <c r="E56" s="305"/>
      <c r="F56" s="305"/>
    </row>
    <row r="57" spans="1:6">
      <c r="A57" s="400"/>
      <c r="B57" s="305"/>
      <c r="C57" s="305"/>
      <c r="D57" s="305"/>
      <c r="E57" s="305"/>
      <c r="F57" s="305"/>
    </row>
    <row r="58" spans="1:6">
      <c r="A58" s="400"/>
    </row>
    <row r="59" spans="1:6">
      <c r="A59" s="400"/>
    </row>
    <row r="60" spans="1:6">
      <c r="A60" s="400"/>
    </row>
  </sheetData>
  <mergeCells count="6">
    <mergeCell ref="A44:G44"/>
    <mergeCell ref="A1:A4"/>
    <mergeCell ref="B1:B4"/>
    <mergeCell ref="C1:F1"/>
    <mergeCell ref="C2:E2"/>
    <mergeCell ref="F2:F3"/>
  </mergeCells>
  <pageMargins left="0.70866141732283472" right="0.47244094488188981" top="1.4311417322834645" bottom="0.62992125984251968" header="0.31496062992125984" footer="0.31496062992125984"/>
  <pageSetup paperSize="9" scale="95" orientation="portrait" r:id="rId1"/>
  <headerFooter>
    <oddHeader>&amp;R&amp;7Informe de la Operación Mensual - Enero 2019
INFSGI-MES-01-2019
13/02/2019
Versión: 01</oddHeader>
    <oddFooter>&amp;L&amp;7COES, 2019&amp;C20&amp;R&amp;7Dirección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4"/>
  </sheetPr>
  <dimension ref="A1:P184"/>
  <sheetViews>
    <sheetView showGridLines="0" view="pageBreakPreview" topLeftCell="C1" zoomScale="130" zoomScaleNormal="100" zoomScaleSheetLayoutView="130" zoomScalePageLayoutView="160" workbookViewId="0">
      <selection activeCell="M24" sqref="M24"/>
    </sheetView>
  </sheetViews>
  <sheetFormatPr defaultColWidth="9.33203125" defaultRowHeight="9"/>
  <cols>
    <col min="1" max="1" width="28.6640625" style="305" customWidth="1"/>
    <col min="2" max="2" width="22.1640625" style="305" customWidth="1"/>
    <col min="3" max="4" width="17.6640625" style="305" customWidth="1"/>
    <col min="5" max="5" width="15.1640625" style="305" customWidth="1"/>
    <col min="6" max="6" width="12.1640625" style="305" customWidth="1"/>
    <col min="7" max="7" width="9.33203125" style="305"/>
    <col min="8" max="8" width="15.6640625" style="305" customWidth="1"/>
    <col min="9" max="9" width="9.33203125" style="305"/>
    <col min="10" max="11" width="9.33203125" style="305" customWidth="1"/>
    <col min="12" max="16384" width="9.33203125" style="305"/>
  </cols>
  <sheetData>
    <row r="1" spans="1:12" ht="11.25" customHeight="1">
      <c r="A1" s="304" t="s">
        <v>435</v>
      </c>
    </row>
    <row r="2" spans="1:12" s="400" customFormat="1" ht="11.25" customHeight="1">
      <c r="A2" s="909" t="s">
        <v>277</v>
      </c>
      <c r="B2" s="912" t="s">
        <v>56</v>
      </c>
      <c r="C2" s="912" t="s">
        <v>436</v>
      </c>
      <c r="D2" s="912"/>
      <c r="E2" s="912"/>
      <c r="F2" s="915"/>
      <c r="G2" s="558"/>
      <c r="H2" s="558"/>
      <c r="I2" s="558"/>
      <c r="J2" s="558"/>
      <c r="K2" s="558"/>
    </row>
    <row r="3" spans="1:12" s="400" customFormat="1" ht="11.25" customHeight="1">
      <c r="A3" s="910"/>
      <c r="B3" s="913"/>
      <c r="C3" s="665" t="str">
        <f>UPPER('1. Resumen'!Q4)&amp;" "&amp;'1. Resumen'!Q5</f>
        <v>ENERO 2019</v>
      </c>
      <c r="D3" s="666" t="str">
        <f>UPPER('1. Resumen'!Q4)&amp;" "&amp;'1. Resumen'!Q5-1</f>
        <v>ENERO 2018</v>
      </c>
      <c r="E3" s="667" t="s">
        <v>799</v>
      </c>
      <c r="F3" s="668" t="s">
        <v>434</v>
      </c>
      <c r="G3" s="559"/>
      <c r="H3" s="559"/>
      <c r="I3" s="559"/>
      <c r="J3" s="559"/>
      <c r="K3" s="559"/>
      <c r="L3" s="558"/>
    </row>
    <row r="4" spans="1:12" s="400" customFormat="1" ht="11.25" customHeight="1">
      <c r="A4" s="910"/>
      <c r="B4" s="913"/>
      <c r="C4" s="669">
        <f>+'8. Max Potencia'!D8</f>
        <v>43494.833333333336</v>
      </c>
      <c r="D4" s="669">
        <f>+'8. Max Potencia'!E8</f>
        <v>43126.822916666664</v>
      </c>
      <c r="E4" s="669">
        <v>43494.833333333336</v>
      </c>
      <c r="F4" s="670" t="s">
        <v>428</v>
      </c>
      <c r="G4" s="560"/>
      <c r="H4" s="560"/>
      <c r="I4" s="561"/>
      <c r="J4" s="561"/>
      <c r="K4" s="561"/>
      <c r="L4" s="558"/>
    </row>
    <row r="5" spans="1:12" s="400" customFormat="1" ht="11.25" customHeight="1">
      <c r="A5" s="911"/>
      <c r="B5" s="914"/>
      <c r="C5" s="671">
        <f>+'8. Max Potencia'!D9</f>
        <v>43494.833333333336</v>
      </c>
      <c r="D5" s="671">
        <f>+'8. Max Potencia'!E9</f>
        <v>43126.822916666664</v>
      </c>
      <c r="E5" s="671">
        <v>43494.833333333336</v>
      </c>
      <c r="F5" s="672" t="s">
        <v>429</v>
      </c>
      <c r="G5" s="560"/>
      <c r="H5" s="560"/>
      <c r="I5" s="560"/>
      <c r="J5" s="560"/>
      <c r="K5" s="560"/>
      <c r="L5" s="562"/>
    </row>
    <row r="6" spans="1:12" s="400" customFormat="1" ht="10.5" customHeight="1">
      <c r="A6" s="551" t="s">
        <v>125</v>
      </c>
      <c r="B6" s="552" t="s">
        <v>89</v>
      </c>
      <c r="C6" s="563">
        <v>0</v>
      </c>
      <c r="D6" s="563">
        <v>0</v>
      </c>
      <c r="E6" s="563">
        <v>0</v>
      </c>
      <c r="F6" s="564" t="str">
        <f>+IF(D6=0,"",C6/D6-1)</f>
        <v/>
      </c>
      <c r="G6" s="560"/>
      <c r="H6" s="712"/>
      <c r="I6" s="712"/>
      <c r="J6" s="560"/>
      <c r="K6" s="560"/>
      <c r="L6" s="565"/>
    </row>
    <row r="7" spans="1:12" s="400" customFormat="1" ht="10.5" customHeight="1">
      <c r="A7" s="687" t="s">
        <v>309</v>
      </c>
      <c r="B7" s="688"/>
      <c r="C7" s="691">
        <v>0</v>
      </c>
      <c r="D7" s="691">
        <v>0</v>
      </c>
      <c r="E7" s="691">
        <v>0</v>
      </c>
      <c r="F7" s="692" t="str">
        <f t="shared" ref="F7:F71" si="0">+IF(D7=0,"",C7/D7-1)</f>
        <v/>
      </c>
      <c r="G7" s="560"/>
      <c r="H7" s="712"/>
      <c r="I7" s="712"/>
      <c r="J7" s="560"/>
      <c r="K7" s="560"/>
      <c r="L7" s="566"/>
    </row>
    <row r="8" spans="1:12" s="400" customFormat="1" ht="10.5" customHeight="1">
      <c r="A8" s="551" t="s">
        <v>124</v>
      </c>
      <c r="B8" s="552" t="s">
        <v>65</v>
      </c>
      <c r="C8" s="563">
        <v>19.248800000000003</v>
      </c>
      <c r="D8" s="563">
        <v>10.10004</v>
      </c>
      <c r="E8" s="563">
        <v>19.248800000000003</v>
      </c>
      <c r="F8" s="573">
        <f t="shared" si="0"/>
        <v>0.90581423439907205</v>
      </c>
      <c r="G8" s="560"/>
      <c r="H8" s="712"/>
      <c r="I8" s="712"/>
      <c r="J8" s="560"/>
      <c r="K8" s="560"/>
      <c r="L8" s="568"/>
    </row>
    <row r="9" spans="1:12" s="400" customFormat="1" ht="10.5" customHeight="1">
      <c r="A9" s="687" t="s">
        <v>310</v>
      </c>
      <c r="B9" s="688"/>
      <c r="C9" s="691">
        <v>19.248800000000003</v>
      </c>
      <c r="D9" s="691">
        <v>10.10004</v>
      </c>
      <c r="E9" s="691">
        <v>19.248800000000003</v>
      </c>
      <c r="F9" s="692">
        <f t="shared" si="0"/>
        <v>0.90581423439907205</v>
      </c>
      <c r="G9" s="560"/>
      <c r="H9" s="712"/>
      <c r="I9" s="712"/>
      <c r="J9" s="560"/>
      <c r="K9" s="560"/>
      <c r="L9" s="566"/>
    </row>
    <row r="10" spans="1:12" s="400" customFormat="1" ht="10.5" customHeight="1">
      <c r="A10" s="556" t="s">
        <v>109</v>
      </c>
      <c r="B10" s="400" t="s">
        <v>86</v>
      </c>
      <c r="C10" s="557">
        <v>11.549289999999999</v>
      </c>
      <c r="D10" s="557">
        <v>12.68676</v>
      </c>
      <c r="E10" s="557">
        <v>11.549289999999999</v>
      </c>
      <c r="F10" s="567">
        <f t="shared" si="0"/>
        <v>-8.9658037197834606E-2</v>
      </c>
      <c r="G10" s="560"/>
      <c r="H10" s="712"/>
      <c r="I10" s="712"/>
      <c r="J10" s="560"/>
      <c r="K10" s="560"/>
      <c r="L10" s="566"/>
    </row>
    <row r="11" spans="1:12" s="400" customFormat="1" ht="10.5" customHeight="1">
      <c r="A11" s="687" t="s">
        <v>311</v>
      </c>
      <c r="B11" s="688"/>
      <c r="C11" s="691">
        <v>11.549289999999999</v>
      </c>
      <c r="D11" s="691">
        <v>12.68676</v>
      </c>
      <c r="E11" s="691">
        <v>11.549289999999999</v>
      </c>
      <c r="F11" s="692">
        <f t="shared" si="0"/>
        <v>-8.9658037197834606E-2</v>
      </c>
      <c r="G11" s="560"/>
      <c r="H11" s="712"/>
      <c r="I11" s="712"/>
      <c r="J11" s="560"/>
      <c r="K11" s="560"/>
      <c r="L11" s="566"/>
    </row>
    <row r="12" spans="1:12" s="400" customFormat="1" ht="10.5" customHeight="1">
      <c r="A12" s="556" t="s">
        <v>566</v>
      </c>
      <c r="B12" s="400" t="s">
        <v>624</v>
      </c>
      <c r="C12" s="557">
        <v>19.862850000000002</v>
      </c>
      <c r="D12" s="557"/>
      <c r="E12" s="557">
        <v>19.862850000000002</v>
      </c>
      <c r="F12" s="567" t="str">
        <f t="shared" si="0"/>
        <v/>
      </c>
      <c r="G12" s="560"/>
      <c r="H12" s="712"/>
      <c r="I12" s="712"/>
      <c r="J12" s="560"/>
      <c r="K12" s="560"/>
      <c r="L12" s="566"/>
    </row>
    <row r="13" spans="1:12" s="400" customFormat="1" ht="10.5" customHeight="1">
      <c r="A13" s="687" t="s">
        <v>570</v>
      </c>
      <c r="B13" s="688"/>
      <c r="C13" s="691">
        <v>19.862850000000002</v>
      </c>
      <c r="D13" s="691"/>
      <c r="E13" s="691">
        <v>19.862850000000002</v>
      </c>
      <c r="F13" s="692" t="str">
        <f t="shared" si="0"/>
        <v/>
      </c>
      <c r="G13" s="560"/>
      <c r="H13" s="712"/>
      <c r="I13" s="712"/>
      <c r="J13" s="560"/>
      <c r="K13" s="560"/>
      <c r="L13" s="566"/>
    </row>
    <row r="14" spans="1:12" s="400" customFormat="1" ht="10.5" customHeight="1">
      <c r="A14" s="556" t="s">
        <v>97</v>
      </c>
      <c r="B14" s="400" t="s">
        <v>312</v>
      </c>
      <c r="C14" s="557">
        <v>212.94022000000001</v>
      </c>
      <c r="D14" s="557">
        <v>213.76758000000001</v>
      </c>
      <c r="E14" s="557">
        <v>212.94022000000001</v>
      </c>
      <c r="F14" s="567">
        <f t="shared" si="0"/>
        <v>-3.8703717373794744E-3</v>
      </c>
      <c r="G14" s="560"/>
      <c r="H14" s="712"/>
      <c r="I14" s="712"/>
      <c r="J14" s="560"/>
      <c r="K14" s="560"/>
      <c r="L14" s="566"/>
    </row>
    <row r="15" spans="1:12" s="400" customFormat="1" ht="10.5" customHeight="1">
      <c r="A15" s="687" t="s">
        <v>313</v>
      </c>
      <c r="B15" s="688"/>
      <c r="C15" s="691">
        <v>212.94022000000001</v>
      </c>
      <c r="D15" s="691">
        <v>213.76758000000001</v>
      </c>
      <c r="E15" s="691">
        <v>212.94022000000001</v>
      </c>
      <c r="F15" s="692">
        <f t="shared" si="0"/>
        <v>-3.8703717373794744E-3</v>
      </c>
      <c r="G15" s="560"/>
      <c r="H15" s="712"/>
      <c r="I15" s="712"/>
      <c r="J15" s="560"/>
      <c r="K15" s="560"/>
      <c r="L15" s="568"/>
    </row>
    <row r="16" spans="1:12" s="400" customFormat="1" ht="10.5" customHeight="1">
      <c r="A16" s="556" t="s">
        <v>261</v>
      </c>
      <c r="B16" s="400" t="s">
        <v>314</v>
      </c>
      <c r="C16" s="557">
        <v>0</v>
      </c>
      <c r="D16" s="557">
        <v>0</v>
      </c>
      <c r="E16" s="557">
        <v>0</v>
      </c>
      <c r="F16" s="567" t="str">
        <f t="shared" si="0"/>
        <v/>
      </c>
      <c r="G16" s="560"/>
      <c r="H16" s="712"/>
      <c r="I16" s="712"/>
      <c r="J16" s="560"/>
      <c r="K16" s="560"/>
      <c r="L16" s="568"/>
    </row>
    <row r="17" spans="1:16" s="400" customFormat="1" ht="10.5" customHeight="1">
      <c r="A17" s="687" t="s">
        <v>315</v>
      </c>
      <c r="B17" s="688"/>
      <c r="C17" s="691">
        <v>0</v>
      </c>
      <c r="D17" s="691">
        <v>0</v>
      </c>
      <c r="E17" s="691">
        <v>0</v>
      </c>
      <c r="F17" s="692" t="str">
        <f t="shared" si="0"/>
        <v/>
      </c>
      <c r="G17" s="560"/>
      <c r="H17" s="712"/>
      <c r="I17" s="712"/>
      <c r="J17" s="560"/>
      <c r="K17" s="560"/>
      <c r="L17" s="568"/>
    </row>
    <row r="18" spans="1:16" s="400" customFormat="1" ht="10.5" customHeight="1">
      <c r="A18" s="556" t="s">
        <v>96</v>
      </c>
      <c r="B18" s="400" t="s">
        <v>316</v>
      </c>
      <c r="C18" s="557">
        <v>152.97789</v>
      </c>
      <c r="D18" s="557">
        <v>150.04261</v>
      </c>
      <c r="E18" s="557">
        <v>152.97789</v>
      </c>
      <c r="F18" s="567">
        <f t="shared" si="0"/>
        <v>1.9562976143910005E-2</v>
      </c>
      <c r="G18" s="560"/>
      <c r="H18" s="712"/>
      <c r="I18" s="712"/>
      <c r="J18" s="560"/>
      <c r="K18" s="560"/>
      <c r="L18" s="560"/>
      <c r="M18" s="560"/>
      <c r="N18" s="560"/>
      <c r="O18" s="560"/>
      <c r="P18" s="560"/>
    </row>
    <row r="19" spans="1:16" s="400" customFormat="1" ht="10.5" customHeight="1">
      <c r="A19" s="556"/>
      <c r="B19" s="400" t="s">
        <v>317</v>
      </c>
      <c r="C19" s="557">
        <v>41.373390000000001</v>
      </c>
      <c r="D19" s="557">
        <v>42.32911</v>
      </c>
      <c r="E19" s="557">
        <v>41.373390000000001</v>
      </c>
      <c r="F19" s="567">
        <f t="shared" si="0"/>
        <v>-2.2578315490214607E-2</v>
      </c>
      <c r="G19" s="560"/>
      <c r="H19" s="712"/>
      <c r="I19" s="712"/>
      <c r="J19" s="560"/>
      <c r="K19" s="560"/>
      <c r="L19" s="560"/>
      <c r="M19" s="560"/>
      <c r="N19" s="560"/>
      <c r="O19" s="560"/>
      <c r="P19" s="560"/>
    </row>
    <row r="20" spans="1:16" s="400" customFormat="1" ht="10.5" customHeight="1">
      <c r="A20" s="687" t="s">
        <v>318</v>
      </c>
      <c r="B20" s="688"/>
      <c r="C20" s="691">
        <v>194.35128</v>
      </c>
      <c r="D20" s="691">
        <v>192.37171999999998</v>
      </c>
      <c r="E20" s="691">
        <v>194.35128</v>
      </c>
      <c r="F20" s="692">
        <f t="shared" si="0"/>
        <v>1.0290285911047636E-2</v>
      </c>
      <c r="G20" s="560"/>
      <c r="H20" s="712"/>
      <c r="I20" s="712"/>
      <c r="J20" s="560"/>
      <c r="K20" s="560"/>
      <c r="L20" s="566"/>
    </row>
    <row r="21" spans="1:16" s="400" customFormat="1" ht="10.5" hidden="1" customHeight="1">
      <c r="A21" s="556" t="s">
        <v>534</v>
      </c>
      <c r="B21" s="400" t="s">
        <v>88</v>
      </c>
      <c r="C21" s="557"/>
      <c r="D21" s="557"/>
      <c r="E21" s="557"/>
      <c r="F21" s="567"/>
      <c r="G21" s="560"/>
      <c r="H21" s="712"/>
      <c r="I21" s="712"/>
      <c r="J21" s="560"/>
      <c r="K21" s="560"/>
      <c r="L21" s="566"/>
    </row>
    <row r="22" spans="1:16" s="400" customFormat="1" ht="10.5" hidden="1" customHeight="1">
      <c r="A22" s="687" t="s">
        <v>430</v>
      </c>
      <c r="B22" s="688"/>
      <c r="C22" s="691"/>
      <c r="D22" s="691"/>
      <c r="E22" s="691"/>
      <c r="F22" s="692"/>
      <c r="G22" s="560"/>
      <c r="H22" s="712"/>
      <c r="I22" s="712"/>
      <c r="J22" s="560"/>
      <c r="K22" s="560"/>
      <c r="L22" s="566"/>
    </row>
    <row r="23" spans="1:16" s="400" customFormat="1" ht="10.5" customHeight="1">
      <c r="A23" s="556" t="s">
        <v>94</v>
      </c>
      <c r="B23" s="400" t="s">
        <v>319</v>
      </c>
      <c r="C23" s="557">
        <v>1.2812299999999999</v>
      </c>
      <c r="D23" s="557">
        <v>1.6813100000000001</v>
      </c>
      <c r="E23" s="557">
        <v>1.2812299999999999</v>
      </c>
      <c r="F23" s="567">
        <f t="shared" si="0"/>
        <v>-0.2379573070998211</v>
      </c>
      <c r="G23" s="560"/>
      <c r="H23" s="712"/>
      <c r="I23" s="712"/>
      <c r="J23" s="560"/>
      <c r="K23" s="560"/>
      <c r="L23" s="566"/>
    </row>
    <row r="24" spans="1:16" s="400" customFormat="1" ht="10.5" customHeight="1">
      <c r="A24" s="556"/>
      <c r="B24" s="400" t="s">
        <v>320</v>
      </c>
      <c r="C24" s="557">
        <v>0.52731000000000006</v>
      </c>
      <c r="D24" s="557">
        <v>0.56728000000000001</v>
      </c>
      <c r="E24" s="557">
        <v>0.52731000000000006</v>
      </c>
      <c r="F24" s="567">
        <f t="shared" si="0"/>
        <v>-7.045903257650532E-2</v>
      </c>
      <c r="G24" s="560"/>
      <c r="H24" s="712"/>
      <c r="I24" s="712"/>
      <c r="J24" s="560"/>
      <c r="K24" s="560"/>
      <c r="L24" s="566"/>
    </row>
    <row r="25" spans="1:16" s="400" customFormat="1" ht="10.5" customHeight="1">
      <c r="A25" s="556"/>
      <c r="B25" s="400" t="s">
        <v>321</v>
      </c>
      <c r="C25" s="557">
        <v>4.4908800000000006</v>
      </c>
      <c r="D25" s="557">
        <v>4.55009</v>
      </c>
      <c r="E25" s="557">
        <v>4.4908800000000006</v>
      </c>
      <c r="F25" s="567">
        <f t="shared" si="0"/>
        <v>-1.3012929414582874E-2</v>
      </c>
      <c r="G25" s="560"/>
      <c r="H25" s="712"/>
      <c r="I25" s="712"/>
      <c r="J25" s="560"/>
      <c r="K25" s="560"/>
      <c r="L25" s="569"/>
    </row>
    <row r="26" spans="1:16" s="400" customFormat="1" ht="10.5" customHeight="1">
      <c r="A26" s="556"/>
      <c r="B26" s="400" t="s">
        <v>322</v>
      </c>
      <c r="C26" s="557">
        <v>14.169589999999999</v>
      </c>
      <c r="D26" s="557">
        <v>15.167909999999999</v>
      </c>
      <c r="E26" s="557">
        <v>14.169589999999999</v>
      </c>
      <c r="F26" s="567">
        <f t="shared" si="0"/>
        <v>-6.5817901081955288E-2</v>
      </c>
      <c r="G26" s="560"/>
      <c r="H26" s="712"/>
      <c r="I26" s="712"/>
      <c r="J26" s="560"/>
      <c r="K26" s="560"/>
      <c r="L26" s="566"/>
    </row>
    <row r="27" spans="1:16" s="400" customFormat="1" ht="10.5" customHeight="1">
      <c r="A27" s="556"/>
      <c r="B27" s="400" t="s">
        <v>323</v>
      </c>
      <c r="C27" s="557">
        <v>121.45068999999999</v>
      </c>
      <c r="D27" s="557">
        <v>141.75923</v>
      </c>
      <c r="E27" s="557">
        <v>121.45068999999999</v>
      </c>
      <c r="F27" s="567">
        <f t="shared" si="0"/>
        <v>-0.14326079508191469</v>
      </c>
      <c r="G27" s="560"/>
      <c r="H27" s="712"/>
      <c r="I27" s="712"/>
      <c r="J27" s="560"/>
      <c r="K27" s="560"/>
      <c r="L27" s="566"/>
    </row>
    <row r="28" spans="1:16" s="400" customFormat="1" ht="10.5" customHeight="1">
      <c r="A28" s="556"/>
      <c r="B28" s="400" t="s">
        <v>324</v>
      </c>
      <c r="C28" s="557">
        <v>8.2850300000000008</v>
      </c>
      <c r="D28" s="557">
        <v>8.6998200000000008</v>
      </c>
      <c r="E28" s="557">
        <v>8.2850300000000008</v>
      </c>
      <c r="F28" s="567">
        <f t="shared" si="0"/>
        <v>-4.7677997935589467E-2</v>
      </c>
      <c r="G28" s="560"/>
      <c r="H28" s="712"/>
      <c r="I28" s="712"/>
      <c r="J28" s="560"/>
      <c r="K28" s="560"/>
      <c r="L28" s="566"/>
    </row>
    <row r="29" spans="1:16" s="400" customFormat="1" ht="10.5" customHeight="1">
      <c r="A29" s="556"/>
      <c r="B29" s="400" t="s">
        <v>325</v>
      </c>
      <c r="C29" s="557">
        <v>0</v>
      </c>
      <c r="D29" s="557">
        <v>0</v>
      </c>
      <c r="E29" s="557">
        <v>0</v>
      </c>
      <c r="F29" s="567" t="str">
        <f t="shared" si="0"/>
        <v/>
      </c>
      <c r="G29" s="560"/>
      <c r="H29" s="712"/>
      <c r="I29" s="712"/>
      <c r="J29" s="560"/>
      <c r="K29" s="560"/>
      <c r="L29" s="569"/>
    </row>
    <row r="30" spans="1:16" s="400" customFormat="1" ht="10.5" customHeight="1">
      <c r="A30" s="556"/>
      <c r="B30" s="400" t="s">
        <v>326</v>
      </c>
      <c r="C30" s="557">
        <v>0</v>
      </c>
      <c r="D30" s="557">
        <v>0</v>
      </c>
      <c r="E30" s="557">
        <v>0</v>
      </c>
      <c r="F30" s="567" t="str">
        <f t="shared" si="0"/>
        <v/>
      </c>
      <c r="G30" s="560"/>
      <c r="H30" s="712"/>
      <c r="I30" s="712"/>
      <c r="J30" s="560"/>
      <c r="K30" s="560"/>
      <c r="L30" s="566"/>
    </row>
    <row r="31" spans="1:16" s="400" customFormat="1" ht="10.5" customHeight="1">
      <c r="A31" s="556"/>
      <c r="B31" s="400" t="s">
        <v>327</v>
      </c>
      <c r="C31" s="557">
        <v>0</v>
      </c>
      <c r="D31" s="557">
        <v>33.83717</v>
      </c>
      <c r="E31" s="557">
        <v>0</v>
      </c>
      <c r="F31" s="567">
        <f t="shared" si="0"/>
        <v>-1</v>
      </c>
      <c r="G31" s="560"/>
      <c r="H31" s="712"/>
      <c r="I31" s="712"/>
      <c r="J31" s="560"/>
      <c r="K31" s="560"/>
      <c r="L31" s="566"/>
    </row>
    <row r="32" spans="1:16" s="400" customFormat="1" ht="10.5" customHeight="1">
      <c r="A32" s="687" t="s">
        <v>328</v>
      </c>
      <c r="B32" s="688"/>
      <c r="C32" s="691">
        <v>150.20473000000001</v>
      </c>
      <c r="D32" s="691">
        <v>206.26281</v>
      </c>
      <c r="E32" s="691">
        <v>150.20473000000001</v>
      </c>
      <c r="F32" s="692">
        <f t="shared" si="0"/>
        <v>-0.2717798715144043</v>
      </c>
      <c r="G32" s="560"/>
      <c r="H32" s="712"/>
      <c r="I32" s="712"/>
      <c r="J32" s="560"/>
      <c r="K32" s="560"/>
      <c r="L32" s="566"/>
    </row>
    <row r="33" spans="1:12" s="400" customFormat="1" ht="10.5" customHeight="1">
      <c r="A33" s="556" t="s">
        <v>117</v>
      </c>
      <c r="B33" s="400" t="s">
        <v>72</v>
      </c>
      <c r="C33" s="557">
        <v>4.5327000000000002</v>
      </c>
      <c r="D33" s="557">
        <v>4.1099999999999994</v>
      </c>
      <c r="E33" s="557">
        <v>4.5327000000000002</v>
      </c>
      <c r="F33" s="567">
        <f t="shared" si="0"/>
        <v>0.10284671532846734</v>
      </c>
      <c r="G33" s="560"/>
      <c r="H33" s="712"/>
      <c r="I33" s="712"/>
      <c r="J33" s="560"/>
      <c r="K33" s="560"/>
      <c r="L33" s="566"/>
    </row>
    <row r="34" spans="1:12" s="400" customFormat="1" ht="10.5" customHeight="1">
      <c r="A34" s="687" t="s">
        <v>329</v>
      </c>
      <c r="B34" s="688"/>
      <c r="C34" s="691">
        <v>4.5327000000000002</v>
      </c>
      <c r="D34" s="691">
        <v>4.1099999999999994</v>
      </c>
      <c r="E34" s="691">
        <v>4.5327000000000002</v>
      </c>
      <c r="F34" s="692">
        <f t="shared" si="0"/>
        <v>0.10284671532846734</v>
      </c>
      <c r="G34" s="560"/>
      <c r="H34" s="712"/>
      <c r="I34" s="712"/>
      <c r="J34" s="560"/>
      <c r="K34" s="560"/>
      <c r="L34" s="566"/>
    </row>
    <row r="35" spans="1:12" s="400" customFormat="1" ht="10.5" customHeight="1">
      <c r="A35" s="556" t="s">
        <v>95</v>
      </c>
      <c r="B35" s="400" t="s">
        <v>330</v>
      </c>
      <c r="C35" s="557">
        <v>168.82474999999999</v>
      </c>
      <c r="D35" s="557">
        <v>166.59073000000001</v>
      </c>
      <c r="E35" s="557">
        <v>168.82474999999999</v>
      </c>
      <c r="F35" s="567">
        <f t="shared" si="0"/>
        <v>1.3410229968978449E-2</v>
      </c>
      <c r="G35" s="560"/>
      <c r="H35" s="712"/>
      <c r="I35" s="712"/>
      <c r="J35" s="560"/>
      <c r="K35" s="560"/>
      <c r="L35" s="566"/>
    </row>
    <row r="36" spans="1:12" s="400" customFormat="1" ht="10.5" customHeight="1">
      <c r="A36" s="687" t="s">
        <v>331</v>
      </c>
      <c r="B36" s="688"/>
      <c r="C36" s="691">
        <v>168.82474999999999</v>
      </c>
      <c r="D36" s="691">
        <v>166.59073000000001</v>
      </c>
      <c r="E36" s="691">
        <v>168.82474999999999</v>
      </c>
      <c r="F36" s="692">
        <f t="shared" si="0"/>
        <v>1.3410229968978449E-2</v>
      </c>
      <c r="G36" s="560"/>
      <c r="H36" s="712"/>
      <c r="I36" s="712"/>
      <c r="J36" s="560"/>
      <c r="K36" s="560"/>
      <c r="L36" s="566"/>
    </row>
    <row r="37" spans="1:12" s="400" customFormat="1" ht="10.5" customHeight="1">
      <c r="A37" s="556" t="s">
        <v>104</v>
      </c>
      <c r="B37" s="400" t="s">
        <v>332</v>
      </c>
      <c r="C37" s="557">
        <v>17.082000000000001</v>
      </c>
      <c r="D37" s="557">
        <v>15.438000000000001</v>
      </c>
      <c r="E37" s="557">
        <v>17.082000000000001</v>
      </c>
      <c r="F37" s="567">
        <f t="shared" si="0"/>
        <v>0.10649047804119705</v>
      </c>
      <c r="G37" s="560"/>
      <c r="H37" s="712"/>
      <c r="I37" s="712"/>
      <c r="J37" s="560"/>
      <c r="K37" s="560"/>
      <c r="L37" s="566"/>
    </row>
    <row r="38" spans="1:12" s="400" customFormat="1" ht="10.5" customHeight="1">
      <c r="A38" s="556"/>
      <c r="B38" s="400" t="s">
        <v>333</v>
      </c>
      <c r="C38" s="557">
        <v>9.5459999999999994</v>
      </c>
      <c r="D38" s="557">
        <v>9.0366199999999992</v>
      </c>
      <c r="E38" s="557">
        <v>9.5459999999999994</v>
      </c>
      <c r="F38" s="567">
        <f t="shared" si="0"/>
        <v>5.6368420936146579E-2</v>
      </c>
      <c r="G38" s="560"/>
      <c r="H38" s="712"/>
      <c r="I38" s="712"/>
      <c r="J38" s="560"/>
      <c r="K38" s="560"/>
      <c r="L38" s="566"/>
    </row>
    <row r="39" spans="1:12" s="400" customFormat="1" ht="10.5" customHeight="1">
      <c r="A39" s="556"/>
      <c r="B39" s="400" t="s">
        <v>334</v>
      </c>
      <c r="C39" s="557">
        <v>20.056920000000002</v>
      </c>
      <c r="D39" s="557">
        <v>21.442909999999998</v>
      </c>
      <c r="E39" s="557">
        <v>20.056920000000002</v>
      </c>
      <c r="F39" s="567">
        <f t="shared" si="0"/>
        <v>-6.463628304180713E-2</v>
      </c>
      <c r="G39" s="560"/>
      <c r="H39" s="712"/>
      <c r="I39" s="712"/>
      <c r="J39" s="560"/>
      <c r="K39" s="560"/>
      <c r="L39" s="566"/>
    </row>
    <row r="40" spans="1:12" s="400" customFormat="1" ht="10.5" customHeight="1">
      <c r="A40" s="687" t="s">
        <v>335</v>
      </c>
      <c r="B40" s="688"/>
      <c r="C40" s="691">
        <v>46.684920000000005</v>
      </c>
      <c r="D40" s="691">
        <v>45.917529999999999</v>
      </c>
      <c r="E40" s="691">
        <v>46.684920000000005</v>
      </c>
      <c r="F40" s="692">
        <f t="shared" si="0"/>
        <v>1.6712353647942324E-2</v>
      </c>
      <c r="G40" s="560"/>
      <c r="H40" s="712"/>
      <c r="I40" s="712"/>
      <c r="J40" s="560"/>
      <c r="K40" s="560"/>
      <c r="L40" s="566"/>
    </row>
    <row r="41" spans="1:12" s="400" customFormat="1" ht="10.5" customHeight="1">
      <c r="A41" s="556" t="s">
        <v>122</v>
      </c>
      <c r="B41" s="400" t="s">
        <v>77</v>
      </c>
      <c r="C41" s="557">
        <v>0</v>
      </c>
      <c r="D41" s="557">
        <v>0.97128000000000003</v>
      </c>
      <c r="E41" s="557">
        <v>0</v>
      </c>
      <c r="F41" s="567">
        <f t="shared" si="0"/>
        <v>-1</v>
      </c>
      <c r="G41" s="560"/>
      <c r="H41" s="712"/>
      <c r="I41" s="712"/>
      <c r="J41" s="560"/>
      <c r="K41" s="560"/>
      <c r="L41" s="566"/>
    </row>
    <row r="42" spans="1:12" s="400" customFormat="1" ht="10.5" customHeight="1">
      <c r="A42" s="687" t="s">
        <v>336</v>
      </c>
      <c r="B42" s="688"/>
      <c r="C42" s="691">
        <v>0</v>
      </c>
      <c r="D42" s="691">
        <v>0.97128000000000003</v>
      </c>
      <c r="E42" s="691">
        <v>0</v>
      </c>
      <c r="F42" s="692">
        <f t="shared" si="0"/>
        <v>-1</v>
      </c>
      <c r="G42" s="560"/>
      <c r="H42" s="712"/>
      <c r="I42" s="712"/>
      <c r="J42" s="560"/>
      <c r="K42" s="560"/>
      <c r="L42" s="570"/>
    </row>
    <row r="43" spans="1:12" s="400" customFormat="1" ht="10.5" customHeight="1">
      <c r="A43" s="556" t="s">
        <v>118</v>
      </c>
      <c r="B43" s="400" t="s">
        <v>75</v>
      </c>
      <c r="C43" s="557">
        <v>3.3381699999999999</v>
      </c>
      <c r="D43" s="557">
        <v>3.5395599999999998</v>
      </c>
      <c r="E43" s="557">
        <v>3.3381699999999999</v>
      </c>
      <c r="F43" s="567">
        <f t="shared" si="0"/>
        <v>-5.6896902439851238E-2</v>
      </c>
      <c r="G43" s="560"/>
      <c r="H43" s="712"/>
      <c r="I43" s="712"/>
      <c r="J43" s="560"/>
      <c r="K43" s="560"/>
      <c r="L43" s="566"/>
    </row>
    <row r="44" spans="1:12" s="400" customFormat="1" ht="10.5" customHeight="1">
      <c r="A44" s="687" t="s">
        <v>337</v>
      </c>
      <c r="B44" s="688"/>
      <c r="C44" s="691">
        <v>3.3381699999999999</v>
      </c>
      <c r="D44" s="691">
        <v>3.5395599999999998</v>
      </c>
      <c r="E44" s="691">
        <v>3.3381699999999999</v>
      </c>
      <c r="F44" s="692">
        <f t="shared" si="0"/>
        <v>-5.6896902439851238E-2</v>
      </c>
      <c r="G44" s="560"/>
      <c r="H44" s="712"/>
      <c r="I44" s="712"/>
      <c r="J44" s="560"/>
      <c r="K44" s="560"/>
      <c r="L44" s="566"/>
    </row>
    <row r="45" spans="1:12" s="400" customFormat="1" ht="10.5" customHeight="1">
      <c r="A45" s="556" t="s">
        <v>593</v>
      </c>
      <c r="B45" s="400" t="s">
        <v>625</v>
      </c>
      <c r="C45" s="557">
        <v>0.41988999999999999</v>
      </c>
      <c r="D45" s="557"/>
      <c r="E45" s="557">
        <v>0.41988999999999999</v>
      </c>
      <c r="F45" s="567" t="str">
        <f t="shared" si="0"/>
        <v/>
      </c>
      <c r="G45" s="560"/>
      <c r="H45" s="712"/>
      <c r="I45" s="712"/>
      <c r="J45" s="560"/>
      <c r="K45" s="560"/>
      <c r="L45" s="566"/>
    </row>
    <row r="46" spans="1:12" s="400" customFormat="1" ht="10.5" customHeight="1">
      <c r="A46" s="687" t="s">
        <v>594</v>
      </c>
      <c r="B46" s="688"/>
      <c r="C46" s="691">
        <v>0.41988999999999999</v>
      </c>
      <c r="D46" s="691"/>
      <c r="E46" s="691">
        <v>0.41988999999999999</v>
      </c>
      <c r="F46" s="692" t="str">
        <f t="shared" si="0"/>
        <v/>
      </c>
      <c r="G46" s="560"/>
      <c r="H46" s="712"/>
      <c r="I46" s="712"/>
      <c r="J46" s="560"/>
      <c r="K46" s="560"/>
      <c r="L46" s="566"/>
    </row>
    <row r="47" spans="1:12" s="400" customFormat="1" ht="10.5" customHeight="1">
      <c r="A47" s="556" t="s">
        <v>92</v>
      </c>
      <c r="B47" s="400" t="s">
        <v>338</v>
      </c>
      <c r="C47" s="557">
        <v>644.51519999999994</v>
      </c>
      <c r="D47" s="557">
        <v>644.62559999999996</v>
      </c>
      <c r="E47" s="557">
        <v>644.51519999999994</v>
      </c>
      <c r="F47" s="567">
        <f t="shared" si="0"/>
        <v>-1.7126220243190993E-4</v>
      </c>
      <c r="G47" s="560"/>
      <c r="H47" s="712"/>
      <c r="I47" s="712"/>
      <c r="J47" s="560"/>
      <c r="K47" s="560"/>
      <c r="L47" s="566"/>
    </row>
    <row r="48" spans="1:12" s="400" customFormat="1" ht="10.5" customHeight="1">
      <c r="A48" s="556"/>
      <c r="B48" s="400" t="s">
        <v>339</v>
      </c>
      <c r="C48" s="557">
        <v>207.81695999999999</v>
      </c>
      <c r="D48" s="557">
        <v>203.71008</v>
      </c>
      <c r="E48" s="557">
        <v>207.81695999999999</v>
      </c>
      <c r="F48" s="567">
        <f t="shared" si="0"/>
        <v>2.0160416215044386E-2</v>
      </c>
      <c r="G48" s="560"/>
      <c r="H48" s="712"/>
      <c r="I48" s="712"/>
      <c r="J48" s="560"/>
      <c r="K48" s="560"/>
      <c r="L48" s="566"/>
    </row>
    <row r="49" spans="1:12" s="400" customFormat="1" ht="10.5" customHeight="1">
      <c r="A49" s="556"/>
      <c r="B49" s="400" t="s">
        <v>340</v>
      </c>
      <c r="C49" s="557">
        <v>0</v>
      </c>
      <c r="D49" s="557">
        <v>0</v>
      </c>
      <c r="E49" s="557">
        <v>0</v>
      </c>
      <c r="F49" s="567" t="str">
        <f t="shared" si="0"/>
        <v/>
      </c>
      <c r="G49" s="560"/>
      <c r="H49" s="712"/>
      <c r="I49" s="712"/>
      <c r="J49" s="560"/>
      <c r="K49" s="560"/>
      <c r="L49" s="566"/>
    </row>
    <row r="50" spans="1:12" s="400" customFormat="1" ht="10.5" customHeight="1">
      <c r="A50" s="687" t="s">
        <v>341</v>
      </c>
      <c r="B50" s="688"/>
      <c r="C50" s="691">
        <v>852.33215999999993</v>
      </c>
      <c r="D50" s="691">
        <v>848.33567999999991</v>
      </c>
      <c r="E50" s="691">
        <v>852.33215999999993</v>
      </c>
      <c r="F50" s="692">
        <f t="shared" si="0"/>
        <v>4.7109653574868293E-3</v>
      </c>
      <c r="G50" s="560"/>
      <c r="H50" s="712"/>
      <c r="I50" s="712"/>
      <c r="J50" s="560"/>
      <c r="K50" s="560"/>
      <c r="L50" s="566"/>
    </row>
    <row r="51" spans="1:12" s="400" customFormat="1" ht="10.5" customHeight="1">
      <c r="A51" s="556" t="s">
        <v>262</v>
      </c>
      <c r="B51" s="400" t="s">
        <v>342</v>
      </c>
      <c r="C51" s="557">
        <v>454.41738999999995</v>
      </c>
      <c r="D51" s="557">
        <v>456.50977</v>
      </c>
      <c r="E51" s="557">
        <v>454.41738999999995</v>
      </c>
      <c r="F51" s="567">
        <f t="shared" si="0"/>
        <v>-4.5834287401999019E-3</v>
      </c>
      <c r="G51" s="560"/>
      <c r="H51" s="712"/>
      <c r="I51" s="712"/>
      <c r="J51" s="560"/>
      <c r="K51" s="560"/>
    </row>
    <row r="52" spans="1:12" s="400" customFormat="1" ht="10.5" customHeight="1">
      <c r="A52" s="556"/>
      <c r="B52" s="400" t="s">
        <v>343</v>
      </c>
      <c r="C52" s="557">
        <v>6.4398499999999999</v>
      </c>
      <c r="D52" s="557">
        <v>0</v>
      </c>
      <c r="E52" s="557">
        <v>6.4398499999999999</v>
      </c>
      <c r="F52" s="567" t="str">
        <f t="shared" si="0"/>
        <v/>
      </c>
      <c r="G52" s="560"/>
      <c r="H52" s="712"/>
      <c r="I52" s="712"/>
      <c r="J52" s="560"/>
      <c r="K52" s="560"/>
    </row>
    <row r="53" spans="1:12" s="400" customFormat="1" ht="10.5" customHeight="1">
      <c r="A53" s="687" t="s">
        <v>344</v>
      </c>
      <c r="B53" s="688"/>
      <c r="C53" s="691">
        <v>460.85723999999993</v>
      </c>
      <c r="D53" s="691">
        <v>456.50977</v>
      </c>
      <c r="E53" s="691">
        <v>460.85723999999993</v>
      </c>
      <c r="F53" s="692">
        <f t="shared" si="0"/>
        <v>9.5232792060506721E-3</v>
      </c>
      <c r="G53" s="560"/>
      <c r="H53" s="712"/>
      <c r="I53" s="712"/>
      <c r="J53" s="560"/>
      <c r="K53" s="560"/>
    </row>
    <row r="54" spans="1:12" s="400" customFormat="1" ht="10.5" customHeight="1">
      <c r="A54" s="556" t="s">
        <v>263</v>
      </c>
      <c r="B54" s="400" t="s">
        <v>345</v>
      </c>
      <c r="C54" s="557">
        <v>66.759289999999993</v>
      </c>
      <c r="D54" s="557">
        <v>48.26858</v>
      </c>
      <c r="E54" s="557">
        <v>66.759289999999993</v>
      </c>
      <c r="F54" s="567">
        <f t="shared" si="0"/>
        <v>0.38307963482663032</v>
      </c>
      <c r="G54" s="560"/>
      <c r="H54" s="712"/>
      <c r="I54" s="712"/>
      <c r="J54" s="560"/>
      <c r="K54" s="560"/>
    </row>
    <row r="55" spans="1:12" s="400" customFormat="1" ht="10.5" customHeight="1">
      <c r="A55" s="687" t="s">
        <v>346</v>
      </c>
      <c r="B55" s="688"/>
      <c r="C55" s="691">
        <v>66.759289999999993</v>
      </c>
      <c r="D55" s="691">
        <v>48.26858</v>
      </c>
      <c r="E55" s="691">
        <v>66.759289999999993</v>
      </c>
      <c r="F55" s="692">
        <f t="shared" si="0"/>
        <v>0.38307963482663032</v>
      </c>
      <c r="G55" s="560"/>
      <c r="H55" s="712"/>
      <c r="I55" s="712"/>
      <c r="J55" s="560"/>
      <c r="K55" s="560"/>
    </row>
    <row r="56" spans="1:12" s="400" customFormat="1" ht="10.5" customHeight="1">
      <c r="A56" s="556" t="s">
        <v>264</v>
      </c>
      <c r="B56" s="400" t="s">
        <v>62</v>
      </c>
      <c r="C56" s="557">
        <v>17.383209999999998</v>
      </c>
      <c r="D56" s="557">
        <v>17.060320000000001</v>
      </c>
      <c r="E56" s="557">
        <v>17.383209999999998</v>
      </c>
      <c r="F56" s="567">
        <f t="shared" si="0"/>
        <v>1.8926374182899108E-2</v>
      </c>
      <c r="G56" s="560"/>
      <c r="H56" s="712"/>
      <c r="I56" s="712"/>
      <c r="J56" s="560"/>
      <c r="K56" s="560"/>
    </row>
    <row r="57" spans="1:12" s="400" customFormat="1" ht="10.5" customHeight="1">
      <c r="A57" s="556"/>
      <c r="B57" s="400" t="s">
        <v>59</v>
      </c>
      <c r="C57" s="557">
        <v>19.697469999999999</v>
      </c>
      <c r="D57" s="557">
        <v>20.114840000000001</v>
      </c>
      <c r="E57" s="557">
        <v>19.697469999999999</v>
      </c>
      <c r="F57" s="567">
        <f t="shared" si="0"/>
        <v>-2.0749357191009343E-2</v>
      </c>
      <c r="G57" s="560"/>
      <c r="H57" s="712"/>
      <c r="I57" s="712"/>
      <c r="J57" s="560"/>
      <c r="K57" s="560"/>
    </row>
    <row r="58" spans="1:12" s="400" customFormat="1" ht="10.5" customHeight="1">
      <c r="A58" s="687" t="s">
        <v>347</v>
      </c>
      <c r="B58" s="688"/>
      <c r="C58" s="691">
        <v>37.080680000000001</v>
      </c>
      <c r="D58" s="691">
        <v>37.175160000000005</v>
      </c>
      <c r="E58" s="691">
        <v>37.080680000000001</v>
      </c>
      <c r="F58" s="692">
        <f t="shared" si="0"/>
        <v>-2.5414820003465399E-3</v>
      </c>
      <c r="G58" s="560"/>
      <c r="H58" s="711"/>
      <c r="I58" s="712"/>
      <c r="J58" s="560"/>
      <c r="K58" s="560"/>
    </row>
    <row r="59" spans="1:12" s="400" customFormat="1" ht="10.5" customHeight="1">
      <c r="A59" s="556" t="s">
        <v>91</v>
      </c>
      <c r="B59" s="400" t="s">
        <v>348</v>
      </c>
      <c r="C59" s="557">
        <v>29.915140000000001</v>
      </c>
      <c r="D59" s="557">
        <v>30.587919999999997</v>
      </c>
      <c r="E59" s="557">
        <v>29.915140000000001</v>
      </c>
      <c r="F59" s="567">
        <f t="shared" si="0"/>
        <v>-2.1994957486484723E-2</v>
      </c>
      <c r="G59" s="560"/>
      <c r="H59" s="711"/>
      <c r="I59" s="712"/>
      <c r="J59" s="560"/>
      <c r="K59" s="560"/>
    </row>
    <row r="60" spans="1:12" s="400" customFormat="1" ht="10.5" customHeight="1">
      <c r="A60" s="556"/>
      <c r="B60" s="400" t="s">
        <v>349</v>
      </c>
      <c r="C60" s="557">
        <v>268.68750999999997</v>
      </c>
      <c r="D60" s="557">
        <v>239.14352000000002</v>
      </c>
      <c r="E60" s="557">
        <v>268.68750999999997</v>
      </c>
      <c r="F60" s="567">
        <f t="shared" si="0"/>
        <v>0.1235408343909965</v>
      </c>
      <c r="G60" s="571"/>
      <c r="H60" s="711"/>
      <c r="I60" s="712"/>
      <c r="J60" s="560"/>
      <c r="K60" s="560"/>
    </row>
    <row r="61" spans="1:12" s="400" customFormat="1" ht="10.5" customHeight="1">
      <c r="A61" s="556"/>
      <c r="B61" s="400" t="s">
        <v>350</v>
      </c>
      <c r="C61" s="557">
        <v>132.41367000000002</v>
      </c>
      <c r="D61" s="557">
        <v>131.63069999999999</v>
      </c>
      <c r="E61" s="557">
        <v>132.41367000000002</v>
      </c>
      <c r="F61" s="567">
        <f t="shared" si="0"/>
        <v>5.948232441216561E-3</v>
      </c>
      <c r="G61" s="571"/>
      <c r="H61" s="711"/>
      <c r="I61" s="712"/>
      <c r="J61" s="560"/>
      <c r="K61" s="560"/>
    </row>
    <row r="62" spans="1:12" s="400" customFormat="1" ht="10.5" customHeight="1">
      <c r="A62" s="556"/>
      <c r="B62" s="400" t="s">
        <v>351</v>
      </c>
      <c r="C62" s="557">
        <v>65.159300000000002</v>
      </c>
      <c r="D62" s="557">
        <v>67.231750000000005</v>
      </c>
      <c r="E62" s="557">
        <v>65.159300000000002</v>
      </c>
      <c r="F62" s="567">
        <f t="shared" si="0"/>
        <v>-3.0825465646811212E-2</v>
      </c>
      <c r="G62" s="571"/>
      <c r="H62" s="711"/>
      <c r="I62" s="712"/>
      <c r="J62" s="560"/>
      <c r="K62" s="560"/>
    </row>
    <row r="63" spans="1:12" s="400" customFormat="1" ht="10.5" customHeight="1">
      <c r="A63" s="556"/>
      <c r="B63" s="400" t="s">
        <v>352</v>
      </c>
      <c r="C63" s="557">
        <v>0</v>
      </c>
      <c r="D63" s="557">
        <v>0</v>
      </c>
      <c r="E63" s="557">
        <v>0</v>
      </c>
      <c r="F63" s="567" t="str">
        <f t="shared" si="0"/>
        <v/>
      </c>
      <c r="G63" s="571"/>
      <c r="H63" s="712"/>
      <c r="I63" s="712"/>
      <c r="J63" s="560"/>
      <c r="K63" s="560"/>
    </row>
    <row r="64" spans="1:12" s="400" customFormat="1" ht="10.5" customHeight="1">
      <c r="A64" s="556"/>
      <c r="B64" s="400" t="s">
        <v>353</v>
      </c>
      <c r="C64" s="557">
        <v>134.74166</v>
      </c>
      <c r="D64" s="557">
        <v>173.24375000000001</v>
      </c>
      <c r="E64" s="557">
        <v>134.74166</v>
      </c>
      <c r="F64" s="567">
        <f t="shared" si="0"/>
        <v>-0.222242303113388</v>
      </c>
      <c r="G64" s="571"/>
      <c r="H64" s="712"/>
      <c r="I64" s="712"/>
      <c r="J64" s="560"/>
      <c r="K64" s="560"/>
    </row>
    <row r="65" spans="1:11" s="400" customFormat="1" ht="10.5" customHeight="1">
      <c r="A65" s="556"/>
      <c r="B65" s="400" t="s">
        <v>354</v>
      </c>
      <c r="C65" s="557">
        <v>90.043999999999997</v>
      </c>
      <c r="D65" s="557">
        <v>437.50839999999999</v>
      </c>
      <c r="E65" s="557">
        <v>90.043999999999997</v>
      </c>
      <c r="F65" s="567">
        <f t="shared" si="0"/>
        <v>-0.79418909442652985</v>
      </c>
      <c r="G65" s="560"/>
      <c r="H65" s="712"/>
      <c r="I65" s="712"/>
      <c r="J65" s="560"/>
      <c r="K65" s="560"/>
    </row>
    <row r="66" spans="1:11" s="400" customFormat="1" ht="10.5" customHeight="1">
      <c r="A66" s="556"/>
      <c r="B66" s="400" t="s">
        <v>620</v>
      </c>
      <c r="C66" s="557">
        <v>0.47592000000000001</v>
      </c>
      <c r="D66" s="557"/>
      <c r="E66" s="557">
        <v>0.47592000000000001</v>
      </c>
      <c r="F66" s="567" t="str">
        <f t="shared" si="0"/>
        <v/>
      </c>
      <c r="G66" s="560"/>
      <c r="H66" s="712"/>
      <c r="I66" s="712"/>
      <c r="J66" s="560"/>
      <c r="K66" s="560"/>
    </row>
    <row r="67" spans="1:11" s="400" customFormat="1" ht="10.5" customHeight="1">
      <c r="A67" s="687" t="s">
        <v>355</v>
      </c>
      <c r="B67" s="688"/>
      <c r="C67" s="691">
        <v>721.43719999999996</v>
      </c>
      <c r="D67" s="691">
        <v>1079.3460399999999</v>
      </c>
      <c r="E67" s="691">
        <v>721.43719999999996</v>
      </c>
      <c r="F67" s="692">
        <f t="shared" si="0"/>
        <v>-0.33159786272065261</v>
      </c>
      <c r="G67" s="560"/>
      <c r="H67" s="712"/>
      <c r="I67" s="712"/>
      <c r="J67" s="560"/>
      <c r="K67" s="560"/>
    </row>
    <row r="68" spans="1:11" s="400" customFormat="1" ht="10.5" customHeight="1">
      <c r="A68" s="556" t="s">
        <v>99</v>
      </c>
      <c r="B68" s="400" t="s">
        <v>356</v>
      </c>
      <c r="C68" s="557">
        <v>0</v>
      </c>
      <c r="D68" s="557">
        <v>51.151209999999999</v>
      </c>
      <c r="E68" s="557">
        <v>0</v>
      </c>
      <c r="F68" s="567">
        <f t="shared" si="0"/>
        <v>-1</v>
      </c>
      <c r="G68" s="572"/>
      <c r="H68" s="712"/>
      <c r="I68" s="712"/>
      <c r="J68" s="560"/>
      <c r="K68" s="560"/>
    </row>
    <row r="69" spans="1:11" s="400" customFormat="1" ht="10.5" customHeight="1">
      <c r="A69" s="556"/>
      <c r="B69" s="400" t="s">
        <v>357</v>
      </c>
      <c r="C69" s="557">
        <v>88.451549999999997</v>
      </c>
      <c r="D69" s="557">
        <v>0</v>
      </c>
      <c r="E69" s="557">
        <v>88.451549999999997</v>
      </c>
      <c r="F69" s="567" t="str">
        <f t="shared" si="0"/>
        <v/>
      </c>
      <c r="G69" s="572"/>
      <c r="H69" s="704"/>
      <c r="I69" s="712"/>
      <c r="J69" s="560"/>
      <c r="K69" s="560"/>
    </row>
    <row r="70" spans="1:11" s="400" customFormat="1" ht="6.75" customHeight="1">
      <c r="A70" s="556"/>
      <c r="B70" s="400" t="s">
        <v>358</v>
      </c>
      <c r="C70" s="557">
        <v>0</v>
      </c>
      <c r="D70" s="557">
        <v>0</v>
      </c>
      <c r="E70" s="557">
        <v>0</v>
      </c>
      <c r="F70" s="567" t="str">
        <f t="shared" si="0"/>
        <v/>
      </c>
      <c r="G70" s="572"/>
      <c r="H70" s="704"/>
      <c r="I70" s="712"/>
      <c r="J70" s="560"/>
      <c r="K70" s="560"/>
    </row>
    <row r="71" spans="1:11" s="400" customFormat="1" ht="10.5" customHeight="1">
      <c r="A71" s="687" t="s">
        <v>359</v>
      </c>
      <c r="B71" s="688"/>
      <c r="C71" s="691">
        <v>88.451549999999997</v>
      </c>
      <c r="D71" s="691">
        <v>51.151209999999999</v>
      </c>
      <c r="E71" s="691">
        <v>88.451549999999997</v>
      </c>
      <c r="F71" s="692">
        <f t="shared" si="0"/>
        <v>0.72921715830378209</v>
      </c>
      <c r="H71" s="704"/>
      <c r="I71" s="712"/>
      <c r="J71" s="560"/>
      <c r="K71" s="560"/>
    </row>
    <row r="72" spans="1:11" s="400" customFormat="1" ht="10.5" customHeight="1">
      <c r="J72" s="560"/>
      <c r="K72" s="560"/>
    </row>
    <row r="73" spans="1:11" s="400" customFormat="1" ht="10.5" customHeight="1">
      <c r="J73" s="560"/>
      <c r="K73" s="560"/>
    </row>
    <row r="74" spans="1:11" s="400" customFormat="1" ht="10.5" customHeight="1">
      <c r="I74" s="560"/>
      <c r="J74" s="560"/>
      <c r="K74" s="560"/>
    </row>
    <row r="75" spans="1:11" s="400" customFormat="1" ht="10.5" customHeight="1"/>
    <row r="76" spans="1:11" s="400" customFormat="1" ht="10.5" customHeight="1"/>
    <row r="77" spans="1:11" s="400" customFormat="1" ht="10.5" customHeight="1"/>
    <row r="78" spans="1:11" s="400" customFormat="1" ht="10.5" customHeight="1"/>
    <row r="79" spans="1:11" s="400" customFormat="1" ht="10.5" customHeight="1"/>
    <row r="80" spans="1:11" s="400" customFormat="1" ht="10.5" customHeight="1"/>
    <row r="81" s="400" customFormat="1" ht="10.5" customHeight="1"/>
    <row r="82" s="400" customFormat="1" ht="10.5" customHeight="1"/>
    <row r="83" s="400" customFormat="1" ht="10.5" customHeight="1"/>
    <row r="84" s="400" customFormat="1" ht="10.5" customHeight="1"/>
    <row r="85" s="400" customFormat="1" ht="10.5" customHeight="1"/>
    <row r="86" s="400" customFormat="1" ht="10.5" customHeight="1"/>
    <row r="87" s="400" customFormat="1" ht="10.5" customHeight="1"/>
    <row r="88" s="400" customFormat="1" ht="10.5" customHeight="1"/>
    <row r="89" s="400" customFormat="1" ht="10.5" customHeight="1"/>
    <row r="90" s="400" customFormat="1" ht="10.5" customHeight="1"/>
    <row r="91" s="400" customFormat="1" ht="10.5" customHeight="1"/>
    <row r="92" s="400" customFormat="1" ht="10.5" customHeight="1"/>
    <row r="93" s="400" customFormat="1" ht="10.5" customHeight="1"/>
    <row r="94" s="400" customFormat="1" ht="10.5" customHeight="1"/>
    <row r="95" s="400" customFormat="1" ht="10.5" customHeight="1"/>
    <row r="96" s="400" customFormat="1" ht="10.5" customHeight="1"/>
    <row r="97" s="400" customFormat="1" ht="10.5" customHeight="1"/>
    <row r="98" s="400" customFormat="1" ht="10.5" customHeight="1"/>
    <row r="99" s="400" customFormat="1" ht="10.5" customHeight="1"/>
    <row r="100" s="400" customFormat="1" ht="10.5" customHeight="1"/>
    <row r="101" s="400" customFormat="1" ht="10.5" customHeight="1"/>
    <row r="102" s="400" customFormat="1" ht="10.5" customHeight="1"/>
    <row r="103" s="400" customFormat="1" ht="10.5" customHeight="1"/>
    <row r="104" s="400" customFormat="1" ht="10.5" customHeight="1"/>
    <row r="105" s="400" customFormat="1" ht="10.5" customHeight="1"/>
    <row r="106" s="400" customFormat="1" ht="10.5" customHeight="1"/>
    <row r="107" s="400" customFormat="1" ht="10.5" customHeight="1"/>
    <row r="108" s="400" customFormat="1" ht="10.5" customHeight="1"/>
    <row r="109" s="400" customFormat="1" ht="10.5" customHeight="1"/>
    <row r="110" s="400" customFormat="1" ht="10.5" customHeight="1"/>
    <row r="111" s="400" customFormat="1" ht="10.5" customHeight="1"/>
    <row r="112" s="400" customFormat="1" ht="10.5" customHeight="1"/>
    <row r="113" s="400" customFormat="1" ht="10.5" customHeight="1"/>
    <row r="114" s="400" customFormat="1" ht="10.5" customHeight="1"/>
    <row r="115" s="400" customFormat="1" ht="10.5" customHeight="1"/>
    <row r="116" s="400" customFormat="1" ht="10.5" customHeight="1"/>
    <row r="117" s="400" customFormat="1" ht="10.5" customHeight="1"/>
    <row r="118" s="400" customFormat="1" ht="10.5" customHeight="1"/>
    <row r="119" s="400" customFormat="1" ht="10.5" customHeight="1"/>
    <row r="120" s="400" customFormat="1" ht="10.5" customHeight="1"/>
    <row r="121" s="400" customFormat="1" ht="10.5" customHeight="1"/>
    <row r="122" s="400" customFormat="1" ht="10.5" customHeight="1"/>
    <row r="123" s="400" customFormat="1" ht="10.5" customHeight="1"/>
    <row r="124" s="400" customFormat="1" ht="10.5" customHeight="1"/>
    <row r="125" s="400" customFormat="1" ht="10.5" customHeight="1"/>
    <row r="126" s="400" customFormat="1" ht="10.5" customHeight="1"/>
    <row r="127" s="400" customFormat="1" ht="10.5" customHeight="1"/>
    <row r="128" s="400" customFormat="1" ht="10.5" customHeight="1"/>
    <row r="129" s="400" customFormat="1" ht="10.5" customHeight="1"/>
    <row r="130" s="400" customFormat="1" ht="10.5" customHeight="1"/>
    <row r="131" s="400" customFormat="1" ht="10.5" customHeight="1"/>
    <row r="132" s="400" customFormat="1" ht="10.5" customHeight="1"/>
    <row r="133" s="400" customFormat="1" ht="10.5" customHeight="1"/>
    <row r="134" s="400" customFormat="1" ht="10.5" customHeight="1"/>
    <row r="135" s="400" customFormat="1" ht="10.5" customHeight="1"/>
    <row r="136" s="400" customFormat="1" ht="10.5" customHeight="1"/>
    <row r="137" s="400" customFormat="1" ht="10.5" customHeight="1"/>
    <row r="138" s="400" customFormat="1" ht="10.5" customHeight="1"/>
    <row r="139" s="400" customFormat="1" ht="10.5" customHeight="1"/>
    <row r="140" s="400" customFormat="1" ht="10.5" customHeight="1"/>
    <row r="141" s="400" customFormat="1" ht="10.5" customHeight="1"/>
    <row r="142" s="400" customFormat="1" ht="10.5" customHeight="1"/>
    <row r="143" s="400" customFormat="1" ht="10.5" customHeight="1"/>
    <row r="144" s="400" customFormat="1" ht="10.5" customHeight="1"/>
    <row r="145" s="400" customFormat="1" ht="10.5" customHeight="1"/>
    <row r="146" s="400" customFormat="1" ht="10.5" customHeight="1"/>
    <row r="147" s="400" customFormat="1" ht="10.5" customHeight="1"/>
    <row r="148" s="400" customFormat="1" ht="10.5" customHeight="1"/>
    <row r="149" s="400" customFormat="1" ht="10.5" customHeight="1"/>
    <row r="150" s="400" customFormat="1" ht="10.5" customHeight="1"/>
    <row r="151" s="400" customFormat="1" ht="10.5" customHeight="1"/>
    <row r="152" s="400" customFormat="1" ht="10.5" customHeight="1"/>
    <row r="153" s="400" customFormat="1" ht="10.5" customHeight="1"/>
    <row r="154" s="400" customFormat="1" ht="10.5" customHeight="1"/>
    <row r="155" s="400" customFormat="1" ht="10.5" customHeight="1"/>
    <row r="156" s="400" customFormat="1" ht="10.5" customHeight="1"/>
    <row r="157" s="400" customFormat="1" ht="10.5" customHeight="1"/>
    <row r="158" s="400" customFormat="1" ht="10.5" customHeight="1"/>
    <row r="159" s="400" customFormat="1" ht="10.5" customHeight="1"/>
    <row r="160" s="400" customFormat="1" ht="10.5" customHeight="1"/>
    <row r="161" s="400" customFormat="1" ht="10.5" customHeight="1"/>
    <row r="162" s="400" customFormat="1" ht="10.5" customHeight="1"/>
    <row r="163" s="400" customFormat="1" ht="10.5" customHeight="1"/>
    <row r="164" s="400" customFormat="1" ht="8.25"/>
    <row r="165" s="400" customFormat="1" ht="8.25"/>
    <row r="166" s="400" customFormat="1" ht="8.25"/>
    <row r="167" s="400" customFormat="1" ht="8.25"/>
    <row r="168" s="400" customFormat="1" ht="8.25"/>
    <row r="169" s="400" customFormat="1" ht="8.25"/>
    <row r="170" s="400" customFormat="1" ht="8.25"/>
    <row r="171" s="400" customFormat="1" ht="8.25"/>
    <row r="172" s="400" customFormat="1" ht="8.25"/>
    <row r="173" s="400" customFormat="1" ht="8.25"/>
    <row r="174" s="400" customFormat="1" ht="8.25"/>
    <row r="175" s="400" customFormat="1" ht="8.25"/>
    <row r="176" s="400" customFormat="1" ht="8.25"/>
    <row r="177" s="400" customFormat="1" ht="8.25"/>
    <row r="178" s="400" customFormat="1" ht="8.25"/>
    <row r="179" s="400" customFormat="1" ht="8.25"/>
    <row r="180" s="400" customFormat="1" ht="8.25"/>
    <row r="181" s="400" customFormat="1" ht="8.25"/>
    <row r="182" s="400" customFormat="1" ht="8.25"/>
    <row r="183" s="400" customFormat="1" ht="8.25"/>
    <row r="184" s="400" customFormat="1" ht="8.25"/>
  </sheetData>
  <mergeCells count="3">
    <mergeCell ref="A2:A5"/>
    <mergeCell ref="B2:B5"/>
    <mergeCell ref="C2:F2"/>
  </mergeCells>
  <pageMargins left="0.70866141732283472" right="0.70866141732283472" top="1.4311417322834645" bottom="0.62992125984251968" header="0.31496062992125984" footer="0.31496062992125984"/>
  <pageSetup paperSize="9" scale="95" orientation="portrait" r:id="rId1"/>
  <headerFooter>
    <oddHeader>&amp;R&amp;7Informe de la Operación Mensual - Enero 2019
INFSGI-MES-01-2019
13/02/2019
Versión: 01</oddHeader>
    <oddFooter>&amp;L&amp;7COES, 2019&amp;C21&amp;R&amp;7Dirección Ejecutiva
Sub Dirección de Gestión de Información</oddFooter>
  </headerFooter>
  <rowBreaks count="1" manualBreakCount="1">
    <brk id="71" max="16383"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4"/>
  </sheetPr>
  <dimension ref="A1:K114"/>
  <sheetViews>
    <sheetView showGridLines="0" view="pageBreakPreview" topLeftCell="C1" zoomScale="120" zoomScaleNormal="100" zoomScaleSheetLayoutView="120" zoomScalePageLayoutView="160" workbookViewId="0">
      <selection activeCell="M24" sqref="M24"/>
    </sheetView>
  </sheetViews>
  <sheetFormatPr defaultColWidth="9.33203125" defaultRowHeight="9"/>
  <cols>
    <col min="1" max="1" width="28.6640625" style="305" customWidth="1"/>
    <col min="2" max="2" width="22.1640625" style="305" customWidth="1"/>
    <col min="3" max="4" width="17.6640625" style="305" customWidth="1"/>
    <col min="5" max="5" width="15.1640625" style="305" customWidth="1"/>
    <col min="6" max="6" width="13.33203125" style="305" customWidth="1"/>
    <col min="7" max="7" width="6.33203125" style="305" customWidth="1"/>
    <col min="8" max="16384" width="9.33203125" style="305"/>
  </cols>
  <sheetData>
    <row r="1" spans="1:11" s="400" customFormat="1" ht="11.25" customHeight="1">
      <c r="A1" s="909" t="s">
        <v>277</v>
      </c>
      <c r="B1" s="912" t="s">
        <v>56</v>
      </c>
      <c r="C1" s="912" t="s">
        <v>436</v>
      </c>
      <c r="D1" s="912"/>
      <c r="E1" s="912"/>
      <c r="F1" s="915"/>
      <c r="G1" s="558"/>
    </row>
    <row r="2" spans="1:11" s="400" customFormat="1" ht="11.25" customHeight="1">
      <c r="A2" s="910"/>
      <c r="B2" s="913"/>
      <c r="C2" s="665" t="str">
        <f>+'21. ANEXOII-1'!C3</f>
        <v>ENERO 2019</v>
      </c>
      <c r="D2" s="666" t="str">
        <f>+'21. ANEXOII-1'!D3</f>
        <v>ENERO 2018</v>
      </c>
      <c r="E2" s="667" t="s">
        <v>799</v>
      </c>
      <c r="F2" s="668" t="s">
        <v>434</v>
      </c>
      <c r="G2" s="559"/>
      <c r="H2" s="558"/>
    </row>
    <row r="3" spans="1:11" s="400" customFormat="1" ht="11.25" customHeight="1">
      <c r="A3" s="910"/>
      <c r="B3" s="913"/>
      <c r="C3" s="669">
        <f>+'8. Max Potencia'!D8</f>
        <v>43494.833333333336</v>
      </c>
      <c r="D3" s="669">
        <f>+'8. Max Potencia'!E8</f>
        <v>43126.822916666664</v>
      </c>
      <c r="E3" s="669">
        <v>43494.833333333336</v>
      </c>
      <c r="F3" s="670" t="s">
        <v>428</v>
      </c>
      <c r="G3" s="560"/>
      <c r="H3" s="558"/>
    </row>
    <row r="4" spans="1:11" s="400" customFormat="1" ht="11.25" customHeight="1">
      <c r="A4" s="911"/>
      <c r="B4" s="914"/>
      <c r="C4" s="671">
        <f>+'8. Max Potencia'!D9</f>
        <v>43494.833333333336</v>
      </c>
      <c r="D4" s="671">
        <f>+'8. Max Potencia'!E9</f>
        <v>43126.822916666664</v>
      </c>
      <c r="E4" s="671">
        <v>43494.833333333336</v>
      </c>
      <c r="F4" s="672" t="s">
        <v>429</v>
      </c>
      <c r="G4" s="560"/>
      <c r="H4" s="562"/>
    </row>
    <row r="5" spans="1:11" s="400" customFormat="1" ht="10.5" customHeight="1">
      <c r="A5" s="556" t="s">
        <v>101</v>
      </c>
      <c r="B5" s="400" t="s">
        <v>611</v>
      </c>
      <c r="C5" s="557">
        <v>0</v>
      </c>
      <c r="D5" s="557">
        <v>0</v>
      </c>
      <c r="E5" s="557">
        <v>0</v>
      </c>
      <c r="F5" s="567" t="str">
        <f t="shared" ref="F5:F36" si="0">+IF(D5=0,"",C5/D5-1)</f>
        <v/>
      </c>
      <c r="J5" s="726"/>
      <c r="K5" s="726"/>
    </row>
    <row r="6" spans="1:11" s="400" customFormat="1" ht="10.5" customHeight="1">
      <c r="A6" s="556"/>
      <c r="B6" s="400" t="s">
        <v>612</v>
      </c>
      <c r="C6" s="557">
        <v>57.290199999999999</v>
      </c>
      <c r="D6" s="557"/>
      <c r="E6" s="557">
        <v>57.290199999999999</v>
      </c>
      <c r="F6" s="567" t="str">
        <f t="shared" si="0"/>
        <v/>
      </c>
      <c r="J6" s="726"/>
      <c r="K6" s="726"/>
    </row>
    <row r="7" spans="1:11" s="400" customFormat="1" ht="10.5" customHeight="1">
      <c r="A7" s="687" t="s">
        <v>360</v>
      </c>
      <c r="B7" s="688"/>
      <c r="C7" s="691">
        <v>57.290199999999999</v>
      </c>
      <c r="D7" s="691">
        <v>0</v>
      </c>
      <c r="E7" s="691">
        <v>57.290199999999999</v>
      </c>
      <c r="F7" s="692" t="str">
        <f t="shared" si="0"/>
        <v/>
      </c>
      <c r="J7" s="726"/>
      <c r="K7" s="726"/>
    </row>
    <row r="8" spans="1:11" s="400" customFormat="1" ht="10.5" customHeight="1">
      <c r="A8" s="556" t="s">
        <v>100</v>
      </c>
      <c r="B8" s="400" t="s">
        <v>80</v>
      </c>
      <c r="C8" s="557">
        <v>37.825000000000003</v>
      </c>
      <c r="D8" s="557">
        <v>77.693510000000003</v>
      </c>
      <c r="E8" s="557">
        <v>37.825000000000003</v>
      </c>
      <c r="F8" s="567">
        <f t="shared" si="0"/>
        <v>-0.513151098463694</v>
      </c>
    </row>
    <row r="9" spans="1:11" s="400" customFormat="1" ht="10.5" customHeight="1">
      <c r="A9" s="556"/>
      <c r="B9" s="400" t="s">
        <v>82</v>
      </c>
      <c r="C9" s="557">
        <v>4.7073900000000002</v>
      </c>
      <c r="D9" s="557">
        <v>6.9353800000000003</v>
      </c>
      <c r="E9" s="557">
        <v>4.7073900000000002</v>
      </c>
      <c r="F9" s="567">
        <f t="shared" si="0"/>
        <v>-0.32124988104473007</v>
      </c>
    </row>
    <row r="10" spans="1:11" s="400" customFormat="1" ht="10.5" customHeight="1">
      <c r="A10" s="687" t="s">
        <v>361</v>
      </c>
      <c r="B10" s="688"/>
      <c r="C10" s="691">
        <v>42.532390000000007</v>
      </c>
      <c r="D10" s="691">
        <v>84.628889999999998</v>
      </c>
      <c r="E10" s="691">
        <v>42.532390000000007</v>
      </c>
      <c r="F10" s="692">
        <f t="shared" si="0"/>
        <v>-0.49742469740534223</v>
      </c>
    </row>
    <row r="11" spans="1:11" s="400" customFormat="1" ht="10.5" customHeight="1">
      <c r="A11" s="556" t="s">
        <v>90</v>
      </c>
      <c r="B11" s="400" t="s">
        <v>362</v>
      </c>
      <c r="C11" s="557">
        <v>108.30726</v>
      </c>
      <c r="D11" s="557">
        <v>108.68164</v>
      </c>
      <c r="E11" s="557">
        <v>108.30726</v>
      </c>
      <c r="F11" s="567">
        <f t="shared" si="0"/>
        <v>-3.4447400683317309E-3</v>
      </c>
      <c r="J11" s="726"/>
      <c r="K11" s="726"/>
    </row>
    <row r="12" spans="1:11" s="400" customFormat="1" ht="10.5" customHeight="1">
      <c r="A12" s="556"/>
      <c r="B12" s="400" t="s">
        <v>363</v>
      </c>
      <c r="C12" s="557">
        <v>130.46087</v>
      </c>
      <c r="D12" s="557">
        <v>80.02543</v>
      </c>
      <c r="E12" s="557">
        <v>130.46087</v>
      </c>
      <c r="F12" s="567">
        <f t="shared" si="0"/>
        <v>0.63024266161393938</v>
      </c>
      <c r="J12" s="726"/>
      <c r="K12" s="726"/>
    </row>
    <row r="13" spans="1:11" s="400" customFormat="1" ht="10.5" customHeight="1">
      <c r="A13" s="556"/>
      <c r="B13" s="400" t="s">
        <v>364</v>
      </c>
      <c r="C13" s="557">
        <v>549.95479999999998</v>
      </c>
      <c r="D13" s="557">
        <v>171.51330999999999</v>
      </c>
      <c r="E13" s="557">
        <v>549.95479999999998</v>
      </c>
      <c r="F13" s="567">
        <f t="shared" si="0"/>
        <v>2.2064846745713207</v>
      </c>
      <c r="J13" s="726"/>
      <c r="K13" s="726"/>
    </row>
    <row r="14" spans="1:11" s="400" customFormat="1" ht="10.5" customHeight="1">
      <c r="A14" s="556"/>
      <c r="B14" s="400" t="s">
        <v>365</v>
      </c>
      <c r="C14" s="557">
        <v>69.834519999999998</v>
      </c>
      <c r="D14" s="557">
        <v>0</v>
      </c>
      <c r="E14" s="557">
        <v>69.834519999999998</v>
      </c>
      <c r="F14" s="567" t="str">
        <f t="shared" si="0"/>
        <v/>
      </c>
      <c r="J14" s="726"/>
      <c r="K14" s="726"/>
    </row>
    <row r="15" spans="1:11" s="400" customFormat="1" ht="10.5" customHeight="1">
      <c r="A15" s="556"/>
      <c r="B15" s="400" t="s">
        <v>431</v>
      </c>
      <c r="C15" s="557">
        <v>0</v>
      </c>
      <c r="D15" s="557">
        <v>0</v>
      </c>
      <c r="E15" s="557">
        <v>0</v>
      </c>
      <c r="F15" s="567" t="str">
        <f t="shared" si="0"/>
        <v/>
      </c>
      <c r="J15" s="726"/>
      <c r="K15" s="726"/>
    </row>
    <row r="16" spans="1:11" s="400" customFormat="1" ht="10.5" customHeight="1">
      <c r="A16" s="556"/>
      <c r="B16" s="400" t="s">
        <v>366</v>
      </c>
      <c r="C16" s="557">
        <v>0</v>
      </c>
      <c r="D16" s="557">
        <v>0</v>
      </c>
      <c r="E16" s="557">
        <v>0</v>
      </c>
      <c r="F16" s="567" t="str">
        <f t="shared" si="0"/>
        <v/>
      </c>
      <c r="J16" s="726"/>
      <c r="K16" s="726"/>
    </row>
    <row r="17" spans="1:11" s="400" customFormat="1" ht="10.5" customHeight="1">
      <c r="A17" s="556"/>
      <c r="B17" s="400" t="s">
        <v>367</v>
      </c>
      <c r="C17" s="557">
        <v>0</v>
      </c>
      <c r="D17" s="557">
        <v>0</v>
      </c>
      <c r="E17" s="557">
        <v>0</v>
      </c>
      <c r="F17" s="567" t="str">
        <f t="shared" si="0"/>
        <v/>
      </c>
      <c r="J17" s="726"/>
      <c r="K17" s="726"/>
    </row>
    <row r="18" spans="1:11" s="400" customFormat="1" ht="10.5" customHeight="1">
      <c r="A18" s="556"/>
      <c r="B18" s="400" t="s">
        <v>368</v>
      </c>
      <c r="C18" s="557">
        <v>0</v>
      </c>
      <c r="D18" s="557">
        <v>0</v>
      </c>
      <c r="E18" s="557">
        <v>0</v>
      </c>
      <c r="F18" s="567" t="str">
        <f t="shared" si="0"/>
        <v/>
      </c>
      <c r="J18" s="726"/>
      <c r="K18" s="726"/>
    </row>
    <row r="19" spans="1:11" s="400" customFormat="1" ht="10.5" customHeight="1">
      <c r="A19" s="556"/>
      <c r="B19" s="400" t="s">
        <v>617</v>
      </c>
      <c r="C19" s="557">
        <v>0</v>
      </c>
      <c r="D19" s="557">
        <v>0</v>
      </c>
      <c r="E19" s="557">
        <v>0</v>
      </c>
      <c r="F19" s="567" t="str">
        <f t="shared" si="0"/>
        <v/>
      </c>
      <c r="J19" s="726"/>
      <c r="K19" s="726"/>
    </row>
    <row r="20" spans="1:11" s="400" customFormat="1" ht="10.5" customHeight="1">
      <c r="A20" s="687" t="s">
        <v>369</v>
      </c>
      <c r="B20" s="688"/>
      <c r="C20" s="691">
        <v>858.5574499999999</v>
      </c>
      <c r="D20" s="691">
        <v>360.22037999999998</v>
      </c>
      <c r="E20" s="691">
        <v>858.5574499999999</v>
      </c>
      <c r="F20" s="692">
        <f t="shared" si="0"/>
        <v>1.3834227535932309</v>
      </c>
      <c r="J20" s="726"/>
      <c r="K20" s="726"/>
    </row>
    <row r="21" spans="1:11" s="400" customFormat="1" ht="10.5" customHeight="1">
      <c r="A21" s="556" t="s">
        <v>265</v>
      </c>
      <c r="B21" s="400" t="s">
        <v>370</v>
      </c>
      <c r="C21" s="557">
        <v>543.99379999999996</v>
      </c>
      <c r="D21" s="557">
        <v>0</v>
      </c>
      <c r="E21" s="557">
        <v>543.99379999999996</v>
      </c>
      <c r="F21" s="567" t="str">
        <f t="shared" si="0"/>
        <v/>
      </c>
      <c r="J21" s="726"/>
      <c r="K21" s="726"/>
    </row>
    <row r="22" spans="1:11" s="400" customFormat="1" ht="10.5" customHeight="1">
      <c r="A22" s="687" t="s">
        <v>371</v>
      </c>
      <c r="B22" s="688"/>
      <c r="C22" s="691">
        <v>543.99379999999996</v>
      </c>
      <c r="D22" s="691">
        <v>0</v>
      </c>
      <c r="E22" s="691">
        <v>543.99379999999996</v>
      </c>
      <c r="F22" s="692" t="str">
        <f t="shared" si="0"/>
        <v/>
      </c>
      <c r="J22" s="726"/>
      <c r="K22" s="726"/>
    </row>
    <row r="23" spans="1:11" s="400" customFormat="1" ht="10.5" customHeight="1">
      <c r="A23" s="556" t="s">
        <v>111</v>
      </c>
      <c r="B23" s="400" t="s">
        <v>68</v>
      </c>
      <c r="C23" s="557">
        <v>0</v>
      </c>
      <c r="D23" s="557">
        <v>4.6769999999999996</v>
      </c>
      <c r="E23" s="557">
        <v>0</v>
      </c>
      <c r="F23" s="567">
        <f t="shared" si="0"/>
        <v>-1</v>
      </c>
      <c r="J23" s="726"/>
      <c r="K23" s="726"/>
    </row>
    <row r="24" spans="1:11" s="400" customFormat="1" ht="10.5" customHeight="1">
      <c r="A24" s="556"/>
      <c r="B24" s="400" t="s">
        <v>621</v>
      </c>
      <c r="C24" s="557">
        <v>9.9958100000000005</v>
      </c>
      <c r="D24" s="557"/>
      <c r="E24" s="557">
        <v>9.9958100000000005</v>
      </c>
      <c r="F24" s="567" t="str">
        <f t="shared" si="0"/>
        <v/>
      </c>
      <c r="J24" s="726"/>
      <c r="K24" s="726"/>
    </row>
    <row r="25" spans="1:11" s="400" customFormat="1" ht="10.5" customHeight="1">
      <c r="A25" s="556"/>
      <c r="B25" s="400" t="s">
        <v>622</v>
      </c>
      <c r="C25" s="557">
        <v>9.9092699999999994</v>
      </c>
      <c r="D25" s="557"/>
      <c r="E25" s="557">
        <v>9.9092699999999994</v>
      </c>
      <c r="F25" s="567" t="str">
        <f t="shared" si="0"/>
        <v/>
      </c>
      <c r="J25" s="726"/>
      <c r="K25" s="726"/>
    </row>
    <row r="26" spans="1:11" s="400" customFormat="1" ht="10.5" customHeight="1">
      <c r="A26" s="556"/>
      <c r="B26" s="400" t="s">
        <v>623</v>
      </c>
      <c r="C26" s="557">
        <v>9.4532399999999992</v>
      </c>
      <c r="D26" s="557"/>
      <c r="E26" s="557">
        <v>9.4532399999999992</v>
      </c>
      <c r="F26" s="567" t="str">
        <f t="shared" si="0"/>
        <v/>
      </c>
      <c r="J26" s="726"/>
      <c r="K26" s="726"/>
    </row>
    <row r="27" spans="1:11" s="400" customFormat="1" ht="10.5" customHeight="1">
      <c r="A27" s="687" t="s">
        <v>372</v>
      </c>
      <c r="B27" s="688"/>
      <c r="C27" s="691">
        <v>29.358319999999999</v>
      </c>
      <c r="D27" s="691">
        <v>4.6769999999999996</v>
      </c>
      <c r="E27" s="691">
        <v>29.358319999999999</v>
      </c>
      <c r="F27" s="692">
        <f t="shared" si="0"/>
        <v>5.2771691255078048</v>
      </c>
      <c r="J27" s="726"/>
      <c r="K27" s="726"/>
    </row>
    <row r="28" spans="1:11" s="400" customFormat="1" ht="10.5" customHeight="1">
      <c r="A28" s="556" t="s">
        <v>114</v>
      </c>
      <c r="B28" s="400" t="s">
        <v>257</v>
      </c>
      <c r="C28" s="557">
        <v>0</v>
      </c>
      <c r="D28" s="557">
        <v>0</v>
      </c>
      <c r="E28" s="557">
        <v>0</v>
      </c>
      <c r="F28" s="567" t="str">
        <f t="shared" si="0"/>
        <v/>
      </c>
      <c r="J28" s="726"/>
      <c r="K28" s="726"/>
    </row>
    <row r="29" spans="1:11" s="400" customFormat="1" ht="10.5" customHeight="1">
      <c r="A29" s="687" t="s">
        <v>373</v>
      </c>
      <c r="B29" s="688"/>
      <c r="C29" s="691">
        <v>0</v>
      </c>
      <c r="D29" s="691">
        <v>0</v>
      </c>
      <c r="E29" s="691">
        <v>0</v>
      </c>
      <c r="F29" s="692" t="str">
        <f t="shared" si="0"/>
        <v/>
      </c>
      <c r="J29" s="726"/>
      <c r="K29" s="726"/>
    </row>
    <row r="30" spans="1:11" s="400" customFormat="1" ht="10.5" customHeight="1">
      <c r="A30" s="556" t="s">
        <v>115</v>
      </c>
      <c r="B30" s="400" t="s">
        <v>85</v>
      </c>
      <c r="C30" s="557">
        <v>0</v>
      </c>
      <c r="D30" s="557">
        <v>0</v>
      </c>
      <c r="E30" s="557">
        <v>0</v>
      </c>
      <c r="F30" s="567" t="str">
        <f t="shared" si="0"/>
        <v/>
      </c>
      <c r="J30" s="726"/>
      <c r="K30" s="726"/>
    </row>
    <row r="31" spans="1:11" s="400" customFormat="1" ht="10.5" customHeight="1">
      <c r="A31" s="687" t="s">
        <v>374</v>
      </c>
      <c r="B31" s="688"/>
      <c r="C31" s="691">
        <v>0</v>
      </c>
      <c r="D31" s="691">
        <v>0</v>
      </c>
      <c r="E31" s="691">
        <v>0</v>
      </c>
      <c r="F31" s="692" t="str">
        <f t="shared" si="0"/>
        <v/>
      </c>
      <c r="J31" s="726"/>
      <c r="K31" s="726"/>
    </row>
    <row r="32" spans="1:11" s="400" customFormat="1" ht="10.5" customHeight="1">
      <c r="A32" s="556" t="s">
        <v>119</v>
      </c>
      <c r="B32" s="400" t="s">
        <v>76</v>
      </c>
      <c r="C32" s="557">
        <v>3.6</v>
      </c>
      <c r="D32" s="557">
        <v>3.2</v>
      </c>
      <c r="E32" s="557">
        <v>3.6</v>
      </c>
      <c r="F32" s="567">
        <f t="shared" si="0"/>
        <v>0.125</v>
      </c>
      <c r="J32" s="726"/>
      <c r="K32" s="726"/>
    </row>
    <row r="33" spans="1:11" s="400" customFormat="1" ht="10.5" customHeight="1">
      <c r="A33" s="687" t="s">
        <v>375</v>
      </c>
      <c r="B33" s="688"/>
      <c r="C33" s="691">
        <v>3.6</v>
      </c>
      <c r="D33" s="691">
        <v>3.2</v>
      </c>
      <c r="E33" s="691">
        <v>3.6</v>
      </c>
      <c r="F33" s="692">
        <f t="shared" si="0"/>
        <v>0.125</v>
      </c>
      <c r="J33" s="726"/>
      <c r="K33" s="726"/>
    </row>
    <row r="34" spans="1:11" s="400" customFormat="1" ht="10.5" customHeight="1">
      <c r="A34" s="556" t="s">
        <v>106</v>
      </c>
      <c r="B34" s="400" t="s">
        <v>376</v>
      </c>
      <c r="C34" s="557">
        <v>17.059999999999999</v>
      </c>
      <c r="D34" s="557">
        <v>19.22</v>
      </c>
      <c r="E34" s="557">
        <v>17.059999999999999</v>
      </c>
      <c r="F34" s="567">
        <f t="shared" si="0"/>
        <v>-0.11238293444328828</v>
      </c>
      <c r="J34" s="726"/>
      <c r="K34" s="726"/>
    </row>
    <row r="35" spans="1:11" s="400" customFormat="1" ht="10.5" customHeight="1">
      <c r="A35" s="687" t="s">
        <v>377</v>
      </c>
      <c r="B35" s="688"/>
      <c r="C35" s="691">
        <v>17.059999999999999</v>
      </c>
      <c r="D35" s="691">
        <v>19.22</v>
      </c>
      <c r="E35" s="691">
        <v>17.059999999999999</v>
      </c>
      <c r="F35" s="692">
        <f t="shared" si="0"/>
        <v>-0.11238293444328828</v>
      </c>
      <c r="J35" s="726"/>
      <c r="K35" s="726"/>
    </row>
    <row r="36" spans="1:11" s="400" customFormat="1" ht="18" customHeight="1">
      <c r="A36" s="746" t="s">
        <v>618</v>
      </c>
      <c r="B36" s="749" t="s">
        <v>378</v>
      </c>
      <c r="C36" s="557">
        <v>18.974550000000001</v>
      </c>
      <c r="D36" s="557">
        <v>19.520969999999998</v>
      </c>
      <c r="E36" s="557">
        <v>18.974550000000001</v>
      </c>
      <c r="F36" s="567">
        <f t="shared" si="0"/>
        <v>-2.7991436900932531E-2</v>
      </c>
      <c r="J36" s="726"/>
      <c r="K36" s="726"/>
    </row>
    <row r="37" spans="1:11" s="400" customFormat="1" ht="10.5" customHeight="1">
      <c r="A37" s="687" t="s">
        <v>595</v>
      </c>
      <c r="B37" s="688"/>
      <c r="C37" s="691">
        <v>18.974550000000001</v>
      </c>
      <c r="D37" s="691">
        <v>19.520969999999998</v>
      </c>
      <c r="E37" s="691">
        <v>18.974550000000001</v>
      </c>
      <c r="F37" s="692">
        <f t="shared" ref="F37:F70" si="1">+IF(D37=0,"",C37/D37-1)</f>
        <v>-2.7991436900932531E-2</v>
      </c>
      <c r="J37" s="726"/>
      <c r="K37" s="726"/>
    </row>
    <row r="38" spans="1:11" s="400" customFormat="1" ht="10.5" customHeight="1">
      <c r="A38" s="556" t="s">
        <v>266</v>
      </c>
      <c r="B38" s="400" t="s">
        <v>61</v>
      </c>
      <c r="C38" s="557">
        <v>18.464480000000002</v>
      </c>
      <c r="D38" s="557">
        <v>18.950340000000001</v>
      </c>
      <c r="E38" s="557">
        <v>18.464480000000002</v>
      </c>
      <c r="F38" s="567">
        <f t="shared" si="1"/>
        <v>-2.563859012555969E-2</v>
      </c>
      <c r="J38" s="726"/>
      <c r="K38" s="726"/>
    </row>
    <row r="39" spans="1:11" s="400" customFormat="1" ht="10.5" customHeight="1">
      <c r="A39" s="687" t="s">
        <v>379</v>
      </c>
      <c r="B39" s="688"/>
      <c r="C39" s="691">
        <v>18.464480000000002</v>
      </c>
      <c r="D39" s="691">
        <v>18.950340000000001</v>
      </c>
      <c r="E39" s="691">
        <v>18.464480000000002</v>
      </c>
      <c r="F39" s="692">
        <f t="shared" si="1"/>
        <v>-2.563859012555969E-2</v>
      </c>
      <c r="J39" s="726"/>
      <c r="K39" s="726"/>
    </row>
    <row r="40" spans="1:11" s="400" customFormat="1" ht="10.5" customHeight="1">
      <c r="A40" s="556" t="s">
        <v>538</v>
      </c>
      <c r="B40" s="400" t="s">
        <v>629</v>
      </c>
      <c r="C40" s="557">
        <v>1.0049999999999999</v>
      </c>
      <c r="D40" s="557"/>
      <c r="E40" s="557">
        <v>1.0049999999999999</v>
      </c>
      <c r="F40" s="567" t="str">
        <f t="shared" si="1"/>
        <v/>
      </c>
      <c r="J40" s="726"/>
      <c r="K40" s="726"/>
    </row>
    <row r="41" spans="1:11" s="400" customFormat="1" ht="10.5" customHeight="1">
      <c r="A41" s="687" t="s">
        <v>543</v>
      </c>
      <c r="B41" s="688"/>
      <c r="C41" s="691">
        <v>1.0049999999999999</v>
      </c>
      <c r="D41" s="691"/>
      <c r="E41" s="691">
        <v>1.0049999999999999</v>
      </c>
      <c r="F41" s="692" t="str">
        <f t="shared" si="1"/>
        <v/>
      </c>
      <c r="J41" s="726"/>
      <c r="K41" s="726"/>
    </row>
    <row r="42" spans="1:11" s="400" customFormat="1" ht="10.5" customHeight="1">
      <c r="A42" s="556" t="s">
        <v>121</v>
      </c>
      <c r="B42" s="400" t="s">
        <v>380</v>
      </c>
      <c r="C42" s="557">
        <v>91.450299999999999</v>
      </c>
      <c r="D42" s="557">
        <v>90.838310000000007</v>
      </c>
      <c r="E42" s="557">
        <v>91.450299999999999</v>
      </c>
      <c r="F42" s="567">
        <f t="shared" si="1"/>
        <v>6.7371354663026128E-3</v>
      </c>
      <c r="J42" s="726"/>
      <c r="K42" s="726"/>
    </row>
    <row r="43" spans="1:11" s="400" customFormat="1" ht="10.5" customHeight="1">
      <c r="A43" s="556"/>
      <c r="B43" s="400" t="s">
        <v>381</v>
      </c>
      <c r="C43" s="557">
        <v>91.450299999999999</v>
      </c>
      <c r="D43" s="557">
        <v>90.838310000000007</v>
      </c>
      <c r="E43" s="557">
        <v>91.450299999999999</v>
      </c>
      <c r="F43" s="567">
        <f t="shared" si="1"/>
        <v>6.7371354663026128E-3</v>
      </c>
      <c r="J43" s="726"/>
      <c r="K43" s="726"/>
    </row>
    <row r="44" spans="1:11" s="400" customFormat="1" ht="10.5" customHeight="1">
      <c r="A44" s="687" t="s">
        <v>382</v>
      </c>
      <c r="B44" s="688"/>
      <c r="C44" s="691">
        <v>0</v>
      </c>
      <c r="D44" s="691">
        <v>0</v>
      </c>
      <c r="E44" s="691">
        <v>0</v>
      </c>
      <c r="F44" s="692" t="str">
        <f t="shared" si="1"/>
        <v/>
      </c>
      <c r="J44" s="726"/>
      <c r="K44" s="726"/>
    </row>
    <row r="45" spans="1:11" s="400" customFormat="1" ht="10.5" customHeight="1">
      <c r="A45" s="556" t="s">
        <v>531</v>
      </c>
      <c r="B45" s="400" t="s">
        <v>383</v>
      </c>
      <c r="C45" s="557">
        <v>0</v>
      </c>
      <c r="D45" s="557">
        <v>0</v>
      </c>
      <c r="E45" s="557">
        <v>0</v>
      </c>
      <c r="F45" s="567" t="str">
        <f t="shared" si="1"/>
        <v/>
      </c>
      <c r="J45" s="726"/>
      <c r="K45" s="726"/>
    </row>
    <row r="46" spans="1:11" s="400" customFormat="1" ht="10.5" customHeight="1">
      <c r="A46" s="556"/>
      <c r="B46" s="400" t="s">
        <v>384</v>
      </c>
      <c r="C46" s="557">
        <v>0</v>
      </c>
      <c r="D46" s="557">
        <v>0</v>
      </c>
      <c r="E46" s="557">
        <v>0</v>
      </c>
      <c r="F46" s="567" t="str">
        <f t="shared" si="1"/>
        <v/>
      </c>
      <c r="J46" s="726"/>
      <c r="K46" s="726"/>
    </row>
    <row r="47" spans="1:11" s="400" customFormat="1" ht="10.5" customHeight="1">
      <c r="A47" s="556"/>
      <c r="B47" s="400" t="s">
        <v>609</v>
      </c>
      <c r="C47" s="557">
        <v>210.94431</v>
      </c>
      <c r="D47" s="557">
        <v>682.38184000000001</v>
      </c>
      <c r="E47" s="557">
        <v>210.94431</v>
      </c>
      <c r="F47" s="567">
        <f t="shared" si="1"/>
        <v>-0.69087056888852727</v>
      </c>
      <c r="J47" s="726"/>
      <c r="K47" s="726"/>
    </row>
    <row r="48" spans="1:11" s="400" customFormat="1" ht="10.5" customHeight="1">
      <c r="A48" s="556"/>
      <c r="B48" s="400" t="s">
        <v>385</v>
      </c>
      <c r="C48" s="557">
        <v>120.95048</v>
      </c>
      <c r="D48" s="557">
        <v>150.91157999999999</v>
      </c>
      <c r="E48" s="557">
        <v>120.95048</v>
      </c>
      <c r="F48" s="567">
        <f t="shared" si="1"/>
        <v>-0.19853413502131512</v>
      </c>
      <c r="J48" s="726"/>
      <c r="K48" s="726"/>
    </row>
    <row r="49" spans="1:11" s="400" customFormat="1" ht="10.5" customHeight="1">
      <c r="A49" s="687" t="s">
        <v>386</v>
      </c>
      <c r="B49" s="688"/>
      <c r="C49" s="691">
        <v>530.13085999999998</v>
      </c>
      <c r="D49" s="691">
        <v>517.90251000000001</v>
      </c>
      <c r="E49" s="691">
        <v>530.13085999999998</v>
      </c>
      <c r="F49" s="692">
        <f t="shared" si="1"/>
        <v>2.3611297037351653E-2</v>
      </c>
      <c r="J49" s="726"/>
      <c r="K49" s="726"/>
    </row>
    <row r="50" spans="1:11" s="400" customFormat="1" ht="10.5" customHeight="1">
      <c r="A50" s="556" t="s">
        <v>607</v>
      </c>
      <c r="B50" s="400" t="s">
        <v>614</v>
      </c>
      <c r="C50" s="557">
        <v>10.152290000000001</v>
      </c>
      <c r="D50" s="557">
        <v>10.117430000000001</v>
      </c>
      <c r="E50" s="557">
        <v>10.152290000000001</v>
      </c>
      <c r="F50" s="567">
        <f t="shared" si="1"/>
        <v>3.4455390351106896E-3</v>
      </c>
      <c r="J50" s="726"/>
      <c r="K50" s="726"/>
    </row>
    <row r="51" spans="1:11" s="400" customFormat="1" ht="10.5" customHeight="1">
      <c r="A51" s="687" t="s">
        <v>628</v>
      </c>
      <c r="B51" s="688"/>
      <c r="C51" s="691">
        <v>872.17794000000004</v>
      </c>
      <c r="D51" s="691">
        <v>1361.3133599999999</v>
      </c>
      <c r="E51" s="691">
        <v>872.17794000000004</v>
      </c>
      <c r="F51" s="692">
        <f t="shared" si="1"/>
        <v>-0.35931140791859995</v>
      </c>
      <c r="J51" s="726"/>
      <c r="K51" s="726"/>
    </row>
    <row r="52" spans="1:11" s="400" customFormat="1" ht="10.5" customHeight="1">
      <c r="A52" s="556" t="s">
        <v>120</v>
      </c>
      <c r="B52" s="400" t="s">
        <v>74</v>
      </c>
      <c r="C52" s="557">
        <v>2.6109999999999998</v>
      </c>
      <c r="D52" s="557">
        <v>3.6429999999999998</v>
      </c>
      <c r="E52" s="557">
        <v>2.6109999999999998</v>
      </c>
      <c r="F52" s="567">
        <f t="shared" si="1"/>
        <v>-0.28328300850947019</v>
      </c>
      <c r="J52" s="726"/>
      <c r="K52" s="726"/>
    </row>
    <row r="53" spans="1:11" s="400" customFormat="1" ht="10.5" customHeight="1">
      <c r="A53" s="687" t="s">
        <v>387</v>
      </c>
      <c r="B53" s="688"/>
      <c r="C53" s="691">
        <v>2.6109999999999998</v>
      </c>
      <c r="D53" s="691">
        <v>3.6429999999999998</v>
      </c>
      <c r="E53" s="691">
        <v>2.6109999999999998</v>
      </c>
      <c r="F53" s="692">
        <f t="shared" si="1"/>
        <v>-0.28328300850947019</v>
      </c>
      <c r="J53" s="726"/>
      <c r="K53" s="726"/>
    </row>
    <row r="54" spans="1:11" s="400" customFormat="1" ht="10.5" customHeight="1">
      <c r="A54" s="556" t="s">
        <v>113</v>
      </c>
      <c r="B54" s="400" t="s">
        <v>84</v>
      </c>
      <c r="C54" s="557">
        <v>0</v>
      </c>
      <c r="D54" s="557">
        <v>0</v>
      </c>
      <c r="E54" s="557">
        <v>0</v>
      </c>
      <c r="F54" s="567" t="str">
        <f t="shared" si="1"/>
        <v/>
      </c>
      <c r="J54" s="726"/>
      <c r="K54" s="726"/>
    </row>
    <row r="55" spans="1:11" s="400" customFormat="1" ht="10.5" customHeight="1">
      <c r="A55" s="687" t="s">
        <v>388</v>
      </c>
      <c r="B55" s="688"/>
      <c r="C55" s="691">
        <v>0</v>
      </c>
      <c r="D55" s="691">
        <v>0</v>
      </c>
      <c r="E55" s="691">
        <v>0</v>
      </c>
      <c r="F55" s="692" t="str">
        <f t="shared" si="1"/>
        <v/>
      </c>
      <c r="J55" s="726"/>
      <c r="K55" s="726"/>
    </row>
    <row r="56" spans="1:11" s="400" customFormat="1" ht="10.5" customHeight="1">
      <c r="A56" s="556" t="s">
        <v>267</v>
      </c>
      <c r="B56" s="400" t="s">
        <v>73</v>
      </c>
      <c r="C56" s="557">
        <v>5.2444600000000001</v>
      </c>
      <c r="D56" s="557">
        <v>0</v>
      </c>
      <c r="E56" s="557">
        <v>5.2444600000000001</v>
      </c>
      <c r="F56" s="567" t="str">
        <f t="shared" si="1"/>
        <v/>
      </c>
      <c r="J56" s="726"/>
      <c r="K56" s="726"/>
    </row>
    <row r="57" spans="1:11" s="400" customFormat="1" ht="10.5" customHeight="1">
      <c r="A57" s="556"/>
      <c r="B57" s="400" t="s">
        <v>389</v>
      </c>
      <c r="C57" s="557">
        <v>242.57454999999999</v>
      </c>
      <c r="D57" s="557">
        <v>245.57174000000003</v>
      </c>
      <c r="E57" s="557">
        <v>242.57454999999999</v>
      </c>
      <c r="F57" s="567">
        <f t="shared" si="1"/>
        <v>-1.2204946709259201E-2</v>
      </c>
      <c r="J57" s="726"/>
      <c r="K57" s="726"/>
    </row>
    <row r="58" spans="1:11" s="400" customFormat="1" ht="10.5" customHeight="1">
      <c r="A58" s="556"/>
      <c r="B58" s="400" t="s">
        <v>390</v>
      </c>
      <c r="C58" s="557">
        <v>91.261049999999997</v>
      </c>
      <c r="D58" s="557">
        <v>90.377259999999993</v>
      </c>
      <c r="E58" s="557">
        <v>91.261049999999997</v>
      </c>
      <c r="F58" s="567">
        <f t="shared" si="1"/>
        <v>9.7788979218889072E-3</v>
      </c>
      <c r="J58" s="726"/>
      <c r="K58" s="726"/>
    </row>
    <row r="59" spans="1:11" s="400" customFormat="1" ht="10.5" customHeight="1">
      <c r="A59" s="556"/>
      <c r="B59" s="400" t="s">
        <v>64</v>
      </c>
      <c r="C59" s="557">
        <v>8.4458800000000007</v>
      </c>
      <c r="D59" s="557">
        <v>9.9286399999999997</v>
      </c>
      <c r="E59" s="557">
        <v>8.4458800000000007</v>
      </c>
      <c r="F59" s="567">
        <f t="shared" si="1"/>
        <v>-0.1493417023882424</v>
      </c>
      <c r="J59" s="726"/>
      <c r="K59" s="726"/>
    </row>
    <row r="60" spans="1:11" s="400" customFormat="1" ht="10.5" customHeight="1">
      <c r="A60" s="687" t="s">
        <v>391</v>
      </c>
      <c r="B60" s="688"/>
      <c r="C60" s="691">
        <v>347.52593999999999</v>
      </c>
      <c r="D60" s="691">
        <v>345.87763999999999</v>
      </c>
      <c r="E60" s="691">
        <v>347.52593999999999</v>
      </c>
      <c r="F60" s="692">
        <f t="shared" si="1"/>
        <v>4.7655581320609208E-3</v>
      </c>
      <c r="J60" s="726"/>
      <c r="K60" s="726"/>
    </row>
    <row r="61" spans="1:11" s="400" customFormat="1" ht="10.5" customHeight="1">
      <c r="A61" s="556" t="s">
        <v>268</v>
      </c>
      <c r="B61" s="400" t="s">
        <v>81</v>
      </c>
      <c r="C61" s="557">
        <v>6.7167700000000004</v>
      </c>
      <c r="D61" s="557">
        <v>21.974740000000001</v>
      </c>
      <c r="E61" s="557">
        <v>6.7167700000000004</v>
      </c>
      <c r="F61" s="567">
        <f t="shared" si="1"/>
        <v>-0.69434132098946333</v>
      </c>
      <c r="J61" s="726"/>
      <c r="K61" s="726"/>
    </row>
    <row r="62" spans="1:11" s="400" customFormat="1" ht="10.5" customHeight="1">
      <c r="A62" s="687" t="s">
        <v>392</v>
      </c>
      <c r="B62" s="688"/>
      <c r="C62" s="691">
        <v>6.7167700000000004</v>
      </c>
      <c r="D62" s="691">
        <v>21.974740000000001</v>
      </c>
      <c r="E62" s="691">
        <v>6.7167700000000004</v>
      </c>
      <c r="F62" s="692">
        <f t="shared" si="1"/>
        <v>-0.69434132098946333</v>
      </c>
      <c r="J62" s="726"/>
      <c r="K62" s="726"/>
    </row>
    <row r="63" spans="1:11" s="400" customFormat="1" ht="10.5" customHeight="1">
      <c r="A63" s="556" t="s">
        <v>102</v>
      </c>
      <c r="B63" s="400" t="s">
        <v>78</v>
      </c>
      <c r="C63" s="557">
        <v>21.95486</v>
      </c>
      <c r="D63" s="557">
        <v>73.812150000000003</v>
      </c>
      <c r="E63" s="557">
        <v>21.95486</v>
      </c>
      <c r="F63" s="567">
        <f t="shared" si="1"/>
        <v>-0.70255764125553855</v>
      </c>
      <c r="J63" s="726"/>
      <c r="K63" s="726"/>
    </row>
    <row r="64" spans="1:11" s="400" customFormat="1" ht="10.5" customHeight="1">
      <c r="A64" s="687" t="s">
        <v>393</v>
      </c>
      <c r="B64" s="688"/>
      <c r="C64" s="691">
        <v>21.95486</v>
      </c>
      <c r="D64" s="691">
        <v>73.812150000000003</v>
      </c>
      <c r="E64" s="691">
        <v>21.95486</v>
      </c>
      <c r="F64" s="692">
        <f t="shared" si="1"/>
        <v>-0.70255764125553855</v>
      </c>
      <c r="J64" s="726"/>
      <c r="K64" s="726"/>
    </row>
    <row r="65" spans="1:11" s="400" customFormat="1" ht="10.5" customHeight="1">
      <c r="A65" s="556" t="s">
        <v>110</v>
      </c>
      <c r="B65" s="400" t="s">
        <v>256</v>
      </c>
      <c r="C65" s="557">
        <v>0</v>
      </c>
      <c r="D65" s="557">
        <v>0</v>
      </c>
      <c r="E65" s="557">
        <v>0</v>
      </c>
      <c r="F65" s="567" t="str">
        <f t="shared" si="1"/>
        <v/>
      </c>
      <c r="J65" s="726"/>
      <c r="K65" s="726"/>
    </row>
    <row r="66" spans="1:11" s="400" customFormat="1" ht="10.5" customHeight="1">
      <c r="A66" s="687" t="s">
        <v>394</v>
      </c>
      <c r="B66" s="688"/>
      <c r="C66" s="691">
        <v>0</v>
      </c>
      <c r="D66" s="691">
        <v>0</v>
      </c>
      <c r="E66" s="691">
        <v>0</v>
      </c>
      <c r="F66" s="692" t="str">
        <f t="shared" si="1"/>
        <v/>
      </c>
      <c r="J66" s="726"/>
      <c r="K66" s="726"/>
    </row>
    <row r="67" spans="1:11" s="400" customFormat="1" ht="10.5" customHeight="1">
      <c r="A67" s="556" t="s">
        <v>532</v>
      </c>
      <c r="B67" s="400" t="s">
        <v>610</v>
      </c>
      <c r="C67" s="557">
        <v>2.7994700000000003</v>
      </c>
      <c r="D67" s="557">
        <v>0</v>
      </c>
      <c r="E67" s="557">
        <v>2.7994700000000003</v>
      </c>
      <c r="F67" s="567" t="str">
        <f t="shared" si="1"/>
        <v/>
      </c>
      <c r="J67" s="726"/>
      <c r="K67" s="726"/>
    </row>
    <row r="68" spans="1:11" s="400" customFormat="1" ht="10.5" customHeight="1">
      <c r="A68" s="556"/>
      <c r="B68" s="400" t="s">
        <v>87</v>
      </c>
      <c r="C68" s="557">
        <v>4.2170900000000007</v>
      </c>
      <c r="D68" s="557">
        <v>4.4153000000000002</v>
      </c>
      <c r="E68" s="557">
        <v>4.2170900000000007</v>
      </c>
      <c r="F68" s="567">
        <f t="shared" si="1"/>
        <v>-4.4891626843023058E-2</v>
      </c>
      <c r="J68" s="726"/>
      <c r="K68" s="726"/>
    </row>
    <row r="69" spans="1:11" s="400" customFormat="1" ht="10.5" customHeight="1">
      <c r="A69" s="556"/>
      <c r="B69" s="400" t="s">
        <v>619</v>
      </c>
      <c r="C69" s="557">
        <v>1.19814</v>
      </c>
      <c r="D69" s="557"/>
      <c r="E69" s="557">
        <v>1.19814</v>
      </c>
      <c r="F69" s="567" t="str">
        <f t="shared" si="1"/>
        <v/>
      </c>
      <c r="J69" s="726"/>
      <c r="K69" s="726"/>
    </row>
    <row r="70" spans="1:11" s="400" customFormat="1" ht="10.5" customHeight="1">
      <c r="A70" s="687" t="s">
        <v>395</v>
      </c>
      <c r="B70" s="688"/>
      <c r="C70" s="691">
        <v>8.2147000000000006</v>
      </c>
      <c r="D70" s="691">
        <v>4.4153000000000002</v>
      </c>
      <c r="E70" s="691">
        <v>8.2147000000000006</v>
      </c>
      <c r="F70" s="692">
        <f t="shared" si="1"/>
        <v>0.86050777976581427</v>
      </c>
      <c r="J70" s="726"/>
      <c r="K70" s="726"/>
    </row>
    <row r="71" spans="1:11" s="400" customFormat="1" ht="10.5" customHeight="1"/>
    <row r="72" spans="1:11" s="400" customFormat="1" ht="10.5" customHeight="1"/>
    <row r="73" spans="1:11" s="400" customFormat="1" ht="10.5" customHeight="1"/>
    <row r="74" spans="1:11" s="400" customFormat="1" ht="10.5" customHeight="1"/>
    <row r="75" spans="1:11" s="400" customFormat="1" ht="10.5" customHeight="1"/>
    <row r="76" spans="1:11" s="400" customFormat="1" ht="10.5" customHeight="1"/>
    <row r="77" spans="1:11" s="400" customFormat="1" ht="10.5" customHeight="1"/>
    <row r="78" spans="1:11" s="400" customFormat="1" ht="10.5" customHeight="1"/>
    <row r="79" spans="1:11" s="400" customFormat="1" ht="10.5" customHeight="1"/>
    <row r="80" spans="1:11" s="400" customFormat="1" ht="10.5" customHeight="1"/>
    <row r="81" s="400" customFormat="1" ht="10.5" customHeight="1"/>
    <row r="82" s="400" customFormat="1" ht="8.25"/>
    <row r="83" s="400" customFormat="1" ht="8.25"/>
    <row r="84" s="400" customFormat="1" ht="8.25"/>
    <row r="85" s="400" customFormat="1" ht="8.25"/>
    <row r="86" s="400" customFormat="1" ht="8.25"/>
    <row r="87" s="400" customFormat="1" ht="8.25"/>
    <row r="88" s="400" customFormat="1" ht="8.25"/>
    <row r="89" s="400" customFormat="1" ht="8.25"/>
    <row r="90" s="400" customFormat="1" ht="8.25"/>
    <row r="91" s="400" customFormat="1" ht="8.25"/>
    <row r="92" s="400" customFormat="1" ht="8.25"/>
    <row r="93" s="400" customFormat="1" ht="8.25"/>
    <row r="94" s="400" customFormat="1" ht="8.25"/>
    <row r="95" s="400" customFormat="1" ht="8.25"/>
    <row r="96" s="400" customFormat="1" ht="8.25"/>
    <row r="97" s="400" customFormat="1" ht="8.25"/>
    <row r="98" s="400" customFormat="1" ht="8.25"/>
    <row r="99" s="400" customFormat="1" ht="8.25"/>
    <row r="100" s="400" customFormat="1" ht="8.25"/>
    <row r="101" s="400" customFormat="1" ht="8.25"/>
    <row r="102" s="400" customFormat="1" ht="8.25"/>
    <row r="103" s="400" customFormat="1" ht="8.25"/>
    <row r="104" s="400" customFormat="1" ht="8.25"/>
    <row r="105" s="400" customFormat="1" ht="8.25"/>
    <row r="106" s="400" customFormat="1" ht="8.25"/>
    <row r="107" s="400" customFormat="1" ht="8.25"/>
    <row r="108" s="400" customFormat="1" ht="8.25"/>
    <row r="109" s="400" customFormat="1" ht="8.25"/>
    <row r="110" s="400" customFormat="1" ht="8.25"/>
    <row r="111" s="400" customFormat="1" ht="8.25"/>
    <row r="112" s="400" customFormat="1" ht="8.25"/>
    <row r="113" s="400" customFormat="1" ht="8.25"/>
    <row r="114" s="400" customFormat="1" ht="8.25"/>
  </sheetData>
  <mergeCells count="3">
    <mergeCell ref="A1:A4"/>
    <mergeCell ref="B1:B4"/>
    <mergeCell ref="C1:F1"/>
  </mergeCells>
  <pageMargins left="0.70866141732283472" right="0.70866141732283472" top="1.4311417322834645" bottom="0.62992125984251968" header="0.31496062992125984" footer="0.31496062992125984"/>
  <pageSetup paperSize="9" scale="94" orientation="portrait" r:id="rId1"/>
  <headerFooter>
    <oddHeader>&amp;R&amp;7Informe de la Operación Mensual - Enero 2019
INFSGI-MES-01-2019
13/02/2019
Versión: 01</oddHeader>
    <oddFooter>&amp;L&amp;7COES, 2019&amp;C22&amp;R&amp;7Dirección Ejecutiva
Sub Dirección de Gestión de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4"/>
  </sheetPr>
  <dimension ref="A1:M67"/>
  <sheetViews>
    <sheetView showGridLines="0" view="pageBreakPreview" topLeftCell="D1" zoomScale="145" zoomScaleNormal="100" zoomScaleSheetLayoutView="145" zoomScalePageLayoutView="130" workbookViewId="0">
      <selection activeCell="M24" sqref="M24"/>
    </sheetView>
  </sheetViews>
  <sheetFormatPr defaultColWidth="9.33203125" defaultRowHeight="9"/>
  <cols>
    <col min="1" max="1" width="27" style="305" customWidth="1"/>
    <col min="2" max="2" width="23" style="305" customWidth="1"/>
    <col min="3" max="4" width="17.6640625" style="305" customWidth="1"/>
    <col min="5" max="5" width="15.1640625" style="305" customWidth="1"/>
    <col min="6" max="6" width="13.33203125" style="305" customWidth="1"/>
    <col min="7" max="7" width="9.33203125" style="305"/>
    <col min="8" max="8" width="13.1640625" style="305" customWidth="1"/>
    <col min="9" max="9" width="17.33203125" style="305" customWidth="1"/>
    <col min="10" max="16384" width="9.33203125" style="305"/>
  </cols>
  <sheetData>
    <row r="1" spans="1:11" s="400" customFormat="1" ht="11.25" customHeight="1">
      <c r="A1" s="909" t="s">
        <v>277</v>
      </c>
      <c r="B1" s="912" t="s">
        <v>56</v>
      </c>
      <c r="C1" s="912" t="s">
        <v>436</v>
      </c>
      <c r="D1" s="912"/>
      <c r="E1" s="912"/>
      <c r="F1" s="915"/>
    </row>
    <row r="2" spans="1:11" s="400" customFormat="1" ht="11.25" customHeight="1">
      <c r="A2" s="910"/>
      <c r="B2" s="913"/>
      <c r="C2" s="665" t="str">
        <f>+'22. ANEXOII-2'!C2</f>
        <v>ENERO 2019</v>
      </c>
      <c r="D2" s="666" t="str">
        <f>+'22. ANEXOII-2'!D2</f>
        <v>ENERO 2018</v>
      </c>
      <c r="E2" s="667" t="s">
        <v>799</v>
      </c>
      <c r="F2" s="668" t="s">
        <v>434</v>
      </c>
    </row>
    <row r="3" spans="1:11" s="400" customFormat="1" ht="11.25" customHeight="1">
      <c r="A3" s="910"/>
      <c r="B3" s="913"/>
      <c r="C3" s="669">
        <f>+'8. Max Potencia'!D8</f>
        <v>43494.833333333336</v>
      </c>
      <c r="D3" s="669">
        <f>+'8. Max Potencia'!E8</f>
        <v>43126.822916666664</v>
      </c>
      <c r="E3" s="669">
        <v>43494.833333333336</v>
      </c>
      <c r="F3" s="670" t="s">
        <v>428</v>
      </c>
    </row>
    <row r="4" spans="1:11" s="400" customFormat="1" ht="11.25" customHeight="1">
      <c r="A4" s="911"/>
      <c r="B4" s="914"/>
      <c r="C4" s="671">
        <f>+'8. Max Potencia'!D9</f>
        <v>43494.833333333336</v>
      </c>
      <c r="D4" s="671">
        <f>+'8. Max Potencia'!E9</f>
        <v>43126.822916666664</v>
      </c>
      <c r="E4" s="671">
        <v>43494.833333333336</v>
      </c>
      <c r="F4" s="672" t="s">
        <v>429</v>
      </c>
    </row>
    <row r="5" spans="1:11" s="400" customFormat="1" ht="10.5" customHeight="1">
      <c r="A5" s="556" t="s">
        <v>269</v>
      </c>
      <c r="B5" s="400" t="s">
        <v>396</v>
      </c>
      <c r="C5" s="557">
        <v>0</v>
      </c>
      <c r="D5" s="557">
        <v>0</v>
      </c>
      <c r="E5" s="557">
        <v>0</v>
      </c>
      <c r="F5" s="567" t="s">
        <v>627</v>
      </c>
    </row>
    <row r="6" spans="1:11" s="400" customFormat="1" ht="10.5" customHeight="1">
      <c r="A6" s="687" t="s">
        <v>397</v>
      </c>
      <c r="B6" s="688"/>
      <c r="C6" s="691">
        <v>0</v>
      </c>
      <c r="D6" s="691">
        <v>0</v>
      </c>
      <c r="E6" s="691">
        <v>0</v>
      </c>
      <c r="F6" s="692" t="s">
        <v>627</v>
      </c>
    </row>
    <row r="7" spans="1:11" s="400" customFormat="1" ht="10.5" hidden="1" customHeight="1">
      <c r="A7" s="556" t="s">
        <v>126</v>
      </c>
      <c r="B7" s="400" t="s">
        <v>587</v>
      </c>
      <c r="C7" s="557"/>
      <c r="D7" s="557"/>
      <c r="E7" s="557"/>
      <c r="F7" s="567" t="s">
        <v>627</v>
      </c>
      <c r="J7" s="726"/>
      <c r="K7" s="726"/>
    </row>
    <row r="8" spans="1:11" s="400" customFormat="1" ht="10.5" hidden="1" customHeight="1">
      <c r="A8" s="687" t="s">
        <v>588</v>
      </c>
      <c r="B8" s="688"/>
      <c r="C8" s="691"/>
      <c r="D8" s="691"/>
      <c r="E8" s="691"/>
      <c r="F8" s="692" t="s">
        <v>627</v>
      </c>
      <c r="J8" s="726"/>
      <c r="K8" s="726"/>
    </row>
    <row r="9" spans="1:11" s="400" customFormat="1" ht="10.5" customHeight="1">
      <c r="A9" s="556" t="s">
        <v>107</v>
      </c>
      <c r="B9" s="400" t="s">
        <v>63</v>
      </c>
      <c r="C9" s="557">
        <v>0</v>
      </c>
      <c r="D9" s="557">
        <v>0</v>
      </c>
      <c r="E9" s="557">
        <v>0</v>
      </c>
      <c r="F9" s="567">
        <v>-0.30296186553850546</v>
      </c>
      <c r="H9" s="527"/>
      <c r="I9" s="708"/>
      <c r="J9" s="726"/>
      <c r="K9" s="726"/>
    </row>
    <row r="10" spans="1:11" s="400" customFormat="1" ht="10.5" customHeight="1">
      <c r="A10" s="687" t="s">
        <v>398</v>
      </c>
      <c r="B10" s="688"/>
      <c r="C10" s="691">
        <v>0</v>
      </c>
      <c r="D10" s="691">
        <v>0</v>
      </c>
      <c r="E10" s="691">
        <v>0</v>
      </c>
      <c r="F10" s="692">
        <v>-0.30296186553850546</v>
      </c>
      <c r="H10" s="527"/>
      <c r="I10" s="708"/>
      <c r="J10" s="726"/>
      <c r="K10" s="726"/>
    </row>
    <row r="11" spans="1:11" s="400" customFormat="1" ht="10.5" customHeight="1">
      <c r="A11" s="556" t="s">
        <v>270</v>
      </c>
      <c r="B11" s="400" t="s">
        <v>399</v>
      </c>
      <c r="C11" s="557">
        <v>16.018940000000001</v>
      </c>
      <c r="D11" s="557">
        <v>19.14423</v>
      </c>
      <c r="E11" s="557">
        <v>16.018940000000001</v>
      </c>
      <c r="F11" s="567" t="s">
        <v>627</v>
      </c>
      <c r="H11" s="527"/>
      <c r="I11" s="708"/>
      <c r="J11" s="726"/>
      <c r="K11" s="726"/>
    </row>
    <row r="12" spans="1:11" s="400" customFormat="1" ht="10.5" customHeight="1">
      <c r="A12" s="687" t="s">
        <v>400</v>
      </c>
      <c r="B12" s="688"/>
      <c r="C12" s="691">
        <v>16.018940000000001</v>
      </c>
      <c r="D12" s="691">
        <v>19.14423</v>
      </c>
      <c r="E12" s="691">
        <v>16.018940000000001</v>
      </c>
      <c r="F12" s="692" t="s">
        <v>627</v>
      </c>
      <c r="H12" s="527"/>
      <c r="I12" s="708"/>
      <c r="J12" s="726"/>
      <c r="K12" s="726"/>
    </row>
    <row r="13" spans="1:11" s="400" customFormat="1" ht="10.5" customHeight="1">
      <c r="A13" s="556" t="s">
        <v>98</v>
      </c>
      <c r="B13" s="400" t="s">
        <v>401</v>
      </c>
      <c r="C13" s="557">
        <v>0</v>
      </c>
      <c r="D13" s="557">
        <v>0</v>
      </c>
      <c r="E13" s="557">
        <v>0</v>
      </c>
      <c r="F13" s="567">
        <v>-6.4761045377126347E-3</v>
      </c>
      <c r="H13" s="527"/>
      <c r="I13" s="708"/>
      <c r="J13" s="726"/>
      <c r="K13" s="726"/>
    </row>
    <row r="14" spans="1:11" s="400" customFormat="1" ht="10.5" customHeight="1">
      <c r="A14" s="556"/>
      <c r="B14" s="400" t="s">
        <v>432</v>
      </c>
      <c r="C14" s="557">
        <v>0</v>
      </c>
      <c r="D14" s="557">
        <v>0</v>
      </c>
      <c r="E14" s="557">
        <v>0</v>
      </c>
      <c r="F14" s="567" t="s">
        <v>627</v>
      </c>
      <c r="H14" s="527"/>
      <c r="I14" s="708"/>
      <c r="J14" s="726"/>
      <c r="K14" s="726"/>
    </row>
    <row r="15" spans="1:11" s="400" customFormat="1" ht="10.5" customHeight="1">
      <c r="A15" s="687" t="s">
        <v>402</v>
      </c>
      <c r="B15" s="688"/>
      <c r="C15" s="691">
        <v>111.13015</v>
      </c>
      <c r="D15" s="691">
        <v>110.91433000000001</v>
      </c>
      <c r="E15" s="691">
        <v>111.13015</v>
      </c>
      <c r="F15" s="692">
        <v>-6.4761045377126347E-3</v>
      </c>
      <c r="H15" s="527"/>
      <c r="I15" s="708"/>
      <c r="J15" s="726"/>
      <c r="K15" s="726"/>
    </row>
    <row r="16" spans="1:11" s="400" customFormat="1" ht="10.5" customHeight="1">
      <c r="A16" s="556" t="s">
        <v>493</v>
      </c>
      <c r="B16" s="400" t="s">
        <v>615</v>
      </c>
      <c r="C16" s="557">
        <v>111.13015</v>
      </c>
      <c r="D16" s="557">
        <v>110.91433000000001</v>
      </c>
      <c r="E16" s="557">
        <v>111.13015</v>
      </c>
      <c r="F16" s="567" t="s">
        <v>627</v>
      </c>
      <c r="H16" s="527"/>
      <c r="I16" s="708"/>
      <c r="J16" s="726"/>
      <c r="K16" s="726"/>
    </row>
    <row r="17" spans="1:11" s="400" customFormat="1" ht="10.5" customHeight="1">
      <c r="A17" s="687" t="s">
        <v>495</v>
      </c>
      <c r="B17" s="688"/>
      <c r="C17" s="691">
        <v>20.086600000000001</v>
      </c>
      <c r="D17" s="691"/>
      <c r="E17" s="691">
        <v>20.086600000000001</v>
      </c>
      <c r="F17" s="692" t="s">
        <v>627</v>
      </c>
      <c r="H17" s="527"/>
      <c r="I17" s="708"/>
      <c r="J17" s="726"/>
      <c r="K17" s="726"/>
    </row>
    <row r="18" spans="1:11" s="400" customFormat="1" ht="10.5" customHeight="1">
      <c r="A18" s="556" t="s">
        <v>271</v>
      </c>
      <c r="B18" s="400" t="s">
        <v>67</v>
      </c>
      <c r="C18" s="557">
        <v>20.086600000000001</v>
      </c>
      <c r="D18" s="557"/>
      <c r="E18" s="557">
        <v>20.086600000000001</v>
      </c>
      <c r="F18" s="567">
        <v>-4.3510217284931207E-2</v>
      </c>
      <c r="H18" s="527"/>
      <c r="I18" s="708"/>
      <c r="J18" s="726"/>
      <c r="K18" s="726"/>
    </row>
    <row r="19" spans="1:11" s="400" customFormat="1" ht="10.5" customHeight="1">
      <c r="A19" s="556"/>
      <c r="B19" s="400" t="s">
        <v>66</v>
      </c>
      <c r="C19" s="557">
        <v>9.5016200000000008</v>
      </c>
      <c r="D19" s="557">
        <v>9.6437500000000007</v>
      </c>
      <c r="E19" s="557">
        <v>9.5016200000000008</v>
      </c>
      <c r="F19" s="567">
        <v>-4.2658221584442546E-2</v>
      </c>
      <c r="H19" s="527"/>
      <c r="I19" s="708"/>
      <c r="J19" s="726"/>
      <c r="K19" s="726"/>
    </row>
    <row r="20" spans="1:11" s="400" customFormat="1" ht="10.5" customHeight="1">
      <c r="A20" s="556"/>
      <c r="B20" s="400" t="s">
        <v>70</v>
      </c>
      <c r="C20" s="557">
        <v>10.00858</v>
      </c>
      <c r="D20" s="557">
        <v>9.8836999999999993</v>
      </c>
      <c r="E20" s="557">
        <v>10.00858</v>
      </c>
      <c r="F20" s="567">
        <v>-0.12032040168534996</v>
      </c>
      <c r="H20" s="527"/>
      <c r="I20" s="708"/>
      <c r="J20" s="726"/>
      <c r="K20" s="726"/>
    </row>
    <row r="21" spans="1:11" s="400" customFormat="1" ht="10.5" customHeight="1">
      <c r="A21" s="556"/>
      <c r="B21" s="400" t="s">
        <v>69</v>
      </c>
      <c r="C21" s="557">
        <v>6.5295899999999998</v>
      </c>
      <c r="D21" s="557">
        <v>5.5732600000000003</v>
      </c>
      <c r="E21" s="557">
        <v>6.5295899999999998</v>
      </c>
      <c r="F21" s="567">
        <v>-0.15834060586899035</v>
      </c>
      <c r="H21" s="527"/>
      <c r="I21" s="708"/>
      <c r="J21" s="726"/>
      <c r="K21" s="726"/>
    </row>
    <row r="22" spans="1:11" s="400" customFormat="1" ht="10.5" customHeight="1">
      <c r="A22" s="687" t="s">
        <v>403</v>
      </c>
      <c r="B22" s="688"/>
      <c r="C22" s="691">
        <v>6.6699799999999998</v>
      </c>
      <c r="D22" s="691">
        <v>6.4707800000000004</v>
      </c>
      <c r="E22" s="691">
        <v>6.6699799999999998</v>
      </c>
      <c r="F22" s="692">
        <v>-8.8221658414700643E-2</v>
      </c>
      <c r="H22" s="527"/>
      <c r="I22" s="708"/>
      <c r="J22" s="726"/>
      <c r="K22" s="726"/>
    </row>
    <row r="23" spans="1:11" s="400" customFormat="1" ht="10.5" customHeight="1">
      <c r="A23" s="556" t="s">
        <v>105</v>
      </c>
      <c r="B23" s="400" t="s">
        <v>404</v>
      </c>
      <c r="C23" s="557">
        <v>32.709769999999999</v>
      </c>
      <c r="D23" s="557">
        <v>31.571490000000004</v>
      </c>
      <c r="E23" s="557">
        <v>32.709769999999999</v>
      </c>
      <c r="F23" s="567">
        <v>9.1693652914064394E-3</v>
      </c>
      <c r="H23" s="527"/>
      <c r="I23" s="708"/>
      <c r="J23" s="726"/>
      <c r="K23" s="726"/>
    </row>
    <row r="24" spans="1:11" s="400" customFormat="1" ht="10.5" customHeight="1">
      <c r="A24" s="687" t="s">
        <v>405</v>
      </c>
      <c r="B24" s="688"/>
      <c r="C24" s="691">
        <v>26.653569999999998</v>
      </c>
      <c r="D24" s="691">
        <v>26.922409999999999</v>
      </c>
      <c r="E24" s="691">
        <v>26.653569999999998</v>
      </c>
      <c r="F24" s="692">
        <v>9.1693652914064394E-3</v>
      </c>
      <c r="H24" s="527"/>
      <c r="I24" s="708"/>
      <c r="J24" s="726"/>
      <c r="K24" s="726"/>
    </row>
    <row r="25" spans="1:11" s="400" customFormat="1" ht="10.5" customHeight="1">
      <c r="A25" s="556" t="s">
        <v>123</v>
      </c>
      <c r="B25" s="400" t="s">
        <v>406</v>
      </c>
      <c r="C25" s="557">
        <v>26.653569999999998</v>
      </c>
      <c r="D25" s="557">
        <v>26.922409999999999</v>
      </c>
      <c r="E25" s="557">
        <v>26.653569999999998</v>
      </c>
      <c r="F25" s="567" t="s">
        <v>627</v>
      </c>
      <c r="H25" s="527"/>
      <c r="I25" s="708"/>
      <c r="J25" s="726"/>
      <c r="K25" s="726"/>
    </row>
    <row r="26" spans="1:11" s="400" customFormat="1" ht="10.5" customHeight="1">
      <c r="A26" s="687" t="s">
        <v>407</v>
      </c>
      <c r="B26" s="688"/>
      <c r="C26" s="691">
        <v>0</v>
      </c>
      <c r="D26" s="691">
        <v>0</v>
      </c>
      <c r="E26" s="691">
        <v>0</v>
      </c>
      <c r="F26" s="692" t="s">
        <v>627</v>
      </c>
      <c r="H26" s="527"/>
      <c r="I26" s="708"/>
      <c r="J26" s="726"/>
      <c r="K26" s="726"/>
    </row>
    <row r="27" spans="1:11" s="400" customFormat="1" ht="10.5" customHeight="1">
      <c r="A27" s="556" t="s">
        <v>116</v>
      </c>
      <c r="B27" s="400" t="s">
        <v>433</v>
      </c>
      <c r="C27" s="557">
        <v>0</v>
      </c>
      <c r="D27" s="557">
        <v>0</v>
      </c>
      <c r="E27" s="557">
        <v>0</v>
      </c>
      <c r="F27" s="567" t="s">
        <v>627</v>
      </c>
      <c r="H27" s="527"/>
      <c r="I27" s="708"/>
      <c r="J27" s="726"/>
      <c r="K27" s="726"/>
    </row>
    <row r="28" spans="1:11" s="400" customFormat="1" ht="10.5" customHeight="1">
      <c r="A28" s="556"/>
      <c r="B28" s="400" t="s">
        <v>71</v>
      </c>
      <c r="C28" s="557">
        <v>4.9726499999999998</v>
      </c>
      <c r="D28" s="557">
        <v>7.7857099999999999</v>
      </c>
      <c r="E28" s="557">
        <v>4.9726499999999998</v>
      </c>
      <c r="F28" s="567">
        <v>-0.15046885144700006</v>
      </c>
      <c r="H28" s="527"/>
      <c r="I28" s="708"/>
      <c r="J28" s="726"/>
      <c r="K28" s="726"/>
    </row>
    <row r="29" spans="1:11" s="400" customFormat="1" ht="10.5" customHeight="1">
      <c r="A29" s="687" t="s">
        <v>408</v>
      </c>
      <c r="B29" s="688"/>
      <c r="C29" s="691">
        <v>4.9726499999999998</v>
      </c>
      <c r="D29" s="691">
        <v>7.7857099999999999</v>
      </c>
      <c r="E29" s="691">
        <v>4.9726499999999998</v>
      </c>
      <c r="F29" s="692">
        <v>-0.15046885144700006</v>
      </c>
      <c r="H29" s="527"/>
      <c r="I29" s="708"/>
      <c r="J29" s="726"/>
      <c r="K29" s="726"/>
    </row>
    <row r="30" spans="1:11" s="400" customFormat="1" ht="10.5" customHeight="1">
      <c r="A30" s="556" t="s">
        <v>93</v>
      </c>
      <c r="B30" s="400" t="s">
        <v>409</v>
      </c>
      <c r="C30" s="557">
        <v>43.798760000000001</v>
      </c>
      <c r="D30" s="557">
        <v>45.59196</v>
      </c>
      <c r="E30" s="557">
        <v>43.798760000000001</v>
      </c>
      <c r="F30" s="567">
        <v>-6.8838571220798506E-2</v>
      </c>
      <c r="H30" s="527"/>
      <c r="I30" s="708"/>
      <c r="J30" s="726"/>
      <c r="K30" s="726"/>
    </row>
    <row r="31" spans="1:11" s="400" customFormat="1" ht="10.5" customHeight="1">
      <c r="A31" s="556"/>
      <c r="B31" s="400" t="s">
        <v>410</v>
      </c>
      <c r="C31" s="557">
        <v>171.56718000000001</v>
      </c>
      <c r="D31" s="557">
        <v>167.5307</v>
      </c>
      <c r="E31" s="557">
        <v>171.56718000000001</v>
      </c>
      <c r="F31" s="567">
        <v>0.5060550332510223</v>
      </c>
      <c r="H31" s="527"/>
      <c r="I31" s="708"/>
      <c r="J31" s="726"/>
      <c r="K31" s="726"/>
    </row>
    <row r="32" spans="1:11" s="400" customFormat="1" ht="10.5" customHeight="1">
      <c r="A32" s="556"/>
      <c r="B32" s="400" t="s">
        <v>411</v>
      </c>
      <c r="C32" s="557">
        <v>12.06982</v>
      </c>
      <c r="D32" s="557">
        <v>25.06419</v>
      </c>
      <c r="E32" s="557">
        <v>12.06982</v>
      </c>
      <c r="F32" s="567">
        <v>-0.51176786125139628</v>
      </c>
      <c r="H32" s="527"/>
      <c r="I32" s="708"/>
      <c r="J32" s="726"/>
      <c r="K32" s="726"/>
    </row>
    <row r="33" spans="1:11" s="400" customFormat="1" ht="10.5" customHeight="1">
      <c r="A33" s="556"/>
      <c r="B33" s="400" t="s">
        <v>412</v>
      </c>
      <c r="C33" s="557">
        <v>0</v>
      </c>
      <c r="D33" s="557">
        <v>0</v>
      </c>
      <c r="E33" s="557">
        <v>0</v>
      </c>
      <c r="F33" s="567" t="s">
        <v>627</v>
      </c>
      <c r="H33" s="527"/>
      <c r="I33" s="708"/>
      <c r="J33" s="726"/>
      <c r="K33" s="726"/>
    </row>
    <row r="34" spans="1:11" s="400" customFormat="1" ht="10.5" customHeight="1">
      <c r="A34" s="556"/>
      <c r="B34" s="400" t="s">
        <v>413</v>
      </c>
      <c r="C34" s="557">
        <v>33.883620000000001</v>
      </c>
      <c r="D34" s="557">
        <v>43.864350000000002</v>
      </c>
      <c r="E34" s="557">
        <v>33.883620000000001</v>
      </c>
      <c r="F34" s="567">
        <v>-3.313019033297282E-2</v>
      </c>
      <c r="H34" s="527"/>
      <c r="I34" s="708"/>
      <c r="J34" s="726"/>
      <c r="K34" s="726"/>
    </row>
    <row r="35" spans="1:11" s="400" customFormat="1" ht="10.5" customHeight="1">
      <c r="A35" s="556"/>
      <c r="B35" s="400" t="s">
        <v>414</v>
      </c>
      <c r="C35" s="557">
        <v>3.7958400000000001</v>
      </c>
      <c r="D35" s="557">
        <v>3.7612800000000002</v>
      </c>
      <c r="E35" s="557">
        <v>3.7958400000000001</v>
      </c>
      <c r="F35" s="567">
        <v>-0.32810236264348602</v>
      </c>
      <c r="H35" s="527"/>
      <c r="I35" s="708"/>
      <c r="J35" s="726"/>
      <c r="K35" s="726"/>
    </row>
    <row r="36" spans="1:11" s="400" customFormat="1" ht="10.5" customHeight="1">
      <c r="A36" s="556"/>
      <c r="B36" s="400" t="s">
        <v>415</v>
      </c>
      <c r="C36" s="557">
        <v>5.3906400000000003</v>
      </c>
      <c r="D36" s="557">
        <v>6.9274800000000001</v>
      </c>
      <c r="E36" s="557">
        <v>5.3906400000000003</v>
      </c>
      <c r="F36" s="567">
        <v>0.10716687481986775</v>
      </c>
      <c r="H36" s="527"/>
      <c r="I36" s="708"/>
      <c r="J36" s="726"/>
      <c r="K36" s="726"/>
    </row>
    <row r="37" spans="1:11" s="400" customFormat="1" ht="10.5" customHeight="1">
      <c r="A37" s="556"/>
      <c r="B37" s="400" t="s">
        <v>416</v>
      </c>
      <c r="C37" s="557">
        <v>0</v>
      </c>
      <c r="D37" s="557">
        <v>0</v>
      </c>
      <c r="E37" s="557">
        <v>0</v>
      </c>
      <c r="F37" s="567">
        <v>0.14202243061034214</v>
      </c>
      <c r="H37" s="527"/>
      <c r="I37" s="708"/>
      <c r="J37" s="726"/>
      <c r="K37" s="726"/>
    </row>
    <row r="38" spans="1:11" s="400" customFormat="1" ht="10.5" customHeight="1">
      <c r="A38" s="556"/>
      <c r="B38" s="400" t="s">
        <v>417</v>
      </c>
      <c r="C38" s="557">
        <v>2.0608</v>
      </c>
      <c r="D38" s="557">
        <v>2.4892399999999997</v>
      </c>
      <c r="E38" s="557">
        <v>2.0608</v>
      </c>
      <c r="F38" s="567">
        <v>-0.65452339428737083</v>
      </c>
      <c r="H38" s="527"/>
      <c r="I38" s="708"/>
      <c r="J38" s="726"/>
      <c r="K38" s="726"/>
    </row>
    <row r="39" spans="1:11" s="400" customFormat="1" ht="10.5" customHeight="1">
      <c r="A39" s="556"/>
      <c r="B39" s="400" t="s">
        <v>418</v>
      </c>
      <c r="C39" s="557">
        <v>0.49103999999999998</v>
      </c>
      <c r="D39" s="557">
        <v>0.53237000000000001</v>
      </c>
      <c r="E39" s="557">
        <v>0.49103999999999998</v>
      </c>
      <c r="F39" s="567" t="s">
        <v>627</v>
      </c>
      <c r="H39" s="527"/>
      <c r="I39" s="708"/>
      <c r="J39" s="726"/>
      <c r="K39" s="726"/>
    </row>
    <row r="40" spans="1:11" s="400" customFormat="1" ht="10.5" customHeight="1">
      <c r="A40" s="556"/>
      <c r="B40" s="400" t="s">
        <v>419</v>
      </c>
      <c r="C40" s="557">
        <v>0.34945999999999999</v>
      </c>
      <c r="D40" s="557">
        <v>0.39488000000000001</v>
      </c>
      <c r="E40" s="557">
        <v>0.34945999999999999</v>
      </c>
      <c r="F40" s="567" t="s">
        <v>627</v>
      </c>
      <c r="H40" s="527"/>
      <c r="I40" s="708"/>
      <c r="J40" s="726"/>
      <c r="K40" s="726"/>
    </row>
    <row r="41" spans="1:11" s="400" customFormat="1" ht="10.5" customHeight="1">
      <c r="A41" s="556"/>
      <c r="B41" s="400" t="s">
        <v>420</v>
      </c>
      <c r="C41" s="557">
        <v>106.45169</v>
      </c>
      <c r="D41" s="557">
        <v>56.452669999999998</v>
      </c>
      <c r="E41" s="557">
        <v>106.45169</v>
      </c>
      <c r="F41" s="567">
        <v>-0.21541260498085368</v>
      </c>
      <c r="H41" s="527"/>
      <c r="I41" s="708"/>
      <c r="J41" s="726"/>
      <c r="K41" s="726"/>
    </row>
    <row r="42" spans="1:11" s="400" customFormat="1" ht="10.5" customHeight="1">
      <c r="A42" s="687" t="s">
        <v>421</v>
      </c>
      <c r="B42" s="688"/>
      <c r="C42" s="691">
        <v>379.85885000000002</v>
      </c>
      <c r="D42" s="691">
        <v>352.60912000000002</v>
      </c>
      <c r="E42" s="691">
        <v>379.85885000000002</v>
      </c>
      <c r="F42" s="692">
        <v>1.9322261560722254E-2</v>
      </c>
      <c r="H42" s="527"/>
      <c r="I42" s="708"/>
      <c r="J42" s="726"/>
      <c r="K42" s="726"/>
    </row>
    <row r="43" spans="1:11" s="400" customFormat="1" ht="10.5" customHeight="1">
      <c r="A43" s="556" t="s">
        <v>112</v>
      </c>
      <c r="B43" s="400" t="s">
        <v>255</v>
      </c>
      <c r="C43" s="557">
        <v>0</v>
      </c>
      <c r="D43" s="557">
        <v>0</v>
      </c>
      <c r="E43" s="557">
        <v>0</v>
      </c>
      <c r="F43" s="567" t="s">
        <v>627</v>
      </c>
      <c r="H43" s="527"/>
      <c r="I43" s="708"/>
      <c r="J43" s="726"/>
      <c r="K43" s="726"/>
    </row>
    <row r="44" spans="1:11" s="400" customFormat="1" ht="10.5" customHeight="1">
      <c r="A44" s="687" t="s">
        <v>422</v>
      </c>
      <c r="B44" s="688"/>
      <c r="C44" s="691">
        <v>0</v>
      </c>
      <c r="D44" s="691">
        <v>0</v>
      </c>
      <c r="E44" s="691">
        <v>0</v>
      </c>
      <c r="F44" s="692" t="s">
        <v>627</v>
      </c>
      <c r="H44" s="527"/>
      <c r="I44" s="708"/>
      <c r="J44" s="726"/>
      <c r="K44" s="726"/>
    </row>
    <row r="45" spans="1:11" s="400" customFormat="1" ht="10.5" customHeight="1">
      <c r="A45" s="556" t="s">
        <v>103</v>
      </c>
      <c r="B45" s="400" t="s">
        <v>616</v>
      </c>
      <c r="C45" s="557">
        <v>284.49849</v>
      </c>
      <c r="D45" s="557">
        <v>150.69122999999999</v>
      </c>
      <c r="E45" s="557">
        <v>284.49849</v>
      </c>
      <c r="F45" s="567">
        <v>0.58184395766600128</v>
      </c>
      <c r="H45" s="527"/>
      <c r="I45" s="708"/>
      <c r="J45" s="726"/>
      <c r="K45" s="726"/>
    </row>
    <row r="46" spans="1:11" s="400" customFormat="1" ht="10.5" customHeight="1">
      <c r="A46" s="687" t="s">
        <v>423</v>
      </c>
      <c r="B46" s="688"/>
      <c r="C46" s="691">
        <v>284.49849</v>
      </c>
      <c r="D46" s="691">
        <v>150.69122999999999</v>
      </c>
      <c r="E46" s="691">
        <v>284.49849</v>
      </c>
      <c r="F46" s="692">
        <v>0.58184395766600128</v>
      </c>
      <c r="J46" s="726"/>
      <c r="K46" s="726"/>
    </row>
    <row r="47" spans="1:11" s="400" customFormat="1" ht="10.5" customHeight="1">
      <c r="A47" s="556" t="s">
        <v>108</v>
      </c>
      <c r="B47" s="400" t="s">
        <v>424</v>
      </c>
      <c r="C47" s="557">
        <v>0</v>
      </c>
      <c r="D47" s="557">
        <v>0</v>
      </c>
      <c r="E47" s="557">
        <v>0</v>
      </c>
      <c r="F47" s="567" t="s">
        <v>627</v>
      </c>
      <c r="H47" s="527"/>
      <c r="I47" s="708"/>
      <c r="J47" s="560"/>
      <c r="K47" s="560"/>
    </row>
    <row r="48" spans="1:11" s="400" customFormat="1" ht="10.5" customHeight="1">
      <c r="A48" s="687" t="s">
        <v>425</v>
      </c>
      <c r="B48" s="688"/>
      <c r="C48" s="691">
        <v>0</v>
      </c>
      <c r="D48" s="691">
        <v>0</v>
      </c>
      <c r="E48" s="691">
        <v>0</v>
      </c>
      <c r="F48" s="692" t="s">
        <v>627</v>
      </c>
    </row>
    <row r="49" spans="1:13" ht="6.75" customHeight="1">
      <c r="A49" s="750"/>
      <c r="B49" s="750"/>
      <c r="C49" s="751"/>
      <c r="D49" s="751"/>
      <c r="E49" s="751"/>
      <c r="F49" s="752"/>
      <c r="G49" s="574"/>
      <c r="H49" s="753"/>
    </row>
    <row r="50" spans="1:13" s="512" customFormat="1" ht="12" customHeight="1">
      <c r="A50" s="657" t="s">
        <v>496</v>
      </c>
      <c r="B50" s="679"/>
      <c r="C50" s="658">
        <v>6876.2924399999993</v>
      </c>
      <c r="D50" s="658">
        <v>6489.0350499999995</v>
      </c>
      <c r="E50" s="658">
        <v>6876.2924399999993</v>
      </c>
      <c r="F50" s="680">
        <f>+IF(D50=0,"",C50/D50-1)</f>
        <v>5.9678732972786142E-2</v>
      </c>
      <c r="G50" s="305"/>
      <c r="H50" s="305"/>
      <c r="I50" s="305"/>
      <c r="J50" s="305"/>
      <c r="K50" s="305"/>
      <c r="L50" s="305"/>
      <c r="M50" s="305"/>
    </row>
    <row r="51" spans="1:13" s="512" customFormat="1" ht="12" customHeight="1">
      <c r="A51" s="659" t="s">
        <v>426</v>
      </c>
      <c r="B51" s="660"/>
      <c r="C51" s="658">
        <v>0</v>
      </c>
      <c r="D51" s="658">
        <v>0</v>
      </c>
      <c r="E51" s="662">
        <v>0</v>
      </c>
      <c r="F51" s="681">
        <v>0</v>
      </c>
      <c r="G51" s="305"/>
      <c r="H51" s="305"/>
      <c r="I51" s="305"/>
      <c r="J51" s="305"/>
      <c r="K51" s="305"/>
      <c r="L51" s="305"/>
      <c r="M51" s="305"/>
    </row>
    <row r="52" spans="1:13" s="512" customFormat="1" ht="12" customHeight="1">
      <c r="A52" s="663" t="s">
        <v>427</v>
      </c>
      <c r="B52" s="664"/>
      <c r="C52" s="658">
        <v>0</v>
      </c>
      <c r="D52" s="658">
        <v>0</v>
      </c>
      <c r="E52" s="662">
        <v>0</v>
      </c>
      <c r="F52" s="681">
        <v>0</v>
      </c>
      <c r="G52" s="305"/>
      <c r="H52" s="305"/>
      <c r="I52" s="305"/>
      <c r="J52" s="305"/>
      <c r="K52" s="305"/>
      <c r="L52" s="305"/>
      <c r="M52" s="305"/>
    </row>
    <row r="53" spans="1:13" ht="12" customHeight="1">
      <c r="A53" s="400"/>
    </row>
    <row r="54" spans="1:13" ht="12" customHeight="1">
      <c r="A54" s="400"/>
    </row>
    <row r="55" spans="1:13" ht="12" customHeight="1">
      <c r="A55" s="400"/>
    </row>
    <row r="56" spans="1:13" ht="12" customHeight="1">
      <c r="A56" s="400"/>
    </row>
    <row r="57" spans="1:13" ht="12" customHeight="1">
      <c r="A57" s="400"/>
    </row>
    <row r="58" spans="1:13" ht="12" customHeight="1">
      <c r="A58" s="400"/>
    </row>
    <row r="59" spans="1:13" ht="12" customHeight="1">
      <c r="A59" s="400"/>
    </row>
    <row r="60" spans="1:13" ht="12" customHeight="1">
      <c r="A60" s="400"/>
    </row>
    <row r="61" spans="1:13" ht="12" customHeight="1">
      <c r="A61" s="400"/>
    </row>
    <row r="62" spans="1:13" ht="12" customHeight="1">
      <c r="A62" s="400"/>
    </row>
    <row r="63" spans="1:13" ht="12" customHeight="1">
      <c r="A63" s="400"/>
    </row>
    <row r="64" spans="1:13" ht="12" customHeight="1">
      <c r="A64" s="400"/>
    </row>
    <row r="65" spans="1:1" ht="12" customHeight="1">
      <c r="A65" s="400"/>
    </row>
    <row r="66" spans="1:1" ht="12" customHeight="1">
      <c r="A66" s="400"/>
    </row>
    <row r="67" spans="1:1" ht="12" customHeight="1">
      <c r="A67" s="400"/>
    </row>
  </sheetData>
  <mergeCells count="3">
    <mergeCell ref="A1:A4"/>
    <mergeCell ref="B1:B4"/>
    <mergeCell ref="C1:F1"/>
  </mergeCells>
  <pageMargins left="0.70866141732283472" right="0.70866141732283472" top="1.4311417322834645" bottom="0.62992125984251968" header="0.31496062992125984" footer="0.31496062992125984"/>
  <pageSetup paperSize="9" scale="95" orientation="portrait" r:id="rId1"/>
  <headerFooter>
    <oddHeader>&amp;R&amp;7Informe de la Operación Mensual - Enero 2019
INFSGI-MES-01-2019
13/02/2019
Versión: 01</oddHeader>
    <oddFooter>&amp;L&amp;7COES, 2019&amp;C23&amp;R&amp;7Dirección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4"/>
  </sheetPr>
  <dimension ref="A1:M66"/>
  <sheetViews>
    <sheetView showGridLines="0" view="pageBreakPreview" zoomScale="145" zoomScaleNormal="100" zoomScaleSheetLayoutView="145" zoomScalePageLayoutView="145" workbookViewId="0">
      <selection activeCell="M24" sqref="M24"/>
    </sheetView>
  </sheetViews>
  <sheetFormatPr defaultColWidth="9.33203125" defaultRowHeight="11.25"/>
  <cols>
    <col min="1" max="1" width="9.83203125" customWidth="1"/>
    <col min="2" max="2" width="6.6640625" customWidth="1"/>
    <col min="3" max="3" width="10.1640625" customWidth="1"/>
    <col min="4" max="5" width="12.1640625" customWidth="1"/>
    <col min="6" max="6" width="10" customWidth="1"/>
    <col min="7" max="7" width="6.5" customWidth="1"/>
    <col min="8" max="8" width="10.33203125" customWidth="1"/>
    <col min="9" max="10" width="12.1640625" customWidth="1"/>
    <col min="11" max="11" width="12" customWidth="1"/>
  </cols>
  <sheetData>
    <row r="1" spans="1:13" ht="11.25" customHeight="1"/>
    <row r="2" spans="1:13" ht="11.25" customHeight="1"/>
    <row r="3" spans="1:13" ht="16.5" customHeight="1">
      <c r="A3" s="315" t="s">
        <v>444</v>
      </c>
      <c r="B3" s="313"/>
    </row>
    <row r="4" spans="1:13" ht="11.25" customHeight="1">
      <c r="B4" s="313"/>
    </row>
    <row r="5" spans="1:13" ht="11.25" customHeight="1">
      <c r="A5" s="314" t="s">
        <v>530</v>
      </c>
      <c r="C5" s="740">
        <v>6876.2924400000002</v>
      </c>
    </row>
    <row r="6" spans="1:13" ht="11.25" customHeight="1">
      <c r="A6" s="314" t="s">
        <v>445</v>
      </c>
      <c r="C6" s="741" t="s">
        <v>800</v>
      </c>
    </row>
    <row r="7" spans="1:13" ht="11.25" customHeight="1">
      <c r="A7" s="314" t="s">
        <v>446</v>
      </c>
      <c r="C7" s="742" t="s">
        <v>579</v>
      </c>
    </row>
    <row r="8" spans="1:13" ht="11.25" customHeight="1"/>
    <row r="9" spans="1:13" ht="14.25" customHeight="1">
      <c r="A9" s="916" t="s">
        <v>437</v>
      </c>
      <c r="B9" s="917" t="s">
        <v>438</v>
      </c>
      <c r="C9" s="917"/>
      <c r="D9" s="917"/>
      <c r="E9" s="917"/>
      <c r="F9" s="917"/>
      <c r="G9" s="917" t="s">
        <v>439</v>
      </c>
      <c r="H9" s="917"/>
      <c r="I9" s="917"/>
      <c r="J9" s="917"/>
      <c r="K9" s="917"/>
    </row>
    <row r="10" spans="1:13" ht="26.25" customHeight="1">
      <c r="A10" s="916"/>
      <c r="B10" s="673" t="s">
        <v>440</v>
      </c>
      <c r="C10" s="673" t="s">
        <v>207</v>
      </c>
      <c r="D10" s="673" t="s">
        <v>426</v>
      </c>
      <c r="E10" s="673" t="s">
        <v>427</v>
      </c>
      <c r="F10" s="674" t="s">
        <v>443</v>
      </c>
      <c r="G10" s="673" t="s">
        <v>440</v>
      </c>
      <c r="H10" s="673" t="s">
        <v>207</v>
      </c>
      <c r="I10" s="673" t="s">
        <v>426</v>
      </c>
      <c r="J10" s="673" t="s">
        <v>427</v>
      </c>
      <c r="K10" s="674" t="s">
        <v>443</v>
      </c>
      <c r="L10" s="36"/>
      <c r="M10" s="46"/>
    </row>
    <row r="11" spans="1:13" ht="11.25" customHeight="1">
      <c r="A11" s="916"/>
      <c r="B11" s="673" t="s">
        <v>441</v>
      </c>
      <c r="C11" s="673" t="s">
        <v>442</v>
      </c>
      <c r="D11" s="673" t="s">
        <v>442</v>
      </c>
      <c r="E11" s="673" t="s">
        <v>442</v>
      </c>
      <c r="F11" s="673" t="s">
        <v>442</v>
      </c>
      <c r="G11" s="673" t="s">
        <v>441</v>
      </c>
      <c r="H11" s="673" t="s">
        <v>442</v>
      </c>
      <c r="I11" s="673" t="s">
        <v>442</v>
      </c>
      <c r="J11" s="673" t="s">
        <v>442</v>
      </c>
      <c r="K11" s="673" t="s">
        <v>442</v>
      </c>
      <c r="L11" s="36"/>
      <c r="M11" s="46"/>
    </row>
    <row r="12" spans="1:13" ht="11.25" customHeight="1">
      <c r="A12" s="409" t="s">
        <v>801</v>
      </c>
      <c r="B12" s="754" t="s">
        <v>802</v>
      </c>
      <c r="C12" s="310">
        <v>5554.0977400000002</v>
      </c>
      <c r="D12" s="310">
        <v>0</v>
      </c>
      <c r="E12" s="310">
        <v>0</v>
      </c>
      <c r="F12" s="310">
        <v>5554.0977400000002</v>
      </c>
      <c r="G12" s="754" t="s">
        <v>536</v>
      </c>
      <c r="H12" s="310">
        <v>5863.1623</v>
      </c>
      <c r="I12" s="310">
        <v>0</v>
      </c>
      <c r="J12" s="310">
        <v>0</v>
      </c>
      <c r="K12" s="310">
        <v>5863.1623</v>
      </c>
      <c r="L12" s="211"/>
      <c r="M12" s="46"/>
    </row>
    <row r="13" spans="1:13" ht="11.25" customHeight="1">
      <c r="A13" s="409" t="s">
        <v>803</v>
      </c>
      <c r="B13" s="755" t="s">
        <v>597</v>
      </c>
      <c r="C13" s="311">
        <v>6533.2039000000004</v>
      </c>
      <c r="D13" s="311">
        <v>0</v>
      </c>
      <c r="E13" s="311">
        <v>0</v>
      </c>
      <c r="F13" s="311">
        <v>6533.2039000000004</v>
      </c>
      <c r="G13" s="755" t="s">
        <v>501</v>
      </c>
      <c r="H13" s="311">
        <v>6669.0724600000003</v>
      </c>
      <c r="I13" s="311">
        <v>0</v>
      </c>
      <c r="J13" s="311">
        <v>0</v>
      </c>
      <c r="K13" s="311">
        <v>6669.0724600000003</v>
      </c>
      <c r="L13" s="5"/>
    </row>
    <row r="14" spans="1:13" ht="11.25" customHeight="1">
      <c r="A14" s="409" t="s">
        <v>804</v>
      </c>
      <c r="B14" s="755" t="s">
        <v>569</v>
      </c>
      <c r="C14" s="311">
        <v>6492.4672499999997</v>
      </c>
      <c r="D14" s="311">
        <v>0</v>
      </c>
      <c r="E14" s="311">
        <v>0</v>
      </c>
      <c r="F14" s="311">
        <v>6492.4672499999997</v>
      </c>
      <c r="G14" s="755" t="s">
        <v>579</v>
      </c>
      <c r="H14" s="311">
        <v>6600.2385700000004</v>
      </c>
      <c r="I14" s="311">
        <v>0</v>
      </c>
      <c r="J14" s="311">
        <v>0</v>
      </c>
      <c r="K14" s="311">
        <v>6600.2385700000004</v>
      </c>
      <c r="L14" s="15"/>
    </row>
    <row r="15" spans="1:13" ht="11.25" customHeight="1">
      <c r="A15" s="409" t="s">
        <v>805</v>
      </c>
      <c r="B15" s="755" t="s">
        <v>596</v>
      </c>
      <c r="C15" s="311">
        <v>6627.4747299999999</v>
      </c>
      <c r="D15" s="311">
        <v>0</v>
      </c>
      <c r="E15" s="311">
        <v>0</v>
      </c>
      <c r="F15" s="311">
        <v>6627.4747299999999</v>
      </c>
      <c r="G15" s="755" t="s">
        <v>579</v>
      </c>
      <c r="H15" s="311">
        <v>6741.8420599999999</v>
      </c>
      <c r="I15" s="311">
        <v>0</v>
      </c>
      <c r="J15" s="311">
        <v>0</v>
      </c>
      <c r="K15" s="311">
        <v>6741.8420599999999</v>
      </c>
      <c r="L15" s="12"/>
    </row>
    <row r="16" spans="1:13" ht="11.25" customHeight="1">
      <c r="A16" s="409" t="s">
        <v>806</v>
      </c>
      <c r="B16" s="755" t="s">
        <v>533</v>
      </c>
      <c r="C16" s="311">
        <v>6536.9938199999997</v>
      </c>
      <c r="D16" s="311">
        <v>0</v>
      </c>
      <c r="E16" s="311">
        <v>0</v>
      </c>
      <c r="F16" s="311">
        <v>6536.9938199999997</v>
      </c>
      <c r="G16" s="755" t="s">
        <v>501</v>
      </c>
      <c r="H16" s="311">
        <v>6600.0369000000001</v>
      </c>
      <c r="I16" s="311">
        <v>0</v>
      </c>
      <c r="J16" s="311">
        <v>0</v>
      </c>
      <c r="K16" s="311">
        <v>6600.0369000000001</v>
      </c>
      <c r="L16" s="22"/>
    </row>
    <row r="17" spans="1:12" ht="11.25" customHeight="1">
      <c r="A17" s="409" t="s">
        <v>807</v>
      </c>
      <c r="B17" s="755" t="s">
        <v>802</v>
      </c>
      <c r="C17" s="311">
        <v>5795.3662700000004</v>
      </c>
      <c r="D17" s="311">
        <v>0</v>
      </c>
      <c r="E17" s="311">
        <v>0</v>
      </c>
      <c r="F17" s="311">
        <v>5795.3662700000004</v>
      </c>
      <c r="G17" s="755" t="s">
        <v>501</v>
      </c>
      <c r="H17" s="311">
        <v>6464.2758899999999</v>
      </c>
      <c r="I17" s="311">
        <v>0</v>
      </c>
      <c r="J17" s="311">
        <v>0</v>
      </c>
      <c r="K17" s="311">
        <v>6464.2758899999999</v>
      </c>
      <c r="L17" s="22"/>
    </row>
    <row r="18" spans="1:12" ht="11.25" customHeight="1">
      <c r="A18" s="409" t="s">
        <v>808</v>
      </c>
      <c r="B18" s="755" t="s">
        <v>809</v>
      </c>
      <c r="C18" s="311">
        <v>6798.18037</v>
      </c>
      <c r="D18" s="311">
        <v>0</v>
      </c>
      <c r="E18" s="311">
        <v>0</v>
      </c>
      <c r="F18" s="311">
        <v>6798.18037</v>
      </c>
      <c r="G18" s="755" t="s">
        <v>579</v>
      </c>
      <c r="H18" s="311">
        <v>6799.1480899999997</v>
      </c>
      <c r="I18" s="311">
        <v>0</v>
      </c>
      <c r="J18" s="311">
        <v>0</v>
      </c>
      <c r="K18" s="311">
        <v>6799.1480899999997</v>
      </c>
      <c r="L18" s="22"/>
    </row>
    <row r="19" spans="1:12" ht="11.25" customHeight="1">
      <c r="A19" s="409" t="s">
        <v>810</v>
      </c>
      <c r="B19" s="755" t="s">
        <v>596</v>
      </c>
      <c r="C19" s="311">
        <v>6782.3518000000004</v>
      </c>
      <c r="D19" s="311">
        <v>0</v>
      </c>
      <c r="E19" s="311">
        <v>0</v>
      </c>
      <c r="F19" s="311">
        <v>6782.3518000000004</v>
      </c>
      <c r="G19" s="755" t="s">
        <v>501</v>
      </c>
      <c r="H19" s="311">
        <v>6778.4985800000004</v>
      </c>
      <c r="I19" s="311">
        <v>0</v>
      </c>
      <c r="J19" s="311">
        <v>0</v>
      </c>
      <c r="K19" s="311">
        <v>6778.4985800000004</v>
      </c>
      <c r="L19" s="22"/>
    </row>
    <row r="20" spans="1:12" ht="11.25" customHeight="1">
      <c r="A20" s="409" t="s">
        <v>811</v>
      </c>
      <c r="B20" s="755" t="s">
        <v>809</v>
      </c>
      <c r="C20" s="311">
        <v>6871.9592499999999</v>
      </c>
      <c r="D20" s="311">
        <v>0</v>
      </c>
      <c r="E20" s="311">
        <v>0</v>
      </c>
      <c r="F20" s="311">
        <v>6871.9592499999999</v>
      </c>
      <c r="G20" s="755" t="s">
        <v>579</v>
      </c>
      <c r="H20" s="311">
        <v>6734.076</v>
      </c>
      <c r="I20" s="311">
        <v>0</v>
      </c>
      <c r="J20" s="311">
        <v>0</v>
      </c>
      <c r="K20" s="311">
        <v>6734.076</v>
      </c>
      <c r="L20" s="24"/>
    </row>
    <row r="21" spans="1:12" ht="11.25" customHeight="1">
      <c r="A21" s="409" t="s">
        <v>812</v>
      </c>
      <c r="B21" s="755" t="s">
        <v>502</v>
      </c>
      <c r="C21" s="311">
        <v>6860.3450000000003</v>
      </c>
      <c r="D21" s="311">
        <v>0</v>
      </c>
      <c r="E21" s="311">
        <v>0</v>
      </c>
      <c r="F21" s="311">
        <v>6860.3450000000003</v>
      </c>
      <c r="G21" s="755" t="s">
        <v>500</v>
      </c>
      <c r="H21" s="311">
        <v>6742.7272400000002</v>
      </c>
      <c r="I21" s="311">
        <v>0</v>
      </c>
      <c r="J21" s="311">
        <v>0</v>
      </c>
      <c r="K21" s="311">
        <v>6742.7272400000002</v>
      </c>
      <c r="L21" s="22"/>
    </row>
    <row r="22" spans="1:12" ht="11.25" customHeight="1">
      <c r="A22" s="409" t="s">
        <v>813</v>
      </c>
      <c r="B22" s="755" t="s">
        <v>568</v>
      </c>
      <c r="C22" s="311">
        <v>6658.3076899999996</v>
      </c>
      <c r="D22" s="311">
        <v>0</v>
      </c>
      <c r="E22" s="311">
        <v>0</v>
      </c>
      <c r="F22" s="311">
        <v>6658.3076899999996</v>
      </c>
      <c r="G22" s="755" t="s">
        <v>536</v>
      </c>
      <c r="H22" s="311">
        <v>6677.7981399999999</v>
      </c>
      <c r="I22" s="311">
        <v>0</v>
      </c>
      <c r="J22" s="311">
        <v>0</v>
      </c>
      <c r="K22" s="311">
        <v>6677.7981399999999</v>
      </c>
      <c r="L22" s="22"/>
    </row>
    <row r="23" spans="1:12" ht="11.25" customHeight="1">
      <c r="A23" s="409" t="s">
        <v>814</v>
      </c>
      <c r="B23" s="755" t="s">
        <v>502</v>
      </c>
      <c r="C23" s="311">
        <v>6527.9615599999997</v>
      </c>
      <c r="D23" s="311">
        <v>0</v>
      </c>
      <c r="E23" s="311">
        <v>0</v>
      </c>
      <c r="F23" s="311">
        <v>6527.9615599999997</v>
      </c>
      <c r="G23" s="755" t="s">
        <v>567</v>
      </c>
      <c r="H23" s="311">
        <v>6776.7531399999998</v>
      </c>
      <c r="I23" s="311">
        <v>0</v>
      </c>
      <c r="J23" s="311">
        <v>0</v>
      </c>
      <c r="K23" s="311">
        <v>6776.7531399999998</v>
      </c>
      <c r="L23" s="22"/>
    </row>
    <row r="24" spans="1:12" ht="11.25" customHeight="1">
      <c r="A24" s="409" t="s">
        <v>815</v>
      </c>
      <c r="B24" s="755" t="s">
        <v>845</v>
      </c>
      <c r="C24" s="311">
        <v>5783.4290099999998</v>
      </c>
      <c r="D24" s="311">
        <v>0</v>
      </c>
      <c r="E24" s="311">
        <v>0</v>
      </c>
      <c r="F24" s="311">
        <v>5783.4290099999998</v>
      </c>
      <c r="G24" s="755" t="s">
        <v>578</v>
      </c>
      <c r="H24" s="311">
        <v>6491.5047800000002</v>
      </c>
      <c r="I24" s="311">
        <v>0</v>
      </c>
      <c r="J24" s="311">
        <v>0</v>
      </c>
      <c r="K24" s="311">
        <v>6491.5047800000002</v>
      </c>
      <c r="L24" s="22"/>
    </row>
    <row r="25" spans="1:12" ht="11.25" customHeight="1">
      <c r="A25" s="409" t="s">
        <v>816</v>
      </c>
      <c r="B25" s="755" t="s">
        <v>533</v>
      </c>
      <c r="C25" s="311">
        <v>6654.0930099999996</v>
      </c>
      <c r="D25" s="311">
        <v>0</v>
      </c>
      <c r="E25" s="311">
        <v>0</v>
      </c>
      <c r="F25" s="311">
        <v>6654.0930099999996</v>
      </c>
      <c r="G25" s="755" t="s">
        <v>501</v>
      </c>
      <c r="H25" s="311">
        <v>6676.4665000000005</v>
      </c>
      <c r="I25" s="311">
        <v>0</v>
      </c>
      <c r="J25" s="311">
        <v>0</v>
      </c>
      <c r="K25" s="311">
        <v>6676.4665000000005</v>
      </c>
      <c r="L25" s="22"/>
    </row>
    <row r="26" spans="1:12" ht="11.25" customHeight="1">
      <c r="A26" s="409" t="s">
        <v>817</v>
      </c>
      <c r="B26" s="755" t="s">
        <v>533</v>
      </c>
      <c r="C26" s="311">
        <v>6786.68163</v>
      </c>
      <c r="D26" s="311">
        <v>0</v>
      </c>
      <c r="E26" s="311">
        <v>0</v>
      </c>
      <c r="F26" s="311">
        <v>6786.68163</v>
      </c>
      <c r="G26" s="755" t="s">
        <v>500</v>
      </c>
      <c r="H26" s="311">
        <v>6712.0054399999999</v>
      </c>
      <c r="I26" s="311">
        <v>0</v>
      </c>
      <c r="J26" s="311">
        <v>0</v>
      </c>
      <c r="K26" s="311">
        <v>6712.0054399999999</v>
      </c>
      <c r="L26" s="22"/>
    </row>
    <row r="27" spans="1:12" ht="11.25" customHeight="1">
      <c r="A27" s="409" t="s">
        <v>818</v>
      </c>
      <c r="B27" s="755" t="s">
        <v>596</v>
      </c>
      <c r="C27" s="311">
        <v>6756.3369899999998</v>
      </c>
      <c r="D27" s="311">
        <v>0</v>
      </c>
      <c r="E27" s="311">
        <v>0</v>
      </c>
      <c r="F27" s="311">
        <v>6756.3369899999998</v>
      </c>
      <c r="G27" s="755" t="s">
        <v>579</v>
      </c>
      <c r="H27" s="311">
        <v>6677.6268700000001</v>
      </c>
      <c r="I27" s="311">
        <v>0</v>
      </c>
      <c r="J27" s="311">
        <v>0</v>
      </c>
      <c r="K27" s="311">
        <v>6677.6268700000001</v>
      </c>
      <c r="L27" s="22"/>
    </row>
    <row r="28" spans="1:12" ht="11.25" customHeight="1">
      <c r="A28" s="409" t="s">
        <v>819</v>
      </c>
      <c r="B28" s="755" t="s">
        <v>533</v>
      </c>
      <c r="C28" s="311">
        <v>6698.4407899999997</v>
      </c>
      <c r="D28" s="311">
        <v>0</v>
      </c>
      <c r="E28" s="311">
        <v>0</v>
      </c>
      <c r="F28" s="311">
        <v>6698.4407899999997</v>
      </c>
      <c r="G28" s="755" t="s">
        <v>501</v>
      </c>
      <c r="H28" s="311">
        <v>6696.5039900000002</v>
      </c>
      <c r="I28" s="311">
        <v>0</v>
      </c>
      <c r="J28" s="311">
        <v>0</v>
      </c>
      <c r="K28" s="311">
        <v>6696.5039900000002</v>
      </c>
      <c r="L28" s="30"/>
    </row>
    <row r="29" spans="1:12" ht="11.25" customHeight="1">
      <c r="A29" s="409" t="s">
        <v>820</v>
      </c>
      <c r="B29" s="755" t="s">
        <v>533</v>
      </c>
      <c r="C29" s="311">
        <v>6657.7582499999999</v>
      </c>
      <c r="D29" s="311">
        <v>0</v>
      </c>
      <c r="E29" s="311">
        <v>0</v>
      </c>
      <c r="F29" s="311">
        <v>6657.7582499999999</v>
      </c>
      <c r="G29" s="755" t="s">
        <v>501</v>
      </c>
      <c r="H29" s="311">
        <v>6687.8105599999999</v>
      </c>
      <c r="I29" s="311">
        <v>0</v>
      </c>
      <c r="J29" s="311">
        <v>0</v>
      </c>
      <c r="K29" s="311">
        <v>6687.8105599999999</v>
      </c>
      <c r="L29" s="22"/>
    </row>
    <row r="30" spans="1:12" ht="11.25" customHeight="1">
      <c r="A30" s="409" t="s">
        <v>821</v>
      </c>
      <c r="B30" s="755" t="s">
        <v>502</v>
      </c>
      <c r="C30" s="311">
        <v>6489.1551900000004</v>
      </c>
      <c r="D30" s="311">
        <v>0</v>
      </c>
      <c r="E30" s="311">
        <v>0</v>
      </c>
      <c r="F30" s="311">
        <v>6489.1551900000004</v>
      </c>
      <c r="G30" s="755" t="s">
        <v>536</v>
      </c>
      <c r="H30" s="311">
        <v>6657.4721399999999</v>
      </c>
      <c r="I30" s="311">
        <v>0</v>
      </c>
      <c r="J30" s="311">
        <v>0</v>
      </c>
      <c r="K30" s="311">
        <v>6657.4721399999999</v>
      </c>
      <c r="L30" s="22"/>
    </row>
    <row r="31" spans="1:12" ht="11.25" customHeight="1">
      <c r="A31" s="409" t="s">
        <v>822</v>
      </c>
      <c r="B31" s="755" t="s">
        <v>845</v>
      </c>
      <c r="C31" s="311">
        <v>5805.4916999999996</v>
      </c>
      <c r="D31" s="311">
        <v>0</v>
      </c>
      <c r="E31" s="311">
        <v>0</v>
      </c>
      <c r="F31" s="311">
        <v>5805.4916999999996</v>
      </c>
      <c r="G31" s="755" t="s">
        <v>567</v>
      </c>
      <c r="H31" s="311">
        <v>6460.2432500000004</v>
      </c>
      <c r="I31" s="311">
        <v>0</v>
      </c>
      <c r="J31" s="311">
        <v>0</v>
      </c>
      <c r="K31" s="311">
        <v>6460.2432500000004</v>
      </c>
      <c r="L31" s="15"/>
    </row>
    <row r="32" spans="1:12" ht="11.25" customHeight="1">
      <c r="A32" s="409" t="s">
        <v>823</v>
      </c>
      <c r="B32" s="755" t="s">
        <v>809</v>
      </c>
      <c r="C32" s="311">
        <v>6740.6686600000003</v>
      </c>
      <c r="D32" s="311">
        <v>0</v>
      </c>
      <c r="E32" s="311">
        <v>0</v>
      </c>
      <c r="F32" s="311">
        <v>6740.6686600000003</v>
      </c>
      <c r="G32" s="755" t="s">
        <v>501</v>
      </c>
      <c r="H32" s="311">
        <v>6785.63202</v>
      </c>
      <c r="I32" s="311">
        <v>0</v>
      </c>
      <c r="J32" s="311">
        <v>0</v>
      </c>
      <c r="K32" s="311">
        <v>6785.63202</v>
      </c>
      <c r="L32" s="16"/>
    </row>
    <row r="33" spans="1:12" ht="11.25" customHeight="1">
      <c r="A33" s="409" t="s">
        <v>824</v>
      </c>
      <c r="B33" s="755" t="s">
        <v>569</v>
      </c>
      <c r="C33" s="311">
        <v>6802.6896500000003</v>
      </c>
      <c r="D33" s="311">
        <v>0</v>
      </c>
      <c r="E33" s="311">
        <v>0</v>
      </c>
      <c r="F33" s="311">
        <v>6802.6896500000003</v>
      </c>
      <c r="G33" s="755" t="s">
        <v>500</v>
      </c>
      <c r="H33" s="311">
        <v>6722.0289700000003</v>
      </c>
      <c r="I33" s="311">
        <v>0</v>
      </c>
      <c r="J33" s="311">
        <v>0</v>
      </c>
      <c r="K33" s="311">
        <v>6722.0289700000003</v>
      </c>
      <c r="L33" s="15"/>
    </row>
    <row r="34" spans="1:12" ht="11.25" customHeight="1">
      <c r="A34" s="409" t="s">
        <v>825</v>
      </c>
      <c r="B34" s="755" t="s">
        <v>597</v>
      </c>
      <c r="C34" s="311">
        <v>6744.81513</v>
      </c>
      <c r="D34" s="311">
        <v>0</v>
      </c>
      <c r="E34" s="311">
        <v>0</v>
      </c>
      <c r="F34" s="311">
        <v>6744.81513</v>
      </c>
      <c r="G34" s="755" t="s">
        <v>579</v>
      </c>
      <c r="H34" s="311">
        <v>6778.7796099999996</v>
      </c>
      <c r="I34" s="311">
        <v>0</v>
      </c>
      <c r="J34" s="311">
        <v>0</v>
      </c>
      <c r="K34" s="311">
        <v>6778.7796099999996</v>
      </c>
      <c r="L34" s="15"/>
    </row>
    <row r="35" spans="1:12" ht="11.25" customHeight="1">
      <c r="A35" s="409" t="s">
        <v>826</v>
      </c>
      <c r="B35" s="755" t="s">
        <v>533</v>
      </c>
      <c r="C35" s="311">
        <v>6842.4899699999996</v>
      </c>
      <c r="D35" s="311">
        <v>0</v>
      </c>
      <c r="E35" s="311">
        <v>0</v>
      </c>
      <c r="F35" s="311">
        <v>6842.4899699999996</v>
      </c>
      <c r="G35" s="755" t="s">
        <v>827</v>
      </c>
      <c r="H35" s="311">
        <v>6850.8046599999998</v>
      </c>
      <c r="I35" s="311">
        <v>0</v>
      </c>
      <c r="J35" s="311">
        <v>0</v>
      </c>
      <c r="K35" s="311">
        <v>6850.8046599999998</v>
      </c>
      <c r="L35" s="22"/>
    </row>
    <row r="36" spans="1:12" ht="11.25" customHeight="1">
      <c r="A36" s="409" t="s">
        <v>828</v>
      </c>
      <c r="B36" s="755" t="s">
        <v>502</v>
      </c>
      <c r="C36" s="311">
        <v>6955.3355000000001</v>
      </c>
      <c r="D36" s="311">
        <v>0</v>
      </c>
      <c r="E36" s="311">
        <v>0</v>
      </c>
      <c r="F36" s="311">
        <v>6955.3355000000001</v>
      </c>
      <c r="G36" s="755" t="s">
        <v>501</v>
      </c>
      <c r="H36" s="311">
        <v>6863.7085699999998</v>
      </c>
      <c r="I36" s="311">
        <v>0</v>
      </c>
      <c r="J36" s="311">
        <v>0</v>
      </c>
      <c r="K36" s="311">
        <v>6863.7085699999998</v>
      </c>
      <c r="L36" s="22"/>
    </row>
    <row r="37" spans="1:12" ht="11.25" customHeight="1">
      <c r="A37" s="409" t="s">
        <v>829</v>
      </c>
      <c r="B37" s="755" t="s">
        <v>503</v>
      </c>
      <c r="C37" s="311">
        <v>6744.3185599999997</v>
      </c>
      <c r="D37" s="311">
        <v>0</v>
      </c>
      <c r="E37" s="311">
        <v>0</v>
      </c>
      <c r="F37" s="311">
        <v>6744.3185599999997</v>
      </c>
      <c r="G37" s="755" t="s">
        <v>536</v>
      </c>
      <c r="H37" s="311">
        <v>6743.4060499999996</v>
      </c>
      <c r="I37" s="311">
        <v>0</v>
      </c>
      <c r="J37" s="311">
        <v>0</v>
      </c>
      <c r="K37" s="311">
        <v>6743.4060499999996</v>
      </c>
      <c r="L37" s="22"/>
    </row>
    <row r="38" spans="1:12" ht="11.25" customHeight="1">
      <c r="A38" s="409" t="s">
        <v>830</v>
      </c>
      <c r="B38" s="755" t="s">
        <v>845</v>
      </c>
      <c r="C38" s="311">
        <v>5877.6656199999998</v>
      </c>
      <c r="D38" s="311">
        <v>0</v>
      </c>
      <c r="E38" s="311">
        <v>0</v>
      </c>
      <c r="F38" s="311">
        <v>5877.6656199999998</v>
      </c>
      <c r="G38" s="755" t="s">
        <v>567</v>
      </c>
      <c r="H38" s="311">
        <v>6608.3965399999997</v>
      </c>
      <c r="I38" s="311">
        <v>0</v>
      </c>
      <c r="J38" s="311">
        <v>0</v>
      </c>
      <c r="K38" s="311">
        <v>6608.3965399999997</v>
      </c>
      <c r="L38" s="22"/>
    </row>
    <row r="39" spans="1:12" ht="11.25" customHeight="1">
      <c r="A39" s="409" t="s">
        <v>831</v>
      </c>
      <c r="B39" s="755" t="s">
        <v>832</v>
      </c>
      <c r="C39" s="311">
        <v>6904.6860200000001</v>
      </c>
      <c r="D39" s="311">
        <v>0</v>
      </c>
      <c r="E39" s="311">
        <v>0</v>
      </c>
      <c r="F39" s="311">
        <v>6904.6860200000001</v>
      </c>
      <c r="G39" s="755" t="s">
        <v>501</v>
      </c>
      <c r="H39" s="311">
        <v>6832.98974</v>
      </c>
      <c r="I39" s="311">
        <v>0</v>
      </c>
      <c r="J39" s="311">
        <v>0</v>
      </c>
      <c r="K39" s="311">
        <v>6832.98974</v>
      </c>
      <c r="L39" s="22"/>
    </row>
    <row r="40" spans="1:12" ht="11.25" customHeight="1">
      <c r="A40" s="409" t="s">
        <v>800</v>
      </c>
      <c r="B40" s="756" t="s">
        <v>596</v>
      </c>
      <c r="C40" s="312">
        <v>7006.35034</v>
      </c>
      <c r="D40" s="312">
        <v>0</v>
      </c>
      <c r="E40" s="312">
        <v>0</v>
      </c>
      <c r="F40" s="312">
        <v>7006.35034</v>
      </c>
      <c r="G40" s="756" t="s">
        <v>579</v>
      </c>
      <c r="H40" s="312">
        <v>6876.2924400000002</v>
      </c>
      <c r="I40" s="312">
        <v>0</v>
      </c>
      <c r="J40" s="312">
        <v>0</v>
      </c>
      <c r="K40" s="312">
        <v>6876.2924400000002</v>
      </c>
      <c r="L40" s="22"/>
    </row>
    <row r="41" spans="1:12" ht="11.25" customHeight="1">
      <c r="A41" s="409" t="s">
        <v>833</v>
      </c>
      <c r="B41" s="755" t="s">
        <v>809</v>
      </c>
      <c r="C41" s="311">
        <v>6911.2525699999997</v>
      </c>
      <c r="D41" s="311">
        <v>0</v>
      </c>
      <c r="E41" s="311">
        <v>0</v>
      </c>
      <c r="F41" s="311">
        <v>6911.2525699999997</v>
      </c>
      <c r="G41" s="755" t="s">
        <v>579</v>
      </c>
      <c r="H41" s="311">
        <v>6858.5564100000001</v>
      </c>
      <c r="I41" s="311">
        <v>0</v>
      </c>
      <c r="J41" s="311">
        <v>0</v>
      </c>
      <c r="K41" s="311">
        <v>6858.5564100000001</v>
      </c>
      <c r="L41" s="22"/>
    </row>
    <row r="42" spans="1:12" ht="11.25" customHeight="1">
      <c r="A42" s="409" t="s">
        <v>834</v>
      </c>
      <c r="B42" s="755" t="s">
        <v>502</v>
      </c>
      <c r="C42" s="311">
        <v>6801.1889300000003</v>
      </c>
      <c r="D42" s="311">
        <v>0</v>
      </c>
      <c r="E42" s="311">
        <v>0</v>
      </c>
      <c r="F42" s="311">
        <v>6801.1889300000003</v>
      </c>
      <c r="G42" s="755" t="s">
        <v>567</v>
      </c>
      <c r="H42" s="311">
        <v>6834.5673399999996</v>
      </c>
      <c r="I42" s="311">
        <v>0</v>
      </c>
      <c r="J42" s="311">
        <v>0</v>
      </c>
      <c r="K42" s="311">
        <v>6834.5673399999996</v>
      </c>
      <c r="L42" s="22"/>
    </row>
    <row r="43" spans="1:12" ht="11.25" customHeight="1">
      <c r="A43" s="202"/>
      <c r="B43" s="202"/>
      <c r="C43" s="202"/>
      <c r="D43" s="202"/>
      <c r="E43" s="202"/>
      <c r="F43" s="202"/>
      <c r="G43" s="202"/>
      <c r="H43" s="202"/>
      <c r="I43" s="202"/>
      <c r="J43" s="202"/>
      <c r="K43" s="204"/>
      <c r="L43" s="22"/>
    </row>
    <row r="44" spans="1:12" ht="11.25" customHeight="1">
      <c r="A44" s="889" t="s">
        <v>490</v>
      </c>
      <c r="B44" s="889"/>
      <c r="C44" s="889"/>
      <c r="D44" s="889"/>
      <c r="E44" s="889"/>
      <c r="F44" s="889"/>
      <c r="G44" s="889"/>
      <c r="H44" s="889"/>
      <c r="I44" s="889"/>
      <c r="J44" s="889"/>
      <c r="K44" s="889"/>
      <c r="L44" s="22"/>
    </row>
    <row r="45" spans="1:12" ht="11.25" customHeight="1">
      <c r="A45" s="202"/>
      <c r="B45" s="202"/>
      <c r="C45" s="202"/>
      <c r="D45" s="202"/>
      <c r="E45" s="202"/>
      <c r="F45" s="202"/>
      <c r="G45" s="202"/>
      <c r="H45" s="202"/>
      <c r="I45" s="202"/>
      <c r="J45" s="202"/>
      <c r="K45" s="204"/>
      <c r="L45" s="22"/>
    </row>
    <row r="46" spans="1:12" ht="11.25" customHeight="1">
      <c r="A46" s="202"/>
      <c r="B46" s="202"/>
      <c r="C46" s="202"/>
      <c r="D46" s="202"/>
      <c r="E46" s="202"/>
      <c r="F46" s="202"/>
      <c r="G46" s="202"/>
      <c r="H46" s="202"/>
      <c r="I46" s="202"/>
      <c r="J46" s="202"/>
      <c r="K46" s="205"/>
      <c r="L46" s="11"/>
    </row>
    <row r="47" spans="1:12" ht="11.25" customHeight="1">
      <c r="A47" s="202"/>
      <c r="B47" s="202"/>
      <c r="C47" s="202"/>
      <c r="D47" s="202"/>
      <c r="E47" s="202"/>
      <c r="F47" s="202"/>
      <c r="G47" s="202"/>
      <c r="H47" s="202"/>
      <c r="I47" s="202"/>
      <c r="J47" s="202"/>
      <c r="K47" s="205"/>
      <c r="L47" s="11"/>
    </row>
    <row r="48" spans="1:12" ht="11.25" customHeight="1">
      <c r="A48" s="202"/>
      <c r="B48" s="202"/>
      <c r="C48" s="202"/>
      <c r="D48" s="202"/>
      <c r="E48" s="202"/>
      <c r="F48" s="202"/>
      <c r="G48" s="202"/>
      <c r="H48" s="202"/>
      <c r="I48" s="202"/>
      <c r="J48" s="202"/>
      <c r="K48" s="205"/>
      <c r="L48" s="11"/>
    </row>
    <row r="49" spans="1:11" ht="11.25" customHeight="1">
      <c r="A49" s="202"/>
      <c r="B49" s="202"/>
      <c r="C49" s="202"/>
      <c r="D49" s="202"/>
      <c r="E49" s="202"/>
      <c r="F49" s="202"/>
      <c r="G49" s="202"/>
      <c r="H49" s="202"/>
      <c r="I49" s="202"/>
      <c r="J49" s="202"/>
      <c r="K49" s="204"/>
    </row>
    <row r="50" spans="1:11" ht="11.25" customHeight="1">
      <c r="A50" s="202"/>
      <c r="B50" s="202"/>
      <c r="C50" s="202"/>
      <c r="D50" s="202"/>
      <c r="E50" s="202"/>
      <c r="F50" s="202"/>
      <c r="G50" s="202"/>
      <c r="H50" s="202"/>
      <c r="I50" s="202"/>
      <c r="J50" s="202"/>
      <c r="K50" s="204"/>
    </row>
    <row r="51" spans="1:11" ht="12.75">
      <c r="A51" s="202"/>
      <c r="B51" s="202"/>
      <c r="C51" s="202"/>
      <c r="D51" s="202"/>
      <c r="E51" s="202"/>
      <c r="F51" s="202"/>
      <c r="G51" s="202"/>
      <c r="H51" s="202"/>
      <c r="I51" s="202"/>
      <c r="J51" s="202"/>
      <c r="K51" s="204"/>
    </row>
    <row r="52" spans="1:11" ht="12.75">
      <c r="A52" s="202"/>
      <c r="B52" s="202"/>
      <c r="C52" s="202"/>
      <c r="D52" s="202"/>
      <c r="E52" s="202"/>
      <c r="F52" s="202"/>
      <c r="G52" s="202"/>
      <c r="H52" s="202"/>
      <c r="I52" s="202"/>
      <c r="J52" s="202"/>
      <c r="K52" s="204"/>
    </row>
    <row r="53" spans="1:11" ht="12.75">
      <c r="A53" s="202"/>
      <c r="B53" s="202"/>
      <c r="C53" s="202"/>
      <c r="D53" s="202"/>
      <c r="E53" s="202"/>
      <c r="F53" s="202"/>
      <c r="G53" s="202"/>
      <c r="H53" s="202"/>
      <c r="I53" s="202"/>
      <c r="J53" s="202"/>
      <c r="K53" s="204"/>
    </row>
    <row r="54" spans="1:11" ht="12.75">
      <c r="A54" s="202"/>
      <c r="B54" s="202"/>
      <c r="C54" s="202"/>
      <c r="D54" s="202"/>
      <c r="E54" s="202"/>
      <c r="F54" s="202"/>
      <c r="G54" s="202"/>
      <c r="H54" s="202"/>
      <c r="I54" s="202"/>
      <c r="J54" s="202"/>
      <c r="K54" s="204"/>
    </row>
    <row r="55" spans="1:11" ht="12.75">
      <c r="A55" s="202"/>
      <c r="B55" s="202"/>
      <c r="C55" s="202"/>
      <c r="D55" s="202"/>
      <c r="E55" s="202"/>
      <c r="F55" s="202"/>
      <c r="G55" s="202"/>
      <c r="H55" s="202"/>
      <c r="I55" s="202"/>
      <c r="J55" s="202"/>
      <c r="K55" s="204"/>
    </row>
    <row r="56" spans="1:11" ht="12.75">
      <c r="A56" s="202"/>
      <c r="B56" s="111"/>
      <c r="C56" s="111"/>
      <c r="D56" s="111"/>
      <c r="E56" s="111"/>
      <c r="F56" s="111"/>
      <c r="G56" s="111"/>
      <c r="H56" s="111"/>
      <c r="I56" s="111"/>
      <c r="J56" s="111"/>
      <c r="K56" s="204"/>
    </row>
    <row r="57" spans="1:11" ht="12.75">
      <c r="A57" s="202"/>
      <c r="B57" s="111"/>
      <c r="C57" s="111"/>
      <c r="D57" s="111"/>
      <c r="E57" s="111"/>
      <c r="F57" s="111"/>
      <c r="G57" s="111"/>
      <c r="H57" s="111"/>
      <c r="I57" s="111"/>
      <c r="J57" s="111"/>
      <c r="K57" s="204"/>
    </row>
    <row r="58" spans="1:11" ht="12.75">
      <c r="A58" s="202"/>
      <c r="B58" s="111"/>
      <c r="C58" s="111"/>
      <c r="D58" s="111"/>
      <c r="E58" s="111"/>
      <c r="F58" s="111"/>
      <c r="G58" s="111"/>
      <c r="H58" s="111"/>
      <c r="I58" s="111"/>
      <c r="J58" s="111"/>
      <c r="K58" s="204"/>
    </row>
    <row r="59" spans="1:11" ht="12.75">
      <c r="A59" s="202"/>
      <c r="B59" s="111"/>
      <c r="C59" s="111"/>
      <c r="D59" s="111"/>
      <c r="E59" s="111"/>
      <c r="F59" s="111"/>
      <c r="G59" s="111"/>
      <c r="H59" s="111"/>
      <c r="I59" s="111"/>
      <c r="J59" s="111"/>
      <c r="K59" s="204"/>
    </row>
    <row r="60" spans="1:11" ht="12.75">
      <c r="A60" s="202"/>
      <c r="B60" s="111"/>
      <c r="C60" s="111"/>
      <c r="D60" s="111"/>
      <c r="E60" s="111"/>
      <c r="F60" s="111"/>
      <c r="G60" s="111"/>
      <c r="H60" s="111"/>
      <c r="I60" s="111"/>
      <c r="J60" s="111"/>
      <c r="K60" s="204"/>
    </row>
    <row r="61" spans="1:11" ht="12.75">
      <c r="A61" s="202"/>
      <c r="B61" s="203"/>
      <c r="C61" s="203"/>
      <c r="D61" s="203"/>
      <c r="E61" s="203"/>
      <c r="F61" s="203"/>
      <c r="G61" s="203"/>
      <c r="H61" s="203"/>
      <c r="I61" s="203"/>
      <c r="J61" s="203"/>
      <c r="K61" s="204"/>
    </row>
    <row r="62" spans="1:11" ht="12.75">
      <c r="A62" s="202"/>
      <c r="B62" s="203"/>
      <c r="C62" s="203"/>
      <c r="D62" s="203"/>
      <c r="E62" s="203"/>
      <c r="F62" s="203"/>
      <c r="G62" s="203"/>
      <c r="H62" s="203"/>
      <c r="I62" s="203"/>
      <c r="J62" s="203"/>
      <c r="K62" s="204"/>
    </row>
    <row r="63" spans="1:11" ht="12.75">
      <c r="A63" s="202"/>
      <c r="B63" s="206"/>
      <c r="C63" s="204"/>
      <c r="D63" s="204"/>
      <c r="E63" s="204"/>
      <c r="F63" s="204"/>
      <c r="G63" s="203"/>
      <c r="H63" s="203"/>
      <c r="I63" s="203"/>
      <c r="J63" s="203"/>
      <c r="K63" s="204"/>
    </row>
    <row r="64" spans="1:11" ht="12.75">
      <c r="A64" s="207"/>
      <c r="B64" s="208"/>
      <c r="C64" s="208"/>
      <c r="D64" s="208"/>
      <c r="E64" s="208"/>
      <c r="F64" s="208"/>
      <c r="G64" s="208"/>
      <c r="H64" s="203"/>
      <c r="I64" s="203"/>
      <c r="J64" s="203"/>
      <c r="K64" s="204"/>
    </row>
    <row r="65" spans="1:11" ht="12.75">
      <c r="A65" s="207"/>
      <c r="B65" s="208"/>
      <c r="C65" s="208"/>
      <c r="D65" s="208"/>
      <c r="E65" s="208"/>
      <c r="F65" s="208"/>
      <c r="G65" s="208"/>
      <c r="H65" s="203"/>
      <c r="I65" s="203"/>
      <c r="J65" s="203"/>
      <c r="K65" s="203"/>
    </row>
    <row r="66" spans="1:11" ht="12.75">
      <c r="A66" s="207"/>
      <c r="B66" s="208"/>
      <c r="C66" s="208"/>
      <c r="D66" s="208"/>
      <c r="E66" s="208"/>
      <c r="F66" s="208"/>
      <c r="G66" s="208"/>
      <c r="H66" s="203"/>
      <c r="I66" s="203"/>
      <c r="J66" s="203"/>
      <c r="K66" s="203"/>
    </row>
  </sheetData>
  <mergeCells count="4">
    <mergeCell ref="A9:A11"/>
    <mergeCell ref="B9:F9"/>
    <mergeCell ref="G9:K9"/>
    <mergeCell ref="A44:K44"/>
  </mergeCells>
  <pageMargins left="0.70866141732283472" right="0.70866141732283472" top="1.4311417322834645" bottom="0.62992125984251968" header="0.31496062992125984" footer="0.31496062992125984"/>
  <pageSetup paperSize="9" scale="95" orientation="portrait" r:id="rId1"/>
  <headerFooter>
    <oddHeader>&amp;R&amp;7Informe de la Operación Mensual - Enero 2019
INFSGI-MES-01-2019
13/02/2019
Versión: 01</oddHeader>
    <oddFooter>&amp;L&amp;7COES, 2019&amp;C24&amp;R&amp;7Dirección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4"/>
  </sheetPr>
  <dimension ref="A1:I159"/>
  <sheetViews>
    <sheetView showGridLines="0" view="pageBreakPreview" zoomScale="160" zoomScaleNormal="100" zoomScaleSheetLayoutView="160" zoomScalePageLayoutView="130" workbookViewId="0">
      <selection activeCell="M24" sqref="M24"/>
    </sheetView>
  </sheetViews>
  <sheetFormatPr defaultColWidth="9.33203125" defaultRowHeight="9"/>
  <cols>
    <col min="1" max="1" width="16.1640625" style="318" customWidth="1"/>
    <col min="2" max="2" width="19.6640625" style="318" customWidth="1"/>
    <col min="3" max="3" width="12.1640625" style="318" bestFit="1" customWidth="1"/>
    <col min="4" max="4" width="47.1640625" style="318" customWidth="1"/>
    <col min="5" max="5" width="11.5" style="318" customWidth="1"/>
    <col min="6" max="6" width="10.5" style="318" customWidth="1"/>
    <col min="7" max="8" width="9.33203125" style="318" customWidth="1"/>
    <col min="9" max="16384" width="9.33203125" style="318"/>
  </cols>
  <sheetData>
    <row r="1" spans="1:9" ht="11.25" customHeight="1">
      <c r="A1" s="316" t="s">
        <v>447</v>
      </c>
      <c r="B1" s="317"/>
      <c r="C1" s="317"/>
      <c r="D1" s="317"/>
      <c r="E1" s="317"/>
      <c r="F1" s="317"/>
    </row>
    <row r="2" spans="1:9" ht="30" customHeight="1">
      <c r="A2" s="675" t="s">
        <v>277</v>
      </c>
      <c r="B2" s="676" t="s">
        <v>448</v>
      </c>
      <c r="C2" s="675" t="s">
        <v>437</v>
      </c>
      <c r="D2" s="677" t="s">
        <v>449</v>
      </c>
      <c r="E2" s="678" t="s">
        <v>450</v>
      </c>
      <c r="F2" s="678" t="s">
        <v>451</v>
      </c>
      <c r="G2" s="308"/>
      <c r="H2" s="319"/>
      <c r="I2" s="306"/>
    </row>
    <row r="3" spans="1:9" ht="59.25" customHeight="1">
      <c r="A3" s="435" t="s">
        <v>453</v>
      </c>
      <c r="B3" s="435" t="s">
        <v>654</v>
      </c>
      <c r="C3" s="436">
        <v>43467.097916666666</v>
      </c>
      <c r="D3" s="437" t="s">
        <v>655</v>
      </c>
      <c r="E3" s="438">
        <v>4.16</v>
      </c>
      <c r="F3" s="438"/>
      <c r="H3" s="308"/>
      <c r="I3" s="306"/>
    </row>
    <row r="4" spans="1:9" ht="51.75" customHeight="1">
      <c r="A4" s="435" t="s">
        <v>453</v>
      </c>
      <c r="B4" s="435" t="s">
        <v>654</v>
      </c>
      <c r="C4" s="436">
        <v>43467.198611111111</v>
      </c>
      <c r="D4" s="437" t="s">
        <v>656</v>
      </c>
      <c r="E4" s="438">
        <v>3.62</v>
      </c>
      <c r="F4" s="438"/>
      <c r="G4" s="307"/>
      <c r="H4" s="307"/>
      <c r="I4" s="320"/>
    </row>
    <row r="5" spans="1:9" ht="78.75" customHeight="1">
      <c r="A5" s="435" t="s">
        <v>576</v>
      </c>
      <c r="B5" s="435" t="s">
        <v>657</v>
      </c>
      <c r="C5" s="439">
        <v>43468.545138888891</v>
      </c>
      <c r="D5" s="440" t="s">
        <v>658</v>
      </c>
      <c r="E5" s="441"/>
      <c r="F5" s="441">
        <v>96.34</v>
      </c>
      <c r="G5" s="307"/>
      <c r="H5" s="307"/>
      <c r="I5" s="321"/>
    </row>
    <row r="6" spans="1:9" ht="59.25" customHeight="1">
      <c r="A6" s="435" t="s">
        <v>561</v>
      </c>
      <c r="B6" s="435" t="s">
        <v>659</v>
      </c>
      <c r="C6" s="439">
        <v>43468.575694444444</v>
      </c>
      <c r="D6" s="440" t="s">
        <v>660</v>
      </c>
      <c r="E6" s="441">
        <v>3.86</v>
      </c>
      <c r="F6" s="441"/>
      <c r="G6" s="307"/>
      <c r="H6" s="307"/>
      <c r="I6" s="322"/>
    </row>
    <row r="7" spans="1:9" ht="65.25" customHeight="1">
      <c r="A7" s="435" t="s">
        <v>452</v>
      </c>
      <c r="B7" s="435" t="s">
        <v>661</v>
      </c>
      <c r="C7" s="439">
        <v>43468.597222222219</v>
      </c>
      <c r="D7" s="440" t="s">
        <v>662</v>
      </c>
      <c r="E7" s="441">
        <v>3.41</v>
      </c>
      <c r="F7" s="441"/>
      <c r="G7" s="307"/>
      <c r="H7" s="307"/>
      <c r="I7" s="323"/>
    </row>
    <row r="8" spans="1:9" ht="69.75" customHeight="1">
      <c r="A8" s="435" t="s">
        <v>575</v>
      </c>
      <c r="B8" s="435" t="s">
        <v>663</v>
      </c>
      <c r="C8" s="439">
        <v>43469.558333333334</v>
      </c>
      <c r="D8" s="440" t="s">
        <v>664</v>
      </c>
      <c r="E8" s="441">
        <v>25.79</v>
      </c>
      <c r="F8" s="441"/>
      <c r="G8" s="307"/>
      <c r="H8" s="307"/>
      <c r="I8" s="322"/>
    </row>
    <row r="9" spans="1:9" ht="67.5" customHeight="1">
      <c r="A9" s="435" t="s">
        <v>590</v>
      </c>
      <c r="B9" s="435" t="s">
        <v>665</v>
      </c>
      <c r="C9" s="439">
        <v>43469.564583333333</v>
      </c>
      <c r="D9" s="440" t="s">
        <v>666</v>
      </c>
      <c r="E9" s="441">
        <v>4.76</v>
      </c>
      <c r="F9" s="441"/>
      <c r="G9" s="307"/>
      <c r="H9" s="307"/>
      <c r="I9" s="322"/>
    </row>
    <row r="10" spans="1:9" ht="81" customHeight="1">
      <c r="A10" s="435" t="s">
        <v>453</v>
      </c>
      <c r="B10" s="435" t="s">
        <v>667</v>
      </c>
      <c r="C10" s="439">
        <v>43471.589583333334</v>
      </c>
      <c r="D10" s="440" t="s">
        <v>668</v>
      </c>
      <c r="E10" s="441">
        <v>7.8</v>
      </c>
      <c r="F10" s="441"/>
    </row>
    <row r="11" spans="1:9" ht="63" customHeight="1">
      <c r="A11" s="435" t="s">
        <v>575</v>
      </c>
      <c r="B11" s="435" t="s">
        <v>669</v>
      </c>
      <c r="C11" s="439">
        <v>43471.722916666666</v>
      </c>
      <c r="D11" s="440" t="s">
        <v>670</v>
      </c>
      <c r="E11" s="441">
        <v>9.4499999999999993</v>
      </c>
      <c r="F11" s="441"/>
    </row>
    <row r="12" spans="1:9">
      <c r="C12" s="727"/>
      <c r="E12" s="325"/>
      <c r="F12" s="325"/>
    </row>
    <row r="13" spans="1:9">
      <c r="C13" s="727"/>
      <c r="E13" s="325"/>
      <c r="F13" s="325"/>
    </row>
    <row r="14" spans="1:9">
      <c r="C14" s="727"/>
      <c r="E14" s="325"/>
      <c r="F14" s="325"/>
    </row>
    <row r="15" spans="1:9">
      <c r="C15" s="727"/>
      <c r="E15" s="325"/>
      <c r="F15" s="325"/>
    </row>
    <row r="16" spans="1:9">
      <c r="C16" s="727"/>
      <c r="E16" s="325"/>
      <c r="F16" s="325"/>
    </row>
    <row r="17" spans="3:6">
      <c r="C17" s="727"/>
      <c r="E17" s="325"/>
      <c r="F17" s="325"/>
    </row>
    <row r="18" spans="3:6">
      <c r="C18" s="727"/>
      <c r="E18" s="325"/>
      <c r="F18" s="325"/>
    </row>
    <row r="19" spans="3:6">
      <c r="C19" s="727"/>
      <c r="E19" s="325"/>
      <c r="F19" s="325"/>
    </row>
    <row r="20" spans="3:6">
      <c r="C20" s="727"/>
      <c r="E20" s="325"/>
      <c r="F20" s="325"/>
    </row>
    <row r="21" spans="3:6">
      <c r="C21" s="727"/>
      <c r="E21" s="325"/>
      <c r="F21" s="325"/>
    </row>
    <row r="22" spans="3:6">
      <c r="C22" s="727"/>
      <c r="E22" s="325"/>
      <c r="F22" s="325"/>
    </row>
    <row r="23" spans="3:6">
      <c r="C23" s="727"/>
      <c r="E23" s="325"/>
      <c r="F23" s="325"/>
    </row>
    <row r="24" spans="3:6">
      <c r="C24" s="727"/>
      <c r="E24" s="325"/>
      <c r="F24" s="325"/>
    </row>
    <row r="25" spans="3:6">
      <c r="C25" s="727"/>
      <c r="E25" s="325"/>
      <c r="F25" s="325"/>
    </row>
    <row r="26" spans="3:6">
      <c r="C26" s="727"/>
      <c r="E26" s="325"/>
      <c r="F26" s="325"/>
    </row>
    <row r="27" spans="3:6">
      <c r="C27" s="727"/>
      <c r="E27" s="325"/>
      <c r="F27" s="325"/>
    </row>
    <row r="28" spans="3:6">
      <c r="C28" s="727"/>
      <c r="E28" s="325"/>
      <c r="F28" s="325"/>
    </row>
    <row r="29" spans="3:6">
      <c r="C29" s="727"/>
      <c r="E29" s="325"/>
      <c r="F29" s="325"/>
    </row>
    <row r="30" spans="3:6">
      <c r="C30" s="727"/>
      <c r="E30" s="325"/>
      <c r="F30" s="325"/>
    </row>
    <row r="31" spans="3:6">
      <c r="C31" s="727"/>
      <c r="E31" s="325"/>
      <c r="F31" s="325"/>
    </row>
    <row r="32" spans="3:6">
      <c r="C32" s="727"/>
      <c r="E32" s="325"/>
      <c r="F32" s="325"/>
    </row>
    <row r="33" spans="3:6">
      <c r="C33" s="727"/>
      <c r="E33" s="325"/>
      <c r="F33" s="325"/>
    </row>
    <row r="34" spans="3:6">
      <c r="C34" s="727"/>
      <c r="E34" s="325"/>
      <c r="F34" s="325"/>
    </row>
    <row r="35" spans="3:6">
      <c r="C35" s="727"/>
      <c r="E35" s="325"/>
      <c r="F35" s="325"/>
    </row>
    <row r="36" spans="3:6">
      <c r="C36" s="727"/>
      <c r="E36" s="325"/>
      <c r="F36" s="325"/>
    </row>
    <row r="37" spans="3:6">
      <c r="C37" s="727"/>
      <c r="E37" s="325"/>
      <c r="F37" s="325"/>
    </row>
    <row r="38" spans="3:6">
      <c r="C38" s="727"/>
      <c r="E38" s="325"/>
      <c r="F38" s="325"/>
    </row>
    <row r="39" spans="3:6">
      <c r="C39" s="727"/>
      <c r="E39" s="325"/>
      <c r="F39" s="325"/>
    </row>
    <row r="40" spans="3:6">
      <c r="C40" s="727"/>
      <c r="E40" s="325"/>
      <c r="F40" s="325"/>
    </row>
    <row r="41" spans="3:6">
      <c r="C41" s="727"/>
      <c r="E41" s="325"/>
      <c r="F41" s="325"/>
    </row>
    <row r="42" spans="3:6">
      <c r="C42" s="727"/>
      <c r="E42" s="325"/>
      <c r="F42" s="325"/>
    </row>
    <row r="43" spans="3:6">
      <c r="C43" s="727"/>
      <c r="E43" s="325"/>
      <c r="F43" s="325"/>
    </row>
    <row r="44" spans="3:6">
      <c r="C44" s="727"/>
      <c r="E44" s="325"/>
      <c r="F44" s="325"/>
    </row>
    <row r="45" spans="3:6">
      <c r="C45" s="727"/>
      <c r="E45" s="325"/>
      <c r="F45" s="325"/>
    </row>
    <row r="46" spans="3:6">
      <c r="C46" s="727"/>
      <c r="E46" s="325"/>
      <c r="F46" s="325"/>
    </row>
    <row r="47" spans="3:6">
      <c r="C47" s="727"/>
      <c r="E47" s="325"/>
      <c r="F47" s="325"/>
    </row>
    <row r="48" spans="3:6">
      <c r="C48" s="727"/>
      <c r="E48" s="325"/>
      <c r="F48" s="325"/>
    </row>
    <row r="49" spans="3:6">
      <c r="C49" s="727"/>
      <c r="E49" s="325"/>
      <c r="F49" s="325"/>
    </row>
    <row r="50" spans="3:6">
      <c r="C50" s="727"/>
      <c r="E50" s="325"/>
      <c r="F50" s="325"/>
    </row>
    <row r="51" spans="3:6">
      <c r="C51" s="727"/>
      <c r="E51" s="325"/>
      <c r="F51" s="325"/>
    </row>
    <row r="52" spans="3:6">
      <c r="C52" s="727"/>
      <c r="E52" s="325"/>
      <c r="F52" s="325"/>
    </row>
    <row r="53" spans="3:6">
      <c r="C53" s="727"/>
      <c r="E53" s="325"/>
      <c r="F53" s="325"/>
    </row>
    <row r="54" spans="3:6">
      <c r="C54" s="727"/>
      <c r="E54" s="325"/>
      <c r="F54" s="325"/>
    </row>
    <row r="55" spans="3:6">
      <c r="C55" s="727"/>
      <c r="E55" s="325"/>
      <c r="F55" s="325"/>
    </row>
    <row r="56" spans="3:6">
      <c r="C56" s="727"/>
      <c r="E56" s="325"/>
      <c r="F56" s="325"/>
    </row>
    <row r="57" spans="3:6">
      <c r="C57" s="727"/>
      <c r="E57" s="325"/>
      <c r="F57" s="325"/>
    </row>
    <row r="58" spans="3:6">
      <c r="C58" s="727"/>
      <c r="E58" s="325"/>
      <c r="F58" s="325"/>
    </row>
    <row r="59" spans="3:6">
      <c r="C59" s="727"/>
      <c r="E59" s="325"/>
      <c r="F59" s="325"/>
    </row>
    <row r="60" spans="3:6">
      <c r="C60" s="727"/>
      <c r="E60" s="325"/>
      <c r="F60" s="325"/>
    </row>
    <row r="61" spans="3:6">
      <c r="C61" s="727"/>
      <c r="E61" s="325"/>
      <c r="F61" s="325"/>
    </row>
    <row r="62" spans="3:6">
      <c r="C62" s="727"/>
      <c r="E62" s="325"/>
      <c r="F62" s="325"/>
    </row>
    <row r="63" spans="3:6">
      <c r="C63" s="727"/>
      <c r="E63" s="325"/>
      <c r="F63" s="325"/>
    </row>
    <row r="64" spans="3:6">
      <c r="C64" s="727"/>
      <c r="E64" s="325"/>
      <c r="F64" s="325"/>
    </row>
    <row r="65" spans="3:6">
      <c r="C65" s="727"/>
      <c r="E65" s="325"/>
      <c r="F65" s="325"/>
    </row>
    <row r="66" spans="3:6">
      <c r="C66" s="727"/>
      <c r="E66" s="325"/>
      <c r="F66" s="325"/>
    </row>
    <row r="67" spans="3:6">
      <c r="E67" s="325"/>
      <c r="F67" s="325"/>
    </row>
    <row r="68" spans="3:6">
      <c r="E68" s="325"/>
      <c r="F68" s="325"/>
    </row>
    <row r="69" spans="3:6">
      <c r="E69" s="325"/>
      <c r="F69" s="325"/>
    </row>
    <row r="70" spans="3:6">
      <c r="E70" s="325"/>
      <c r="F70" s="325"/>
    </row>
    <row r="71" spans="3:6">
      <c r="E71" s="325"/>
      <c r="F71" s="325"/>
    </row>
    <row r="72" spans="3:6">
      <c r="E72" s="325"/>
      <c r="F72" s="325"/>
    </row>
    <row r="73" spans="3:6">
      <c r="E73" s="325"/>
      <c r="F73" s="325"/>
    </row>
    <row r="74" spans="3:6">
      <c r="E74" s="325"/>
      <c r="F74" s="325"/>
    </row>
    <row r="75" spans="3:6">
      <c r="E75" s="325"/>
      <c r="F75" s="325"/>
    </row>
    <row r="76" spans="3:6">
      <c r="E76" s="325"/>
      <c r="F76" s="325"/>
    </row>
    <row r="77" spans="3:6">
      <c r="E77" s="325"/>
      <c r="F77" s="325"/>
    </row>
    <row r="78" spans="3:6">
      <c r="E78" s="325"/>
      <c r="F78" s="325"/>
    </row>
    <row r="79" spans="3:6">
      <c r="E79" s="325"/>
      <c r="F79" s="325"/>
    </row>
    <row r="80" spans="3:6">
      <c r="E80" s="325"/>
      <c r="F80" s="325"/>
    </row>
    <row r="81" spans="5:6">
      <c r="E81" s="325"/>
      <c r="F81" s="325"/>
    </row>
    <row r="82" spans="5:6">
      <c r="E82" s="325"/>
      <c r="F82" s="325"/>
    </row>
    <row r="83" spans="5:6">
      <c r="E83" s="325"/>
      <c r="F83" s="325"/>
    </row>
    <row r="84" spans="5:6">
      <c r="E84" s="325"/>
      <c r="F84" s="325"/>
    </row>
    <row r="85" spans="5:6">
      <c r="E85" s="325"/>
      <c r="F85" s="325"/>
    </row>
    <row r="86" spans="5:6">
      <c r="E86" s="325"/>
      <c r="F86" s="325"/>
    </row>
    <row r="87" spans="5:6">
      <c r="E87" s="325"/>
      <c r="F87" s="325"/>
    </row>
    <row r="88" spans="5:6">
      <c r="E88" s="325"/>
      <c r="F88" s="325"/>
    </row>
    <row r="89" spans="5:6">
      <c r="E89" s="325"/>
      <c r="F89" s="325"/>
    </row>
    <row r="90" spans="5:6">
      <c r="E90" s="325"/>
      <c r="F90" s="325"/>
    </row>
    <row r="91" spans="5:6">
      <c r="E91" s="325"/>
      <c r="F91" s="325"/>
    </row>
    <row r="92" spans="5:6">
      <c r="E92" s="325"/>
      <c r="F92" s="325"/>
    </row>
    <row r="93" spans="5:6">
      <c r="E93" s="325"/>
      <c r="F93" s="325"/>
    </row>
    <row r="94" spans="5:6">
      <c r="E94" s="325"/>
      <c r="F94" s="325"/>
    </row>
    <row r="95" spans="5:6">
      <c r="E95" s="325"/>
      <c r="F95" s="325"/>
    </row>
    <row r="96" spans="5:6">
      <c r="E96" s="325"/>
      <c r="F96" s="325"/>
    </row>
    <row r="97" spans="5:6">
      <c r="E97" s="325"/>
      <c r="F97" s="325"/>
    </row>
    <row r="98" spans="5:6">
      <c r="E98" s="325"/>
      <c r="F98" s="325"/>
    </row>
    <row r="99" spans="5:6">
      <c r="E99" s="325"/>
      <c r="F99" s="325"/>
    </row>
    <row r="100" spans="5:6">
      <c r="E100" s="325"/>
      <c r="F100" s="325"/>
    </row>
    <row r="101" spans="5:6">
      <c r="E101" s="325"/>
      <c r="F101" s="325"/>
    </row>
    <row r="102" spans="5:6">
      <c r="E102" s="325"/>
      <c r="F102" s="325"/>
    </row>
    <row r="103" spans="5:6">
      <c r="E103" s="325"/>
      <c r="F103" s="325"/>
    </row>
    <row r="104" spans="5:6">
      <c r="E104" s="325"/>
      <c r="F104" s="325"/>
    </row>
    <row r="105" spans="5:6">
      <c r="E105" s="325"/>
      <c r="F105" s="325"/>
    </row>
    <row r="106" spans="5:6">
      <c r="E106" s="325"/>
      <c r="F106" s="325"/>
    </row>
    <row r="107" spans="5:6">
      <c r="E107" s="325"/>
      <c r="F107" s="325"/>
    </row>
    <row r="108" spans="5:6">
      <c r="E108" s="325"/>
      <c r="F108" s="325"/>
    </row>
    <row r="109" spans="5:6">
      <c r="E109" s="325"/>
      <c r="F109" s="325"/>
    </row>
    <row r="110" spans="5:6">
      <c r="E110" s="325"/>
      <c r="F110" s="325"/>
    </row>
    <row r="111" spans="5:6">
      <c r="E111" s="325"/>
      <c r="F111" s="325"/>
    </row>
    <row r="112" spans="5:6">
      <c r="E112" s="325"/>
      <c r="F112" s="325"/>
    </row>
    <row r="113" spans="5:6">
      <c r="E113" s="325"/>
      <c r="F113" s="325"/>
    </row>
    <row r="114" spans="5:6">
      <c r="E114" s="325"/>
      <c r="F114" s="325"/>
    </row>
    <row r="115" spans="5:6">
      <c r="E115" s="325"/>
      <c r="F115" s="325"/>
    </row>
    <row r="116" spans="5:6">
      <c r="E116" s="325"/>
      <c r="F116" s="325"/>
    </row>
    <row r="117" spans="5:6">
      <c r="E117" s="325"/>
      <c r="F117" s="325"/>
    </row>
    <row r="118" spans="5:6">
      <c r="E118" s="325"/>
      <c r="F118" s="325"/>
    </row>
    <row r="119" spans="5:6">
      <c r="E119" s="325"/>
      <c r="F119" s="325"/>
    </row>
    <row r="120" spans="5:6">
      <c r="E120" s="325"/>
      <c r="F120" s="325"/>
    </row>
    <row r="121" spans="5:6">
      <c r="E121" s="325"/>
      <c r="F121" s="325"/>
    </row>
    <row r="122" spans="5:6">
      <c r="E122" s="325"/>
      <c r="F122" s="325"/>
    </row>
    <row r="123" spans="5:6">
      <c r="E123" s="325"/>
      <c r="F123" s="325"/>
    </row>
    <row r="124" spans="5:6">
      <c r="E124" s="325"/>
      <c r="F124" s="325"/>
    </row>
    <row r="125" spans="5:6">
      <c r="E125" s="325"/>
      <c r="F125" s="325"/>
    </row>
    <row r="126" spans="5:6">
      <c r="E126" s="325"/>
      <c r="F126" s="325"/>
    </row>
    <row r="127" spans="5:6">
      <c r="E127" s="325"/>
      <c r="F127" s="325"/>
    </row>
    <row r="128" spans="5:6">
      <c r="E128" s="325"/>
      <c r="F128" s="325"/>
    </row>
    <row r="129" spans="5:6">
      <c r="E129" s="325"/>
      <c r="F129" s="325"/>
    </row>
    <row r="130" spans="5:6">
      <c r="E130" s="325"/>
      <c r="F130" s="325"/>
    </row>
    <row r="131" spans="5:6">
      <c r="E131" s="325"/>
      <c r="F131" s="325"/>
    </row>
    <row r="132" spans="5:6">
      <c r="E132" s="325"/>
      <c r="F132" s="325"/>
    </row>
    <row r="133" spans="5:6">
      <c r="E133" s="325"/>
      <c r="F133" s="325"/>
    </row>
    <row r="134" spans="5:6">
      <c r="E134" s="325"/>
      <c r="F134" s="325"/>
    </row>
    <row r="135" spans="5:6">
      <c r="E135" s="325"/>
      <c r="F135" s="325"/>
    </row>
    <row r="136" spans="5:6">
      <c r="E136" s="325"/>
      <c r="F136" s="325"/>
    </row>
    <row r="137" spans="5:6">
      <c r="E137" s="325"/>
      <c r="F137" s="325"/>
    </row>
    <row r="138" spans="5:6">
      <c r="E138" s="325"/>
      <c r="F138" s="325"/>
    </row>
    <row r="139" spans="5:6">
      <c r="E139" s="325"/>
      <c r="F139" s="325"/>
    </row>
    <row r="140" spans="5:6">
      <c r="E140" s="325"/>
      <c r="F140" s="325"/>
    </row>
    <row r="141" spans="5:6">
      <c r="E141" s="325"/>
      <c r="F141" s="325"/>
    </row>
    <row r="142" spans="5:6">
      <c r="E142" s="325"/>
      <c r="F142" s="325"/>
    </row>
    <row r="143" spans="5:6">
      <c r="E143" s="325"/>
      <c r="F143" s="325"/>
    </row>
    <row r="144" spans="5:6">
      <c r="E144" s="325"/>
      <c r="F144" s="325"/>
    </row>
    <row r="145" spans="5:6">
      <c r="E145" s="325"/>
      <c r="F145" s="325"/>
    </row>
    <row r="146" spans="5:6">
      <c r="E146" s="325"/>
      <c r="F146" s="325"/>
    </row>
    <row r="147" spans="5:6">
      <c r="E147" s="325"/>
      <c r="F147" s="325"/>
    </row>
    <row r="148" spans="5:6">
      <c r="E148" s="325"/>
      <c r="F148" s="325"/>
    </row>
    <row r="149" spans="5:6">
      <c r="E149" s="325"/>
      <c r="F149" s="325"/>
    </row>
    <row r="150" spans="5:6">
      <c r="E150" s="325"/>
      <c r="F150" s="325"/>
    </row>
    <row r="151" spans="5:6">
      <c r="E151" s="325"/>
      <c r="F151" s="325"/>
    </row>
    <row r="152" spans="5:6">
      <c r="E152" s="325"/>
      <c r="F152" s="325"/>
    </row>
    <row r="153" spans="5:6">
      <c r="E153" s="325"/>
      <c r="F153" s="325"/>
    </row>
    <row r="154" spans="5:6">
      <c r="E154" s="325"/>
      <c r="F154" s="325"/>
    </row>
    <row r="155" spans="5:6">
      <c r="E155" s="325"/>
      <c r="F155" s="325"/>
    </row>
    <row r="156" spans="5:6">
      <c r="E156" s="325"/>
      <c r="F156" s="325"/>
    </row>
    <row r="157" spans="5:6">
      <c r="E157" s="325"/>
      <c r="F157" s="325"/>
    </row>
    <row r="158" spans="5:6">
      <c r="E158" s="325"/>
      <c r="F158" s="325"/>
    </row>
    <row r="159" spans="5:6">
      <c r="E159" s="325"/>
      <c r="F159" s="325"/>
    </row>
  </sheetData>
  <pageMargins left="0.70866141732283472" right="0.51181102362204722" top="1.4311417322834645" bottom="0.62992125984251968" header="0.31496062992125984" footer="0.31496062992125984"/>
  <pageSetup paperSize="9" scale="95" orientation="portrait" r:id="rId1"/>
  <headerFooter>
    <oddHeader>&amp;R&amp;7Informe de la Operación Mensual - Enero 2019
INFSGI-MES-01-2019
13/02/2019
Versión: 01</oddHeader>
    <oddFooter>&amp;L&amp;7COES, 2019&amp;C25&amp;R&amp;7Dirección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4"/>
  </sheetPr>
  <dimension ref="A1:I134"/>
  <sheetViews>
    <sheetView showGridLines="0" view="pageBreakPreview" topLeftCell="D9" zoomScale="145" zoomScaleNormal="100" zoomScaleSheetLayoutView="145" zoomScalePageLayoutView="145" workbookViewId="0">
      <selection activeCell="M24" sqref="M24"/>
    </sheetView>
  </sheetViews>
  <sheetFormatPr defaultColWidth="9.33203125" defaultRowHeight="9"/>
  <cols>
    <col min="1" max="1" width="16.1640625" style="318" customWidth="1"/>
    <col min="2" max="2" width="19.6640625" style="318" customWidth="1"/>
    <col min="3" max="3" width="12.1640625" style="318" bestFit="1" customWidth="1"/>
    <col min="4" max="4" width="47.1640625" style="318" customWidth="1"/>
    <col min="5" max="5" width="11.5" style="318" customWidth="1"/>
    <col min="6" max="6" width="10.5" style="318" customWidth="1"/>
    <col min="7" max="8" width="9.33203125" style="318" customWidth="1"/>
    <col min="9" max="16384" width="9.33203125" style="318"/>
  </cols>
  <sheetData>
    <row r="1" spans="1:9" ht="30" customHeight="1">
      <c r="A1" s="675" t="s">
        <v>277</v>
      </c>
      <c r="B1" s="676" t="s">
        <v>448</v>
      </c>
      <c r="C1" s="675" t="s">
        <v>437</v>
      </c>
      <c r="D1" s="677" t="s">
        <v>449</v>
      </c>
      <c r="E1" s="678" t="s">
        <v>450</v>
      </c>
      <c r="F1" s="678" t="s">
        <v>451</v>
      </c>
      <c r="G1" s="308"/>
      <c r="H1" s="319"/>
      <c r="I1" s="306"/>
    </row>
    <row r="2" spans="1:9" ht="66" customHeight="1">
      <c r="A2" s="326" t="s">
        <v>452</v>
      </c>
      <c r="B2" s="326" t="s">
        <v>661</v>
      </c>
      <c r="C2" s="327">
        <v>43472.605555555558</v>
      </c>
      <c r="D2" s="440" t="s">
        <v>671</v>
      </c>
      <c r="E2" s="328">
        <v>3.46</v>
      </c>
      <c r="F2" s="328"/>
      <c r="G2" s="307"/>
      <c r="H2" s="307"/>
      <c r="I2" s="322"/>
    </row>
    <row r="3" spans="1:9" ht="76.5" customHeight="1">
      <c r="A3" s="326" t="s">
        <v>672</v>
      </c>
      <c r="B3" s="326" t="s">
        <v>673</v>
      </c>
      <c r="C3" s="327">
        <v>43472.975694444445</v>
      </c>
      <c r="D3" s="440" t="s">
        <v>674</v>
      </c>
      <c r="E3" s="328"/>
      <c r="F3" s="328">
        <v>195.5</v>
      </c>
      <c r="G3" s="307"/>
      <c r="H3" s="307"/>
      <c r="I3" s="322"/>
    </row>
    <row r="4" spans="1:9" ht="63" customHeight="1">
      <c r="A4" s="326" t="s">
        <v>589</v>
      </c>
      <c r="B4" s="326" t="s">
        <v>675</v>
      </c>
      <c r="C4" s="327">
        <v>43474.69027777778</v>
      </c>
      <c r="D4" s="440" t="s">
        <v>676</v>
      </c>
      <c r="E4" s="328">
        <v>30.58</v>
      </c>
      <c r="F4" s="328"/>
      <c r="G4" s="307"/>
      <c r="H4" s="307"/>
      <c r="I4" s="322"/>
    </row>
    <row r="5" spans="1:9" ht="93.75" customHeight="1">
      <c r="A5" s="326" t="s">
        <v>589</v>
      </c>
      <c r="B5" s="326" t="s">
        <v>677</v>
      </c>
      <c r="C5" s="327">
        <v>43475.569444444445</v>
      </c>
      <c r="D5" s="440" t="s">
        <v>678</v>
      </c>
      <c r="E5" s="328">
        <v>44.06</v>
      </c>
      <c r="F5" s="328"/>
      <c r="G5" s="307"/>
      <c r="H5" s="307"/>
      <c r="I5" s="323"/>
    </row>
    <row r="6" spans="1:9" ht="80.25" customHeight="1">
      <c r="A6" s="326" t="s">
        <v>562</v>
      </c>
      <c r="B6" s="326" t="s">
        <v>679</v>
      </c>
      <c r="C6" s="327">
        <v>43475.717361111114</v>
      </c>
      <c r="D6" s="440" t="s">
        <v>680</v>
      </c>
      <c r="E6" s="328"/>
      <c r="F6" s="328">
        <v>70</v>
      </c>
      <c r="G6" s="307"/>
      <c r="H6" s="307"/>
      <c r="I6" s="322"/>
    </row>
    <row r="7" spans="1:9" ht="69" customHeight="1">
      <c r="A7" s="326" t="s">
        <v>575</v>
      </c>
      <c r="B7" s="326" t="s">
        <v>681</v>
      </c>
      <c r="C7" s="327">
        <v>43475.822222222225</v>
      </c>
      <c r="D7" s="440" t="s">
        <v>682</v>
      </c>
      <c r="E7" s="328">
        <v>9.3699999999999992</v>
      </c>
      <c r="F7" s="328"/>
      <c r="G7" s="307"/>
      <c r="H7" s="307"/>
      <c r="I7" s="322"/>
    </row>
    <row r="8" spans="1:9" ht="83.25" customHeight="1">
      <c r="A8" s="326" t="s">
        <v>564</v>
      </c>
      <c r="B8" s="326" t="s">
        <v>683</v>
      </c>
      <c r="C8" s="327">
        <v>43475.840277777781</v>
      </c>
      <c r="D8" s="440" t="s">
        <v>684</v>
      </c>
      <c r="E8" s="328"/>
      <c r="F8" s="328">
        <v>48.56</v>
      </c>
      <c r="G8" s="307"/>
      <c r="H8" s="307"/>
      <c r="I8" s="322"/>
    </row>
    <row r="9" spans="1:9" ht="64.5" customHeight="1">
      <c r="A9" s="326" t="s">
        <v>575</v>
      </c>
      <c r="B9" s="326" t="s">
        <v>681</v>
      </c>
      <c r="C9" s="327">
        <v>43475.848611111112</v>
      </c>
      <c r="D9" s="440" t="s">
        <v>685</v>
      </c>
      <c r="E9" s="328">
        <v>9.3699999999999992</v>
      </c>
      <c r="F9" s="328"/>
    </row>
    <row r="10" spans="1:9" ht="80.25" customHeight="1">
      <c r="A10" s="326" t="s">
        <v>590</v>
      </c>
      <c r="B10" s="326" t="s">
        <v>665</v>
      </c>
      <c r="C10" s="327">
        <v>43477.574999999997</v>
      </c>
      <c r="D10" s="440" t="s">
        <v>686</v>
      </c>
      <c r="E10" s="328">
        <v>4.88</v>
      </c>
      <c r="F10" s="328"/>
    </row>
    <row r="11" spans="1:9" ht="81.75" customHeight="1">
      <c r="A11" s="326"/>
      <c r="B11" s="326"/>
      <c r="C11" s="327"/>
      <c r="D11" s="440"/>
      <c r="E11" s="328"/>
      <c r="F11" s="328"/>
    </row>
    <row r="12" spans="1:9">
      <c r="E12" s="325"/>
      <c r="F12" s="325"/>
    </row>
    <row r="13" spans="1:9">
      <c r="E13" s="325"/>
      <c r="F13" s="325"/>
    </row>
    <row r="14" spans="1:9">
      <c r="E14" s="325"/>
      <c r="F14" s="325"/>
    </row>
    <row r="15" spans="1:9">
      <c r="E15" s="325"/>
      <c r="F15" s="325"/>
    </row>
    <row r="16" spans="1:9">
      <c r="E16" s="325"/>
      <c r="F16" s="325"/>
    </row>
    <row r="17" spans="5:6">
      <c r="E17" s="325"/>
      <c r="F17" s="325"/>
    </row>
    <row r="18" spans="5:6">
      <c r="E18" s="325"/>
      <c r="F18" s="325"/>
    </row>
    <row r="19" spans="5:6">
      <c r="E19" s="325"/>
      <c r="F19" s="325"/>
    </row>
    <row r="20" spans="5:6">
      <c r="E20" s="325"/>
      <c r="F20" s="325"/>
    </row>
    <row r="21" spans="5:6">
      <c r="E21" s="325"/>
      <c r="F21" s="325"/>
    </row>
    <row r="22" spans="5:6">
      <c r="E22" s="325"/>
      <c r="F22" s="325"/>
    </row>
    <row r="23" spans="5:6">
      <c r="E23" s="325"/>
      <c r="F23" s="325"/>
    </row>
    <row r="24" spans="5:6">
      <c r="E24" s="325"/>
      <c r="F24" s="325"/>
    </row>
    <row r="25" spans="5:6">
      <c r="E25" s="325"/>
      <c r="F25" s="325"/>
    </row>
    <row r="26" spans="5:6">
      <c r="E26" s="325"/>
      <c r="F26" s="325"/>
    </row>
    <row r="27" spans="5:6">
      <c r="E27" s="325"/>
      <c r="F27" s="325"/>
    </row>
    <row r="28" spans="5:6">
      <c r="E28" s="325"/>
      <c r="F28" s="325"/>
    </row>
    <row r="29" spans="5:6">
      <c r="E29" s="325"/>
      <c r="F29" s="325"/>
    </row>
    <row r="30" spans="5:6">
      <c r="E30" s="325"/>
      <c r="F30" s="325"/>
    </row>
    <row r="31" spans="5:6">
      <c r="E31" s="325"/>
      <c r="F31" s="325"/>
    </row>
    <row r="32" spans="5:6">
      <c r="E32" s="325"/>
      <c r="F32" s="325"/>
    </row>
    <row r="33" spans="5:6">
      <c r="E33" s="325"/>
      <c r="F33" s="325"/>
    </row>
    <row r="34" spans="5:6">
      <c r="E34" s="325"/>
      <c r="F34" s="325"/>
    </row>
    <row r="35" spans="5:6">
      <c r="E35" s="325"/>
      <c r="F35" s="325"/>
    </row>
    <row r="36" spans="5:6">
      <c r="E36" s="325"/>
      <c r="F36" s="325"/>
    </row>
    <row r="37" spans="5:6">
      <c r="E37" s="325"/>
      <c r="F37" s="325"/>
    </row>
    <row r="38" spans="5:6">
      <c r="E38" s="325"/>
      <c r="F38" s="325"/>
    </row>
    <row r="39" spans="5:6">
      <c r="E39" s="325"/>
      <c r="F39" s="325"/>
    </row>
    <row r="40" spans="5:6">
      <c r="E40" s="325"/>
      <c r="F40" s="325"/>
    </row>
    <row r="41" spans="5:6">
      <c r="E41" s="325"/>
      <c r="F41" s="325"/>
    </row>
    <row r="42" spans="5:6">
      <c r="E42" s="325"/>
      <c r="F42" s="325"/>
    </row>
    <row r="43" spans="5:6">
      <c r="E43" s="325"/>
      <c r="F43" s="325"/>
    </row>
    <row r="44" spans="5:6">
      <c r="E44" s="325"/>
      <c r="F44" s="325"/>
    </row>
    <row r="45" spans="5:6">
      <c r="E45" s="325"/>
      <c r="F45" s="325"/>
    </row>
    <row r="46" spans="5:6">
      <c r="E46" s="325"/>
      <c r="F46" s="325"/>
    </row>
    <row r="47" spans="5:6">
      <c r="E47" s="325"/>
      <c r="F47" s="325"/>
    </row>
    <row r="48" spans="5:6">
      <c r="E48" s="325"/>
      <c r="F48" s="325"/>
    </row>
    <row r="49" spans="5:6">
      <c r="E49" s="325"/>
      <c r="F49" s="325"/>
    </row>
    <row r="50" spans="5:6">
      <c r="E50" s="325"/>
      <c r="F50" s="325"/>
    </row>
    <row r="51" spans="5:6">
      <c r="E51" s="325"/>
      <c r="F51" s="325"/>
    </row>
    <row r="52" spans="5:6">
      <c r="E52" s="325"/>
      <c r="F52" s="325"/>
    </row>
    <row r="53" spans="5:6">
      <c r="E53" s="325"/>
      <c r="F53" s="325"/>
    </row>
    <row r="54" spans="5:6">
      <c r="E54" s="325"/>
      <c r="F54" s="325"/>
    </row>
    <row r="55" spans="5:6">
      <c r="E55" s="325"/>
      <c r="F55" s="325"/>
    </row>
    <row r="56" spans="5:6">
      <c r="E56" s="325"/>
      <c r="F56" s="325"/>
    </row>
    <row r="57" spans="5:6">
      <c r="E57" s="325"/>
      <c r="F57" s="325"/>
    </row>
    <row r="58" spans="5:6">
      <c r="E58" s="325"/>
      <c r="F58" s="325"/>
    </row>
    <row r="59" spans="5:6">
      <c r="E59" s="325"/>
      <c r="F59" s="325"/>
    </row>
    <row r="60" spans="5:6">
      <c r="E60" s="325"/>
      <c r="F60" s="325"/>
    </row>
    <row r="61" spans="5:6">
      <c r="E61" s="325"/>
      <c r="F61" s="325"/>
    </row>
    <row r="62" spans="5:6">
      <c r="E62" s="325"/>
      <c r="F62" s="325"/>
    </row>
    <row r="63" spans="5:6">
      <c r="E63" s="325"/>
      <c r="F63" s="325"/>
    </row>
    <row r="64" spans="5:6">
      <c r="E64" s="325"/>
      <c r="F64" s="325"/>
    </row>
    <row r="65" spans="5:6">
      <c r="E65" s="325"/>
      <c r="F65" s="325"/>
    </row>
    <row r="66" spans="5:6">
      <c r="E66" s="325"/>
      <c r="F66" s="325"/>
    </row>
    <row r="67" spans="5:6">
      <c r="E67" s="325"/>
      <c r="F67" s="325"/>
    </row>
    <row r="68" spans="5:6">
      <c r="E68" s="325"/>
      <c r="F68" s="325"/>
    </row>
    <row r="69" spans="5:6">
      <c r="E69" s="325"/>
      <c r="F69" s="325"/>
    </row>
    <row r="70" spans="5:6">
      <c r="E70" s="325"/>
      <c r="F70" s="325"/>
    </row>
    <row r="71" spans="5:6">
      <c r="E71" s="325"/>
      <c r="F71" s="325"/>
    </row>
    <row r="72" spans="5:6">
      <c r="E72" s="325"/>
      <c r="F72" s="325"/>
    </row>
    <row r="73" spans="5:6">
      <c r="E73" s="325"/>
      <c r="F73" s="325"/>
    </row>
    <row r="74" spans="5:6">
      <c r="E74" s="325"/>
      <c r="F74" s="325"/>
    </row>
    <row r="75" spans="5:6">
      <c r="E75" s="325"/>
      <c r="F75" s="325"/>
    </row>
    <row r="76" spans="5:6">
      <c r="E76" s="325"/>
      <c r="F76" s="325"/>
    </row>
    <row r="77" spans="5:6">
      <c r="E77" s="325"/>
      <c r="F77" s="325"/>
    </row>
    <row r="78" spans="5:6">
      <c r="E78" s="325"/>
      <c r="F78" s="325"/>
    </row>
    <row r="79" spans="5:6">
      <c r="E79" s="325"/>
      <c r="F79" s="325"/>
    </row>
    <row r="80" spans="5:6">
      <c r="E80" s="325"/>
      <c r="F80" s="325"/>
    </row>
    <row r="81" spans="5:6">
      <c r="E81" s="325"/>
      <c r="F81" s="325"/>
    </row>
    <row r="82" spans="5:6">
      <c r="E82" s="325"/>
      <c r="F82" s="325"/>
    </row>
    <row r="83" spans="5:6">
      <c r="E83" s="325"/>
      <c r="F83" s="325"/>
    </row>
    <row r="84" spans="5:6">
      <c r="E84" s="325"/>
      <c r="F84" s="325"/>
    </row>
    <row r="85" spans="5:6">
      <c r="E85" s="325"/>
      <c r="F85" s="325"/>
    </row>
    <row r="86" spans="5:6">
      <c r="E86" s="325"/>
      <c r="F86" s="325"/>
    </row>
    <row r="87" spans="5:6">
      <c r="E87" s="325"/>
      <c r="F87" s="325"/>
    </row>
    <row r="88" spans="5:6">
      <c r="E88" s="325"/>
      <c r="F88" s="325"/>
    </row>
    <row r="89" spans="5:6">
      <c r="E89" s="325"/>
      <c r="F89" s="325"/>
    </row>
    <row r="90" spans="5:6">
      <c r="E90" s="325"/>
      <c r="F90" s="325"/>
    </row>
    <row r="91" spans="5:6">
      <c r="E91" s="325"/>
      <c r="F91" s="325"/>
    </row>
    <row r="92" spans="5:6">
      <c r="E92" s="325"/>
      <c r="F92" s="325"/>
    </row>
    <row r="93" spans="5:6">
      <c r="E93" s="325"/>
      <c r="F93" s="325"/>
    </row>
    <row r="94" spans="5:6">
      <c r="E94" s="325"/>
      <c r="F94" s="325"/>
    </row>
    <row r="95" spans="5:6">
      <c r="E95" s="325"/>
      <c r="F95" s="325"/>
    </row>
    <row r="96" spans="5:6">
      <c r="E96" s="325"/>
      <c r="F96" s="325"/>
    </row>
    <row r="97" spans="5:6">
      <c r="E97" s="325"/>
      <c r="F97" s="325"/>
    </row>
    <row r="98" spans="5:6">
      <c r="E98" s="325"/>
      <c r="F98" s="325"/>
    </row>
    <row r="99" spans="5:6">
      <c r="E99" s="325"/>
      <c r="F99" s="325"/>
    </row>
    <row r="100" spans="5:6">
      <c r="E100" s="325"/>
      <c r="F100" s="325"/>
    </row>
    <row r="101" spans="5:6">
      <c r="E101" s="325"/>
      <c r="F101" s="325"/>
    </row>
    <row r="102" spans="5:6">
      <c r="E102" s="325"/>
      <c r="F102" s="325"/>
    </row>
    <row r="103" spans="5:6">
      <c r="E103" s="325"/>
      <c r="F103" s="325"/>
    </row>
    <row r="104" spans="5:6">
      <c r="E104" s="325"/>
      <c r="F104" s="325"/>
    </row>
    <row r="105" spans="5:6">
      <c r="E105" s="325"/>
      <c r="F105" s="325"/>
    </row>
    <row r="106" spans="5:6">
      <c r="E106" s="325"/>
      <c r="F106" s="325"/>
    </row>
    <row r="107" spans="5:6">
      <c r="E107" s="325"/>
      <c r="F107" s="325"/>
    </row>
    <row r="108" spans="5:6">
      <c r="E108" s="325"/>
      <c r="F108" s="325"/>
    </row>
    <row r="109" spans="5:6">
      <c r="E109" s="325"/>
      <c r="F109" s="325"/>
    </row>
    <row r="110" spans="5:6">
      <c r="E110" s="325"/>
      <c r="F110" s="325"/>
    </row>
    <row r="111" spans="5:6">
      <c r="E111" s="325"/>
      <c r="F111" s="325"/>
    </row>
    <row r="112" spans="5:6">
      <c r="E112" s="325"/>
      <c r="F112" s="325"/>
    </row>
    <row r="113" spans="5:6">
      <c r="E113" s="325"/>
      <c r="F113" s="325"/>
    </row>
    <row r="114" spans="5:6">
      <c r="E114" s="325"/>
      <c r="F114" s="325"/>
    </row>
    <row r="115" spans="5:6">
      <c r="E115" s="325"/>
      <c r="F115" s="325"/>
    </row>
    <row r="116" spans="5:6">
      <c r="E116" s="325"/>
      <c r="F116" s="325"/>
    </row>
    <row r="117" spans="5:6">
      <c r="E117" s="325"/>
      <c r="F117" s="325"/>
    </row>
    <row r="118" spans="5:6">
      <c r="E118" s="325"/>
      <c r="F118" s="325"/>
    </row>
    <row r="119" spans="5:6">
      <c r="E119" s="325"/>
      <c r="F119" s="325"/>
    </row>
    <row r="120" spans="5:6">
      <c r="E120" s="325"/>
      <c r="F120" s="325"/>
    </row>
    <row r="121" spans="5:6">
      <c r="E121" s="325"/>
      <c r="F121" s="325"/>
    </row>
    <row r="122" spans="5:6">
      <c r="E122" s="325"/>
      <c r="F122" s="325"/>
    </row>
    <row r="123" spans="5:6">
      <c r="E123" s="325"/>
      <c r="F123" s="325"/>
    </row>
    <row r="124" spans="5:6">
      <c r="E124" s="325"/>
      <c r="F124" s="325"/>
    </row>
    <row r="125" spans="5:6">
      <c r="E125" s="325"/>
      <c r="F125" s="325"/>
    </row>
    <row r="126" spans="5:6">
      <c r="E126" s="325"/>
      <c r="F126" s="325"/>
    </row>
    <row r="127" spans="5:6">
      <c r="E127" s="325"/>
      <c r="F127" s="325"/>
    </row>
    <row r="128" spans="5:6">
      <c r="E128" s="325"/>
      <c r="F128" s="325"/>
    </row>
    <row r="129" spans="5:6">
      <c r="E129" s="325"/>
      <c r="F129" s="325"/>
    </row>
    <row r="130" spans="5:6">
      <c r="E130" s="325"/>
      <c r="F130" s="325"/>
    </row>
    <row r="131" spans="5:6">
      <c r="E131" s="325"/>
      <c r="F131" s="325"/>
    </row>
    <row r="132" spans="5:6">
      <c r="E132" s="325"/>
      <c r="F132" s="325"/>
    </row>
    <row r="133" spans="5:6">
      <c r="E133" s="325"/>
      <c r="F133" s="325"/>
    </row>
    <row r="134" spans="5:6">
      <c r="E134" s="325"/>
      <c r="F134" s="325"/>
    </row>
  </sheetData>
  <pageMargins left="0.70866141732283472" right="0.51181102362204722" top="1.4311417322834645" bottom="0.62992125984251968" header="0.31496062992125984" footer="0.31496062992125984"/>
  <pageSetup paperSize="9" scale="95" orientation="portrait" r:id="rId1"/>
  <headerFooter>
    <oddHeader>&amp;R&amp;7Informe de la Operación Mensual - Enero 2019
INFSGI-MES-01-2019
13/02/2019
Versión: 01</oddHeader>
    <oddFooter>&amp;L&amp;7COES, 2019&amp;C26&amp;R&amp;7Dirección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4"/>
  </sheetPr>
  <dimension ref="A1:I116"/>
  <sheetViews>
    <sheetView showGridLines="0" view="pageBreakPreview" topLeftCell="D7" zoomScale="145" zoomScaleNormal="100" zoomScaleSheetLayoutView="145" zoomScalePageLayoutView="145" workbookViewId="0">
      <selection activeCell="M24" sqref="M24"/>
    </sheetView>
  </sheetViews>
  <sheetFormatPr defaultColWidth="9.33203125" defaultRowHeight="9"/>
  <cols>
    <col min="1" max="1" width="16.1640625" style="318" customWidth="1"/>
    <col min="2" max="2" width="19.6640625" style="318" customWidth="1"/>
    <col min="3" max="3" width="12.1640625" style="318" bestFit="1" customWidth="1"/>
    <col min="4" max="4" width="47.1640625" style="318" customWidth="1"/>
    <col min="5" max="5" width="11.5" style="318" customWidth="1"/>
    <col min="6" max="6" width="10.5" style="318" customWidth="1"/>
    <col min="7" max="8" width="9.33203125" style="318" customWidth="1"/>
    <col min="9" max="16384" width="9.33203125" style="318"/>
  </cols>
  <sheetData>
    <row r="1" spans="1:9" ht="30" customHeight="1">
      <c r="A1" s="675" t="s">
        <v>277</v>
      </c>
      <c r="B1" s="676" t="s">
        <v>448</v>
      </c>
      <c r="C1" s="675" t="s">
        <v>437</v>
      </c>
      <c r="D1" s="677" t="s">
        <v>449</v>
      </c>
      <c r="E1" s="678" t="s">
        <v>450</v>
      </c>
      <c r="F1" s="678" t="s">
        <v>451</v>
      </c>
      <c r="G1" s="308"/>
      <c r="H1" s="319"/>
      <c r="I1" s="306"/>
    </row>
    <row r="2" spans="1:9" ht="65.25" customHeight="1">
      <c r="A2" s="326" t="s">
        <v>687</v>
      </c>
      <c r="B2" s="326" t="s">
        <v>688</v>
      </c>
      <c r="C2" s="327">
        <v>43478.371527777781</v>
      </c>
      <c r="D2" s="440" t="s">
        <v>689</v>
      </c>
      <c r="E2" s="328">
        <v>9.4499999999999993</v>
      </c>
      <c r="F2" s="328"/>
      <c r="G2" s="307"/>
      <c r="H2" s="307"/>
      <c r="I2" s="322"/>
    </row>
    <row r="3" spans="1:9" ht="60" customHeight="1">
      <c r="A3" s="326" t="s">
        <v>535</v>
      </c>
      <c r="B3" s="326" t="s">
        <v>690</v>
      </c>
      <c r="C3" s="327">
        <v>43479.240972222222</v>
      </c>
      <c r="D3" s="440" t="s">
        <v>691</v>
      </c>
      <c r="E3" s="328">
        <v>5.54</v>
      </c>
      <c r="F3" s="328"/>
      <c r="G3" s="307"/>
      <c r="H3" s="307"/>
      <c r="I3" s="322"/>
    </row>
    <row r="4" spans="1:9" ht="60" customHeight="1">
      <c r="A4" s="326" t="s">
        <v>453</v>
      </c>
      <c r="B4" s="326" t="s">
        <v>692</v>
      </c>
      <c r="C4" s="327">
        <v>43480.45208333333</v>
      </c>
      <c r="D4" s="440" t="s">
        <v>693</v>
      </c>
      <c r="E4" s="328">
        <v>9.1999999999999993</v>
      </c>
      <c r="F4" s="328"/>
      <c r="G4" s="307"/>
      <c r="H4" s="307"/>
      <c r="I4" s="322"/>
    </row>
    <row r="5" spans="1:9" ht="82.5" customHeight="1">
      <c r="A5" s="326" t="s">
        <v>454</v>
      </c>
      <c r="B5" s="326" t="s">
        <v>694</v>
      </c>
      <c r="C5" s="327">
        <v>43480.616666666669</v>
      </c>
      <c r="D5" s="440" t="s">
        <v>695</v>
      </c>
      <c r="E5" s="328"/>
      <c r="F5" s="328">
        <v>13.4</v>
      </c>
      <c r="G5" s="307"/>
      <c r="H5" s="307"/>
      <c r="I5" s="322"/>
    </row>
    <row r="6" spans="1:9" ht="63.75" customHeight="1">
      <c r="A6" s="326" t="s">
        <v>452</v>
      </c>
      <c r="B6" s="326" t="s">
        <v>661</v>
      </c>
      <c r="C6" s="327">
        <v>43481.440972222219</v>
      </c>
      <c r="D6" s="440" t="s">
        <v>696</v>
      </c>
      <c r="E6" s="328">
        <v>8.8699999999999992</v>
      </c>
      <c r="F6" s="328"/>
      <c r="G6" s="307"/>
      <c r="H6" s="307"/>
      <c r="I6" s="324"/>
    </row>
    <row r="7" spans="1:9" ht="66" customHeight="1">
      <c r="A7" s="326" t="s">
        <v>697</v>
      </c>
      <c r="B7" s="326" t="s">
        <v>698</v>
      </c>
      <c r="C7" s="327">
        <v>43481.649305555555</v>
      </c>
      <c r="D7" s="440" t="s">
        <v>699</v>
      </c>
      <c r="E7" s="328">
        <v>12</v>
      </c>
      <c r="F7" s="328"/>
      <c r="G7" s="307"/>
      <c r="H7" s="307"/>
      <c r="I7" s="322"/>
    </row>
    <row r="8" spans="1:9" ht="63.75" customHeight="1">
      <c r="A8" s="326" t="s">
        <v>563</v>
      </c>
      <c r="B8" s="326" t="s">
        <v>700</v>
      </c>
      <c r="C8" s="327">
        <v>43481.736111111109</v>
      </c>
      <c r="D8" s="440" t="s">
        <v>701</v>
      </c>
      <c r="E8" s="328">
        <v>6.16</v>
      </c>
      <c r="F8" s="328"/>
    </row>
    <row r="9" spans="1:9" ht="54.75" customHeight="1">
      <c r="A9" s="326" t="s">
        <v>702</v>
      </c>
      <c r="B9" s="326" t="s">
        <v>703</v>
      </c>
      <c r="C9" s="327">
        <v>43482.691666666666</v>
      </c>
      <c r="D9" s="440" t="s">
        <v>704</v>
      </c>
      <c r="E9" s="328">
        <v>1.89</v>
      </c>
      <c r="F9" s="328"/>
    </row>
    <row r="10" spans="1:9" ht="75" customHeight="1">
      <c r="A10" s="326" t="s">
        <v>453</v>
      </c>
      <c r="B10" s="326" t="s">
        <v>705</v>
      </c>
      <c r="C10" s="327">
        <v>43484.146527777775</v>
      </c>
      <c r="D10" s="440" t="s">
        <v>706</v>
      </c>
      <c r="E10" s="328">
        <v>6.1</v>
      </c>
      <c r="F10" s="328"/>
    </row>
    <row r="11" spans="1:9">
      <c r="E11" s="325"/>
      <c r="F11" s="325"/>
    </row>
    <row r="12" spans="1:9">
      <c r="E12" s="325"/>
      <c r="F12" s="325"/>
    </row>
    <row r="13" spans="1:9">
      <c r="E13" s="325"/>
      <c r="F13" s="325"/>
    </row>
    <row r="14" spans="1:9">
      <c r="E14" s="325"/>
      <c r="F14" s="325"/>
    </row>
    <row r="15" spans="1:9">
      <c r="E15" s="325"/>
      <c r="F15" s="325"/>
    </row>
    <row r="16" spans="1:9">
      <c r="E16" s="325"/>
      <c r="F16" s="325"/>
    </row>
    <row r="17" spans="5:6">
      <c r="E17" s="325"/>
      <c r="F17" s="325"/>
    </row>
    <row r="18" spans="5:6">
      <c r="E18" s="325"/>
      <c r="F18" s="325"/>
    </row>
    <row r="19" spans="5:6">
      <c r="E19" s="325"/>
      <c r="F19" s="325"/>
    </row>
    <row r="20" spans="5:6">
      <c r="E20" s="325"/>
      <c r="F20" s="325"/>
    </row>
    <row r="21" spans="5:6">
      <c r="E21" s="325"/>
      <c r="F21" s="325"/>
    </row>
    <row r="22" spans="5:6">
      <c r="E22" s="325"/>
      <c r="F22" s="325"/>
    </row>
    <row r="23" spans="5:6">
      <c r="E23" s="325"/>
      <c r="F23" s="325"/>
    </row>
    <row r="24" spans="5:6">
      <c r="E24" s="325"/>
      <c r="F24" s="325"/>
    </row>
    <row r="25" spans="5:6">
      <c r="E25" s="325"/>
      <c r="F25" s="325"/>
    </row>
    <row r="26" spans="5:6">
      <c r="E26" s="325"/>
      <c r="F26" s="325"/>
    </row>
    <row r="27" spans="5:6">
      <c r="E27" s="325"/>
      <c r="F27" s="325"/>
    </row>
    <row r="28" spans="5:6">
      <c r="E28" s="325"/>
      <c r="F28" s="325"/>
    </row>
    <row r="29" spans="5:6">
      <c r="E29" s="325"/>
      <c r="F29" s="325"/>
    </row>
    <row r="30" spans="5:6">
      <c r="E30" s="325"/>
      <c r="F30" s="325"/>
    </row>
    <row r="31" spans="5:6">
      <c r="E31" s="325"/>
      <c r="F31" s="325"/>
    </row>
    <row r="32" spans="5:6">
      <c r="E32" s="325"/>
      <c r="F32" s="325"/>
    </row>
    <row r="33" spans="5:6">
      <c r="E33" s="325"/>
      <c r="F33" s="325"/>
    </row>
    <row r="34" spans="5:6">
      <c r="E34" s="325"/>
      <c r="F34" s="325"/>
    </row>
    <row r="35" spans="5:6">
      <c r="E35" s="325"/>
      <c r="F35" s="325"/>
    </row>
    <row r="36" spans="5:6">
      <c r="E36" s="325"/>
      <c r="F36" s="325"/>
    </row>
    <row r="37" spans="5:6">
      <c r="E37" s="325"/>
      <c r="F37" s="325"/>
    </row>
    <row r="38" spans="5:6">
      <c r="E38" s="325"/>
      <c r="F38" s="325"/>
    </row>
    <row r="39" spans="5:6">
      <c r="E39" s="325"/>
      <c r="F39" s="325"/>
    </row>
    <row r="40" spans="5:6">
      <c r="E40" s="325"/>
      <c r="F40" s="325"/>
    </row>
    <row r="41" spans="5:6">
      <c r="E41" s="325"/>
      <c r="F41" s="325"/>
    </row>
    <row r="42" spans="5:6">
      <c r="E42" s="325"/>
      <c r="F42" s="325"/>
    </row>
    <row r="43" spans="5:6">
      <c r="E43" s="325"/>
      <c r="F43" s="325"/>
    </row>
    <row r="44" spans="5:6">
      <c r="E44" s="325"/>
      <c r="F44" s="325"/>
    </row>
    <row r="45" spans="5:6">
      <c r="E45" s="325"/>
      <c r="F45" s="325"/>
    </row>
    <row r="46" spans="5:6">
      <c r="E46" s="325"/>
      <c r="F46" s="325"/>
    </row>
    <row r="47" spans="5:6">
      <c r="E47" s="325"/>
      <c r="F47" s="325"/>
    </row>
    <row r="48" spans="5:6">
      <c r="E48" s="325"/>
      <c r="F48" s="325"/>
    </row>
    <row r="49" spans="5:6">
      <c r="E49" s="325"/>
      <c r="F49" s="325"/>
    </row>
    <row r="50" spans="5:6">
      <c r="E50" s="325"/>
      <c r="F50" s="325"/>
    </row>
    <row r="51" spans="5:6">
      <c r="E51" s="325"/>
      <c r="F51" s="325"/>
    </row>
    <row r="52" spans="5:6">
      <c r="E52" s="325"/>
      <c r="F52" s="325"/>
    </row>
    <row r="53" spans="5:6">
      <c r="E53" s="325"/>
      <c r="F53" s="325"/>
    </row>
    <row r="54" spans="5:6">
      <c r="E54" s="325"/>
      <c r="F54" s="325"/>
    </row>
    <row r="55" spans="5:6">
      <c r="E55" s="325"/>
      <c r="F55" s="325"/>
    </row>
    <row r="56" spans="5:6">
      <c r="E56" s="325"/>
      <c r="F56" s="325"/>
    </row>
    <row r="57" spans="5:6">
      <c r="E57" s="325"/>
      <c r="F57" s="325"/>
    </row>
    <row r="58" spans="5:6">
      <c r="E58" s="325"/>
      <c r="F58" s="325"/>
    </row>
    <row r="59" spans="5:6">
      <c r="E59" s="325"/>
      <c r="F59" s="325"/>
    </row>
    <row r="60" spans="5:6">
      <c r="E60" s="325"/>
      <c r="F60" s="325"/>
    </row>
    <row r="61" spans="5:6">
      <c r="E61" s="325"/>
      <c r="F61" s="325"/>
    </row>
    <row r="62" spans="5:6">
      <c r="E62" s="325"/>
      <c r="F62" s="325"/>
    </row>
    <row r="63" spans="5:6">
      <c r="E63" s="325"/>
      <c r="F63" s="325"/>
    </row>
    <row r="64" spans="5:6">
      <c r="E64" s="325"/>
      <c r="F64" s="325"/>
    </row>
    <row r="65" spans="5:6">
      <c r="E65" s="325"/>
      <c r="F65" s="325"/>
    </row>
    <row r="66" spans="5:6">
      <c r="E66" s="325"/>
      <c r="F66" s="325"/>
    </row>
    <row r="67" spans="5:6">
      <c r="E67" s="325"/>
      <c r="F67" s="325"/>
    </row>
    <row r="68" spans="5:6">
      <c r="E68" s="325"/>
      <c r="F68" s="325"/>
    </row>
    <row r="69" spans="5:6">
      <c r="E69" s="325"/>
      <c r="F69" s="325"/>
    </row>
    <row r="70" spans="5:6">
      <c r="E70" s="325"/>
      <c r="F70" s="325"/>
    </row>
    <row r="71" spans="5:6">
      <c r="E71" s="325"/>
      <c r="F71" s="325"/>
    </row>
    <row r="72" spans="5:6">
      <c r="E72" s="325"/>
      <c r="F72" s="325"/>
    </row>
    <row r="73" spans="5:6">
      <c r="E73" s="325"/>
      <c r="F73" s="325"/>
    </row>
    <row r="74" spans="5:6">
      <c r="E74" s="325"/>
      <c r="F74" s="325"/>
    </row>
    <row r="75" spans="5:6">
      <c r="E75" s="325"/>
      <c r="F75" s="325"/>
    </row>
    <row r="76" spans="5:6">
      <c r="E76" s="325"/>
      <c r="F76" s="325"/>
    </row>
    <row r="77" spans="5:6">
      <c r="E77" s="325"/>
      <c r="F77" s="325"/>
    </row>
    <row r="78" spans="5:6">
      <c r="E78" s="325"/>
      <c r="F78" s="325"/>
    </row>
    <row r="79" spans="5:6">
      <c r="E79" s="325"/>
      <c r="F79" s="325"/>
    </row>
    <row r="80" spans="5:6">
      <c r="E80" s="325"/>
      <c r="F80" s="325"/>
    </row>
    <row r="81" spans="5:6">
      <c r="E81" s="325"/>
      <c r="F81" s="325"/>
    </row>
    <row r="82" spans="5:6">
      <c r="E82" s="325"/>
      <c r="F82" s="325"/>
    </row>
    <row r="83" spans="5:6">
      <c r="E83" s="325"/>
      <c r="F83" s="325"/>
    </row>
    <row r="84" spans="5:6">
      <c r="E84" s="325"/>
      <c r="F84" s="325"/>
    </row>
    <row r="85" spans="5:6">
      <c r="E85" s="325"/>
      <c r="F85" s="325"/>
    </row>
    <row r="86" spans="5:6">
      <c r="E86" s="325"/>
      <c r="F86" s="325"/>
    </row>
    <row r="87" spans="5:6">
      <c r="E87" s="325"/>
      <c r="F87" s="325"/>
    </row>
    <row r="88" spans="5:6">
      <c r="E88" s="325"/>
      <c r="F88" s="325"/>
    </row>
    <row r="89" spans="5:6">
      <c r="E89" s="325"/>
      <c r="F89" s="325"/>
    </row>
    <row r="90" spans="5:6">
      <c r="E90" s="325"/>
      <c r="F90" s="325"/>
    </row>
    <row r="91" spans="5:6">
      <c r="E91" s="325"/>
      <c r="F91" s="325"/>
    </row>
    <row r="92" spans="5:6">
      <c r="E92" s="325"/>
      <c r="F92" s="325"/>
    </row>
    <row r="93" spans="5:6">
      <c r="E93" s="325"/>
      <c r="F93" s="325"/>
    </row>
    <row r="94" spans="5:6">
      <c r="E94" s="325"/>
      <c r="F94" s="325"/>
    </row>
    <row r="95" spans="5:6">
      <c r="E95" s="325"/>
      <c r="F95" s="325"/>
    </row>
    <row r="96" spans="5:6">
      <c r="E96" s="325"/>
      <c r="F96" s="325"/>
    </row>
    <row r="97" spans="5:6">
      <c r="E97" s="325"/>
      <c r="F97" s="325"/>
    </row>
    <row r="98" spans="5:6">
      <c r="E98" s="325"/>
      <c r="F98" s="325"/>
    </row>
    <row r="99" spans="5:6">
      <c r="E99" s="325"/>
      <c r="F99" s="325"/>
    </row>
    <row r="100" spans="5:6">
      <c r="E100" s="325"/>
      <c r="F100" s="325"/>
    </row>
    <row r="101" spans="5:6">
      <c r="E101" s="325"/>
      <c r="F101" s="325"/>
    </row>
    <row r="102" spans="5:6">
      <c r="E102" s="325"/>
      <c r="F102" s="325"/>
    </row>
    <row r="103" spans="5:6">
      <c r="E103" s="325"/>
      <c r="F103" s="325"/>
    </row>
    <row r="104" spans="5:6">
      <c r="E104" s="325"/>
      <c r="F104" s="325"/>
    </row>
    <row r="105" spans="5:6">
      <c r="E105" s="325"/>
      <c r="F105" s="325"/>
    </row>
    <row r="106" spans="5:6">
      <c r="E106" s="325"/>
      <c r="F106" s="325"/>
    </row>
    <row r="107" spans="5:6">
      <c r="E107" s="325"/>
      <c r="F107" s="325"/>
    </row>
    <row r="108" spans="5:6">
      <c r="E108" s="325"/>
      <c r="F108" s="325"/>
    </row>
    <row r="109" spans="5:6">
      <c r="E109" s="325"/>
      <c r="F109" s="325"/>
    </row>
    <row r="110" spans="5:6">
      <c r="E110" s="325"/>
      <c r="F110" s="325"/>
    </row>
    <row r="111" spans="5:6">
      <c r="E111" s="325"/>
      <c r="F111" s="325"/>
    </row>
    <row r="112" spans="5:6">
      <c r="E112" s="325"/>
      <c r="F112" s="325"/>
    </row>
    <row r="113" spans="5:6">
      <c r="E113" s="325"/>
      <c r="F113" s="325"/>
    </row>
    <row r="114" spans="5:6">
      <c r="E114" s="325"/>
      <c r="F114" s="325"/>
    </row>
    <row r="115" spans="5:6">
      <c r="E115" s="325"/>
      <c r="F115" s="325"/>
    </row>
    <row r="116" spans="5:6">
      <c r="E116" s="325"/>
      <c r="F116" s="325"/>
    </row>
  </sheetData>
  <pageMargins left="0.70866141732283472" right="0.51181102362204722" top="1.4311417322834645" bottom="0.62992125984251968" header="0.31496062992125984" footer="0.31496062992125984"/>
  <pageSetup paperSize="9" scale="95" orientation="portrait" r:id="rId1"/>
  <headerFooter>
    <oddHeader>&amp;R&amp;7Informe de la Operación Mensual - Enero 2019
INFSGI-MES-01-2019
13/02/2019
Versión: 01</oddHeader>
    <oddFooter>&amp;L&amp;7COES, 2019&amp;C27&amp;R&amp;7Dirección Ejecutiva
Sub Dirección de Gestión de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W67"/>
  <sheetViews>
    <sheetView showGridLines="0" view="pageBreakPreview" zoomScale="115" zoomScaleNormal="100" zoomScaleSheetLayoutView="115" zoomScalePageLayoutView="145" workbookViewId="0">
      <selection activeCell="M24" sqref="M24"/>
    </sheetView>
  </sheetViews>
  <sheetFormatPr defaultColWidth="9.33203125" defaultRowHeight="11.25"/>
  <cols>
    <col min="1" max="1" width="7.5" style="46" customWidth="1"/>
    <col min="2" max="9" width="9.33203125" style="46"/>
    <col min="10" max="11" width="9.33203125" style="46" customWidth="1"/>
    <col min="12" max="12" width="10.33203125" style="46" customWidth="1"/>
    <col min="13" max="13" width="9.33203125" style="46"/>
    <col min="14" max="14" width="9.33203125" style="331"/>
    <col min="15" max="16" width="10.1640625" style="373" bestFit="1" customWidth="1"/>
    <col min="17" max="17" width="11.5" style="373" customWidth="1"/>
    <col min="18" max="23" width="9.33203125" style="373"/>
    <col min="24" max="16384" width="9.33203125" style="46"/>
  </cols>
  <sheetData>
    <row r="1" spans="1:17" ht="27.75" customHeight="1">
      <c r="A1" s="800" t="s">
        <v>22</v>
      </c>
      <c r="B1" s="800"/>
      <c r="C1" s="800"/>
      <c r="D1" s="800"/>
      <c r="E1" s="800"/>
      <c r="F1" s="800"/>
      <c r="G1" s="800"/>
      <c r="H1" s="800"/>
      <c r="I1" s="800"/>
      <c r="J1" s="800"/>
      <c r="K1" s="800"/>
      <c r="L1" s="800"/>
      <c r="M1" s="800"/>
      <c r="N1" s="330"/>
      <c r="O1" s="372"/>
      <c r="P1" s="372"/>
      <c r="Q1" s="372"/>
    </row>
    <row r="2" spans="1:17" ht="11.25" customHeight="1">
      <c r="A2" s="41"/>
      <c r="B2" s="40"/>
      <c r="C2" s="65"/>
      <c r="D2" s="65"/>
      <c r="E2" s="65"/>
      <c r="F2" s="65"/>
      <c r="G2" s="65"/>
      <c r="H2" s="65"/>
      <c r="I2" s="65"/>
      <c r="J2" s="65"/>
      <c r="K2" s="40"/>
      <c r="L2" s="40"/>
      <c r="M2" s="40"/>
      <c r="N2" s="330"/>
      <c r="O2" s="372"/>
      <c r="P2" s="372"/>
      <c r="Q2" s="372"/>
    </row>
    <row r="3" spans="1:17" ht="21.75" customHeight="1">
      <c r="A3" s="40"/>
      <c r="B3" s="42"/>
      <c r="C3" s="807" t="str">
        <f>+UPPER(Q4)&amp;" "&amp;Q5</f>
        <v>ENERO 2019</v>
      </c>
      <c r="D3" s="800"/>
      <c r="E3" s="800"/>
      <c r="F3" s="800"/>
      <c r="G3" s="800"/>
      <c r="H3" s="800"/>
      <c r="I3" s="800"/>
      <c r="J3" s="800"/>
      <c r="K3" s="40"/>
      <c r="L3" s="40"/>
      <c r="M3" s="40"/>
      <c r="N3" s="330"/>
      <c r="O3" s="372"/>
      <c r="P3" s="372"/>
      <c r="Q3" s="372"/>
    </row>
    <row r="4" spans="1:17" ht="11.25" customHeight="1">
      <c r="A4" s="40"/>
      <c r="B4" s="42"/>
      <c r="C4" s="40"/>
      <c r="D4" s="40"/>
      <c r="E4" s="40"/>
      <c r="F4" s="40"/>
      <c r="G4" s="40"/>
      <c r="H4" s="40"/>
      <c r="I4" s="40"/>
      <c r="J4" s="40"/>
      <c r="K4" s="40"/>
      <c r="L4" s="40"/>
      <c r="M4" s="40"/>
      <c r="N4" s="332"/>
      <c r="O4" s="374"/>
      <c r="P4" s="372" t="s">
        <v>220</v>
      </c>
      <c r="Q4" s="375" t="s">
        <v>632</v>
      </c>
    </row>
    <row r="5" spans="1:17" ht="11.25" customHeight="1">
      <c r="A5" s="47"/>
      <c r="B5" s="48"/>
      <c r="C5" s="49"/>
      <c r="D5" s="49"/>
      <c r="E5" s="49"/>
      <c r="F5" s="49"/>
      <c r="G5" s="49"/>
      <c r="H5" s="49"/>
      <c r="I5" s="49"/>
      <c r="J5" s="49"/>
      <c r="K5" s="49"/>
      <c r="L5" s="49"/>
      <c r="M5" s="40"/>
      <c r="N5" s="332"/>
      <c r="O5" s="374"/>
      <c r="P5" s="372" t="s">
        <v>221</v>
      </c>
      <c r="Q5" s="374">
        <v>2019</v>
      </c>
    </row>
    <row r="6" spans="1:17" ht="17.25" customHeight="1">
      <c r="A6" s="60" t="s">
        <v>491</v>
      </c>
      <c r="B6" s="40"/>
      <c r="C6" s="40"/>
      <c r="D6" s="40"/>
      <c r="E6" s="40"/>
      <c r="F6" s="40"/>
      <c r="G6" s="40"/>
      <c r="H6" s="40"/>
      <c r="I6" s="40"/>
      <c r="J6" s="40"/>
      <c r="K6" s="40"/>
      <c r="L6" s="40"/>
      <c r="M6" s="40"/>
      <c r="N6" s="330"/>
      <c r="O6" s="372"/>
      <c r="P6" s="372"/>
      <c r="Q6" s="383">
        <v>43466</v>
      </c>
    </row>
    <row r="7" spans="1:17" ht="11.25" customHeight="1">
      <c r="A7" s="40"/>
      <c r="B7" s="40"/>
      <c r="C7" s="40"/>
      <c r="D7" s="40"/>
      <c r="E7" s="40"/>
      <c r="F7" s="40"/>
      <c r="G7" s="40"/>
      <c r="H7" s="40"/>
      <c r="I7" s="40"/>
      <c r="J7" s="40"/>
      <c r="K7" s="40"/>
      <c r="L7" s="40"/>
      <c r="M7" s="40"/>
      <c r="N7" s="330"/>
      <c r="O7" s="372"/>
      <c r="P7" s="372"/>
      <c r="Q7" s="372">
        <v>31</v>
      </c>
    </row>
    <row r="8" spans="1:17" ht="11.25" customHeight="1">
      <c r="A8" s="43"/>
      <c r="B8" s="43"/>
      <c r="C8" s="43"/>
      <c r="D8" s="43"/>
      <c r="E8" s="43"/>
      <c r="F8" s="43"/>
      <c r="G8" s="43"/>
      <c r="H8" s="43"/>
      <c r="I8" s="43"/>
      <c r="J8" s="43"/>
      <c r="K8" s="43"/>
      <c r="L8" s="43"/>
      <c r="M8" s="43"/>
      <c r="N8" s="333"/>
      <c r="O8" s="376"/>
      <c r="P8" s="376"/>
      <c r="Q8" s="376"/>
    </row>
    <row r="9" spans="1:17" ht="11.25" customHeight="1">
      <c r="A9" s="40" t="str">
        <f>"1.1. Producción de energía eléctrica en "&amp;LOWER(Q4)&amp;" "&amp;Q5&amp;" en comparación al mismo mes del año anterior"</f>
        <v>1.1. Producción de energía eléctrica en enero 2019 en comparación al mismo mes del año anterior</v>
      </c>
      <c r="B9" s="40"/>
      <c r="C9" s="40"/>
      <c r="D9" s="40"/>
      <c r="E9" s="40"/>
      <c r="F9" s="40"/>
      <c r="G9" s="40"/>
      <c r="H9" s="40"/>
      <c r="I9" s="40"/>
      <c r="J9" s="40"/>
      <c r="K9" s="40"/>
      <c r="L9" s="40"/>
      <c r="M9" s="40"/>
      <c r="N9" s="330"/>
      <c r="O9" s="372"/>
      <c r="P9" s="372"/>
      <c r="Q9" s="372"/>
    </row>
    <row r="10" spans="1:17" ht="11.25" customHeight="1">
      <c r="A10" s="47"/>
      <c r="B10" s="44"/>
      <c r="C10" s="44"/>
      <c r="D10" s="44"/>
      <c r="E10" s="44"/>
      <c r="F10" s="44"/>
      <c r="G10" s="44"/>
      <c r="H10" s="44"/>
      <c r="I10" s="44"/>
      <c r="J10" s="44"/>
      <c r="K10" s="44"/>
      <c r="L10" s="44"/>
      <c r="M10" s="44"/>
      <c r="N10" s="332"/>
      <c r="O10" s="374"/>
      <c r="P10" s="374"/>
      <c r="Q10" s="374"/>
    </row>
    <row r="11" spans="1:17" ht="11.25" customHeight="1">
      <c r="A11" s="50"/>
      <c r="B11" s="50"/>
      <c r="C11" s="50"/>
      <c r="D11" s="50"/>
      <c r="E11" s="50"/>
      <c r="F11" s="50"/>
      <c r="G11" s="50"/>
      <c r="H11" s="50"/>
      <c r="I11" s="50"/>
      <c r="J11" s="50"/>
      <c r="K11" s="50"/>
      <c r="L11" s="50"/>
      <c r="M11" s="50"/>
      <c r="N11" s="334"/>
      <c r="O11" s="377"/>
      <c r="P11" s="377"/>
      <c r="Q11" s="377"/>
    </row>
    <row r="12" spans="1:17" ht="26.25" customHeight="1">
      <c r="A12" s="62" t="s">
        <v>23</v>
      </c>
      <c r="B12" s="806" t="s">
        <v>633</v>
      </c>
      <c r="C12" s="806"/>
      <c r="D12" s="806"/>
      <c r="E12" s="806"/>
      <c r="F12" s="806"/>
      <c r="G12" s="806"/>
      <c r="H12" s="806"/>
      <c r="I12" s="806"/>
      <c r="J12" s="806"/>
      <c r="K12" s="806"/>
      <c r="L12" s="806"/>
      <c r="M12" s="806"/>
      <c r="N12" s="332"/>
      <c r="O12" s="374"/>
      <c r="P12" s="374"/>
      <c r="Q12" s="374"/>
    </row>
    <row r="13" spans="1:17" ht="12.75" customHeight="1">
      <c r="A13" s="40"/>
      <c r="B13" s="64"/>
      <c r="C13" s="64"/>
      <c r="D13" s="64"/>
      <c r="E13" s="64"/>
      <c r="F13" s="64"/>
      <c r="G13" s="64"/>
      <c r="H13" s="64"/>
      <c r="I13" s="64"/>
      <c r="J13" s="64"/>
      <c r="K13" s="64"/>
      <c r="L13" s="64"/>
      <c r="M13" s="44"/>
      <c r="N13" s="332"/>
      <c r="O13" s="374"/>
      <c r="P13" s="374"/>
      <c r="Q13" s="374"/>
    </row>
    <row r="14" spans="1:17" ht="28.5" customHeight="1">
      <c r="A14" s="62" t="s">
        <v>23</v>
      </c>
      <c r="B14" s="806" t="s">
        <v>634</v>
      </c>
      <c r="C14" s="806"/>
      <c r="D14" s="806"/>
      <c r="E14" s="806"/>
      <c r="F14" s="806"/>
      <c r="G14" s="806"/>
      <c r="H14" s="806"/>
      <c r="I14" s="806"/>
      <c r="J14" s="806"/>
      <c r="K14" s="806"/>
      <c r="L14" s="806"/>
      <c r="M14" s="806"/>
      <c r="N14" s="332"/>
      <c r="O14" s="374"/>
      <c r="P14" s="374"/>
      <c r="Q14" s="374"/>
    </row>
    <row r="15" spans="1:17" ht="15" customHeight="1">
      <c r="A15" s="63"/>
      <c r="B15" s="64"/>
      <c r="C15" s="64"/>
      <c r="D15" s="64"/>
      <c r="E15" s="64"/>
      <c r="F15" s="64"/>
      <c r="G15" s="64"/>
      <c r="H15" s="64"/>
      <c r="I15" s="64"/>
      <c r="J15" s="64"/>
      <c r="K15" s="64"/>
      <c r="L15" s="64"/>
      <c r="M15" s="44"/>
      <c r="N15" s="332"/>
      <c r="O15" s="374"/>
      <c r="P15" s="374"/>
      <c r="Q15" s="374"/>
    </row>
    <row r="16" spans="1:17" ht="59.25" customHeight="1">
      <c r="A16" s="62" t="s">
        <v>23</v>
      </c>
      <c r="B16" s="806" t="s">
        <v>635</v>
      </c>
      <c r="C16" s="806"/>
      <c r="D16" s="806"/>
      <c r="E16" s="806"/>
      <c r="F16" s="806"/>
      <c r="G16" s="806"/>
      <c r="H16" s="806"/>
      <c r="I16" s="806"/>
      <c r="J16" s="806"/>
      <c r="K16" s="806"/>
      <c r="L16" s="806"/>
      <c r="M16" s="806"/>
      <c r="N16" s="332"/>
      <c r="O16" s="374"/>
      <c r="P16" s="374"/>
      <c r="Q16" s="374"/>
    </row>
    <row r="17" spans="1:18" ht="17.25" customHeight="1">
      <c r="A17" s="44"/>
      <c r="B17" s="44"/>
      <c r="C17" s="44"/>
      <c r="D17" s="44"/>
      <c r="E17" s="44"/>
      <c r="F17" s="44"/>
      <c r="G17" s="44"/>
      <c r="H17" s="44"/>
      <c r="I17" s="44"/>
      <c r="J17" s="44"/>
      <c r="K17" s="44"/>
      <c r="L17" s="44"/>
      <c r="M17" s="44"/>
      <c r="N17" s="332"/>
      <c r="O17" s="374"/>
      <c r="P17" s="374"/>
      <c r="Q17" s="374"/>
    </row>
    <row r="18" spans="1:18" ht="25.5" customHeight="1">
      <c r="A18" s="61" t="s">
        <v>23</v>
      </c>
      <c r="B18" s="805" t="s">
        <v>636</v>
      </c>
      <c r="C18" s="805"/>
      <c r="D18" s="805"/>
      <c r="E18" s="805"/>
      <c r="F18" s="805"/>
      <c r="G18" s="805"/>
      <c r="H18" s="805"/>
      <c r="I18" s="805"/>
      <c r="J18" s="805"/>
      <c r="K18" s="805"/>
      <c r="L18" s="805"/>
      <c r="M18" s="805"/>
      <c r="N18" s="332"/>
      <c r="O18" s="374"/>
      <c r="P18" s="374"/>
      <c r="Q18" s="374"/>
    </row>
    <row r="19" spans="1:18" ht="11.25" customHeight="1">
      <c r="A19" s="44"/>
      <c r="B19" s="44"/>
      <c r="C19" s="44"/>
      <c r="D19" s="44"/>
      <c r="E19" s="44"/>
      <c r="F19" s="44"/>
      <c r="G19" s="44"/>
      <c r="H19" s="44"/>
      <c r="I19" s="44"/>
      <c r="J19" s="44"/>
      <c r="K19" s="44"/>
      <c r="L19" s="44"/>
      <c r="M19" s="44"/>
      <c r="N19" s="332"/>
      <c r="O19" s="374"/>
      <c r="P19" s="374"/>
      <c r="Q19" s="374"/>
    </row>
    <row r="20" spans="1:18" ht="15.75" customHeight="1">
      <c r="A20" s="44"/>
      <c r="B20" s="44"/>
      <c r="C20" s="804" t="str">
        <f>+UPPER(Q4)&amp;" "&amp;Q5</f>
        <v>ENERO 2019</v>
      </c>
      <c r="D20" s="804"/>
      <c r="E20" s="804"/>
      <c r="F20" s="40"/>
      <c r="G20" s="40"/>
      <c r="H20" s="40"/>
      <c r="I20" s="804" t="str">
        <f>+UPPER(Q4)&amp;" "&amp;Q5-1</f>
        <v>ENERO 2018</v>
      </c>
      <c r="J20" s="804"/>
      <c r="K20" s="804"/>
      <c r="L20" s="44"/>
      <c r="M20" s="44"/>
      <c r="Q20" s="374"/>
    </row>
    <row r="21" spans="1:18" ht="11.25" customHeight="1">
      <c r="A21" s="44"/>
      <c r="B21" s="44"/>
      <c r="C21" s="44"/>
      <c r="D21" s="44"/>
      <c r="E21" s="44"/>
      <c r="F21" s="44"/>
      <c r="G21" s="44"/>
      <c r="H21" s="44"/>
      <c r="I21" s="44"/>
      <c r="J21" s="44"/>
      <c r="K21" s="44"/>
      <c r="L21" s="44"/>
      <c r="M21" s="44"/>
      <c r="Q21" s="374"/>
    </row>
    <row r="22" spans="1:18" ht="11.25" customHeight="1">
      <c r="A22" s="51"/>
      <c r="B22" s="52"/>
      <c r="C22" s="52"/>
      <c r="D22" s="52"/>
      <c r="E22" s="52"/>
      <c r="F22" s="52"/>
      <c r="G22" s="52"/>
      <c r="H22" s="52"/>
      <c r="I22" s="52"/>
      <c r="J22" s="52"/>
      <c r="K22" s="52"/>
      <c r="L22" s="52"/>
      <c r="M22" s="52"/>
      <c r="N22" s="410" t="s">
        <v>31</v>
      </c>
      <c r="O22" s="378">
        <v>43282</v>
      </c>
      <c r="P22" s="378">
        <v>42917</v>
      </c>
    </row>
    <row r="23" spans="1:18" ht="11.25" customHeight="1">
      <c r="A23" s="51"/>
      <c r="B23" s="52"/>
      <c r="C23" s="52"/>
      <c r="D23" s="52"/>
      <c r="E23" s="52"/>
      <c r="F23" s="52"/>
      <c r="G23" s="52"/>
      <c r="H23" s="52"/>
      <c r="I23" s="52"/>
      <c r="J23" s="52"/>
      <c r="K23" s="52"/>
      <c r="L23" s="52"/>
      <c r="M23" s="52"/>
      <c r="N23" s="410" t="s">
        <v>24</v>
      </c>
      <c r="O23" s="379">
        <v>2780.5065075125008</v>
      </c>
      <c r="P23" s="379">
        <v>2939.1774245275028</v>
      </c>
      <c r="Q23" s="380"/>
    </row>
    <row r="24" spans="1:18" ht="11.25" customHeight="1">
      <c r="A24" s="44"/>
      <c r="B24" s="44"/>
      <c r="C24" s="44"/>
      <c r="D24" s="44"/>
      <c r="E24" s="43"/>
      <c r="F24" s="44"/>
      <c r="G24" s="44"/>
      <c r="H24" s="44"/>
      <c r="I24" s="44"/>
      <c r="J24" s="44"/>
      <c r="K24" s="44"/>
      <c r="L24" s="44"/>
      <c r="M24" s="43"/>
      <c r="N24" s="411" t="s">
        <v>25</v>
      </c>
      <c r="O24" s="381">
        <v>1526.0166186499998</v>
      </c>
      <c r="P24" s="381">
        <v>1157.3347639050003</v>
      </c>
      <c r="Q24" s="379"/>
      <c r="R24" s="379"/>
    </row>
    <row r="25" spans="1:18" ht="11.25" customHeight="1">
      <c r="A25" s="44"/>
      <c r="B25" s="44"/>
      <c r="C25" s="44"/>
      <c r="D25" s="44"/>
      <c r="E25" s="44"/>
      <c r="F25" s="44"/>
      <c r="G25" s="44"/>
      <c r="H25" s="44"/>
      <c r="I25" s="44"/>
      <c r="J25" s="53"/>
      <c r="K25" s="53"/>
      <c r="L25" s="44"/>
      <c r="M25" s="44"/>
      <c r="N25" s="411" t="s">
        <v>26</v>
      </c>
      <c r="O25" s="381">
        <v>4.0722708399999998</v>
      </c>
      <c r="P25" s="381">
        <v>0</v>
      </c>
      <c r="Q25" s="382"/>
    </row>
    <row r="26" spans="1:18" ht="11.25" customHeight="1">
      <c r="A26" s="44"/>
      <c r="B26" s="44"/>
      <c r="C26" s="44"/>
      <c r="D26" s="44"/>
      <c r="E26" s="44"/>
      <c r="F26" s="44"/>
      <c r="G26" s="44"/>
      <c r="H26" s="44"/>
      <c r="I26" s="44"/>
      <c r="J26" s="53"/>
      <c r="K26" s="53"/>
      <c r="L26" s="44"/>
      <c r="M26" s="44"/>
      <c r="N26" s="410" t="s">
        <v>27</v>
      </c>
      <c r="O26" s="379">
        <v>7.1798674174999997</v>
      </c>
      <c r="P26" s="379">
        <v>0.92569475499999998</v>
      </c>
      <c r="Q26" s="382"/>
    </row>
    <row r="27" spans="1:18" ht="11.25" customHeight="1">
      <c r="A27" s="44"/>
      <c r="B27" s="44"/>
      <c r="C27" s="44"/>
      <c r="D27" s="44"/>
      <c r="E27" s="44"/>
      <c r="F27" s="44"/>
      <c r="G27" s="44"/>
      <c r="H27" s="44"/>
      <c r="I27" s="44"/>
      <c r="J27" s="53"/>
      <c r="K27" s="44"/>
      <c r="L27" s="44"/>
      <c r="M27" s="44"/>
      <c r="N27" s="410" t="s">
        <v>28</v>
      </c>
      <c r="O27" s="379">
        <v>12.904259422500001</v>
      </c>
      <c r="P27" s="379">
        <v>10.77701675</v>
      </c>
      <c r="Q27" s="382"/>
    </row>
    <row r="28" spans="1:18" ht="11.25" customHeight="1">
      <c r="A28" s="44"/>
      <c r="B28" s="44"/>
      <c r="C28" s="53"/>
      <c r="D28" s="53"/>
      <c r="E28" s="53"/>
      <c r="F28" s="53"/>
      <c r="G28" s="53"/>
      <c r="H28" s="53"/>
      <c r="I28" s="53"/>
      <c r="J28" s="53"/>
      <c r="K28" s="53"/>
      <c r="L28" s="44"/>
      <c r="M28" s="44"/>
      <c r="N28" s="410" t="s">
        <v>29</v>
      </c>
      <c r="O28" s="379">
        <v>110.11578868249998</v>
      </c>
      <c r="P28" s="379">
        <v>87.37300737999999</v>
      </c>
      <c r="Q28" s="382"/>
    </row>
    <row r="29" spans="1:18" ht="11.25" customHeight="1">
      <c r="A29" s="44"/>
      <c r="B29" s="44"/>
      <c r="C29" s="53"/>
      <c r="D29" s="53"/>
      <c r="E29" s="53"/>
      <c r="F29" s="53"/>
      <c r="G29" s="53"/>
      <c r="H29" s="53"/>
      <c r="I29" s="53"/>
      <c r="J29" s="53"/>
      <c r="K29" s="53"/>
      <c r="L29" s="44"/>
      <c r="M29" s="44"/>
      <c r="N29" s="410" t="s">
        <v>30</v>
      </c>
      <c r="O29" s="379">
        <v>56.281983437499996</v>
      </c>
      <c r="P29" s="379">
        <v>59.658878850000001</v>
      </c>
      <c r="Q29" s="382"/>
    </row>
    <row r="30" spans="1:18" ht="11.25" customHeight="1">
      <c r="A30" s="44"/>
      <c r="B30" s="44"/>
      <c r="C30" s="53"/>
      <c r="D30" s="53"/>
      <c r="E30" s="53"/>
      <c r="F30" s="53"/>
      <c r="G30" s="53"/>
      <c r="H30" s="53"/>
      <c r="I30" s="53"/>
      <c r="J30" s="53"/>
      <c r="K30" s="53"/>
      <c r="L30" s="44"/>
      <c r="M30" s="44"/>
      <c r="N30" s="410"/>
      <c r="O30" s="382"/>
      <c r="P30" s="382"/>
      <c r="Q30" s="382"/>
    </row>
    <row r="31" spans="1:18" ht="11.25" customHeight="1">
      <c r="A31" s="44"/>
      <c r="B31" s="44"/>
      <c r="C31" s="53"/>
      <c r="D31" s="53"/>
      <c r="E31" s="53"/>
      <c r="F31" s="53"/>
      <c r="G31" s="53"/>
      <c r="H31" s="53"/>
      <c r="I31" s="53"/>
      <c r="J31" s="53"/>
      <c r="K31" s="53"/>
      <c r="L31" s="44"/>
      <c r="M31" s="44"/>
      <c r="O31" s="433"/>
      <c r="P31" s="433"/>
      <c r="Q31" s="434"/>
    </row>
    <row r="32" spans="1:18" ht="11.25" customHeight="1">
      <c r="A32" s="44"/>
      <c r="B32" s="44"/>
      <c r="C32" s="53"/>
      <c r="D32" s="53"/>
      <c r="E32" s="53"/>
      <c r="F32" s="53"/>
      <c r="G32" s="53"/>
      <c r="H32" s="53"/>
      <c r="I32" s="53"/>
      <c r="J32" s="53"/>
      <c r="K32" s="53"/>
      <c r="L32" s="44"/>
      <c r="M32" s="44"/>
      <c r="Q32" s="374"/>
    </row>
    <row r="33" spans="1:17" ht="11.25" customHeight="1">
      <c r="A33" s="44"/>
      <c r="B33" s="44"/>
      <c r="C33" s="53"/>
      <c r="D33" s="53"/>
      <c r="E33" s="53"/>
      <c r="F33" s="53"/>
      <c r="G33" s="53"/>
      <c r="H33" s="53"/>
      <c r="I33" s="53"/>
      <c r="J33" s="53"/>
      <c r="K33" s="53"/>
      <c r="L33" s="44"/>
      <c r="M33" s="44"/>
      <c r="Q33" s="374"/>
    </row>
    <row r="34" spans="1:17" ht="11.25" customHeight="1">
      <c r="A34" s="44"/>
      <c r="B34" s="44"/>
      <c r="C34" s="53"/>
      <c r="D34" s="53"/>
      <c r="E34" s="53"/>
      <c r="F34" s="53"/>
      <c r="G34" s="53"/>
      <c r="H34" s="53"/>
      <c r="I34" s="53"/>
      <c r="J34" s="53"/>
      <c r="K34" s="53"/>
      <c r="L34" s="44"/>
      <c r="M34" s="44"/>
      <c r="Q34" s="374"/>
    </row>
    <row r="35" spans="1:17" ht="11.25" customHeight="1">
      <c r="A35" s="54"/>
      <c r="B35" s="54"/>
      <c r="C35" s="55"/>
      <c r="D35" s="55"/>
      <c r="E35" s="55"/>
      <c r="F35" s="55"/>
      <c r="G35" s="55"/>
      <c r="H35" s="55"/>
      <c r="I35" s="55"/>
      <c r="J35" s="54"/>
      <c r="K35" s="54"/>
      <c r="L35" s="54"/>
      <c r="M35" s="54"/>
      <c r="Q35" s="374"/>
    </row>
    <row r="36" spans="1:17" ht="11.25" customHeight="1">
      <c r="A36" s="54"/>
      <c r="B36" s="54"/>
      <c r="C36" s="55"/>
      <c r="D36" s="55"/>
      <c r="E36" s="55"/>
      <c r="F36" s="55"/>
      <c r="G36" s="55"/>
      <c r="H36" s="55"/>
      <c r="I36" s="55"/>
      <c r="J36" s="54"/>
      <c r="K36" s="54"/>
      <c r="L36" s="54"/>
      <c r="M36" s="54"/>
      <c r="Q36" s="374"/>
    </row>
    <row r="37" spans="1:17" ht="11.25" customHeight="1">
      <c r="A37" s="54"/>
      <c r="B37" s="54"/>
      <c r="C37" s="55"/>
      <c r="D37" s="55"/>
      <c r="E37" s="55"/>
      <c r="F37" s="55"/>
      <c r="G37" s="55"/>
      <c r="H37" s="55"/>
      <c r="I37" s="55"/>
      <c r="J37" s="54"/>
      <c r="K37" s="54"/>
      <c r="L37" s="54"/>
      <c r="M37" s="54"/>
      <c r="N37" s="332"/>
      <c r="O37" s="374"/>
      <c r="P37" s="374"/>
      <c r="Q37" s="374"/>
    </row>
    <row r="38" spans="1:17" ht="11.25" customHeight="1">
      <c r="A38" s="54"/>
      <c r="B38" s="54"/>
      <c r="C38" s="55"/>
      <c r="D38" s="55"/>
      <c r="E38" s="55"/>
      <c r="F38" s="55"/>
      <c r="G38" s="55"/>
      <c r="H38" s="55"/>
      <c r="I38" s="55"/>
      <c r="J38" s="54"/>
      <c r="K38" s="54"/>
      <c r="L38" s="54"/>
      <c r="M38" s="54"/>
      <c r="N38" s="332"/>
      <c r="O38" s="374"/>
      <c r="P38" s="374"/>
      <c r="Q38" s="374"/>
    </row>
    <row r="39" spans="1:17" ht="11.25" customHeight="1">
      <c r="A39" s="54"/>
      <c r="B39" s="54"/>
      <c r="C39" s="55"/>
      <c r="D39" s="55"/>
      <c r="E39" s="55"/>
      <c r="F39" s="55"/>
      <c r="G39" s="55"/>
      <c r="H39" s="55"/>
      <c r="I39" s="55"/>
      <c r="J39" s="54"/>
      <c r="K39" s="54"/>
      <c r="L39" s="54"/>
      <c r="M39" s="54"/>
      <c r="N39" s="332"/>
      <c r="O39" s="374"/>
      <c r="P39" s="374"/>
      <c r="Q39" s="374"/>
    </row>
    <row r="40" spans="1:17" ht="11.25" customHeight="1">
      <c r="A40" s="54"/>
      <c r="B40" s="54"/>
      <c r="C40" s="55"/>
      <c r="D40" s="55"/>
      <c r="E40" s="55"/>
      <c r="F40" s="55"/>
      <c r="G40" s="55"/>
      <c r="H40" s="55"/>
      <c r="I40" s="55"/>
      <c r="J40" s="54"/>
      <c r="K40" s="54"/>
      <c r="L40" s="54"/>
      <c r="M40" s="54"/>
      <c r="N40" s="332"/>
      <c r="O40" s="374"/>
      <c r="P40" s="374"/>
      <c r="Q40" s="374"/>
    </row>
    <row r="41" spans="1:17" ht="11.25" customHeight="1">
      <c r="A41" s="54"/>
      <c r="B41" s="54"/>
      <c r="C41" s="54"/>
      <c r="D41" s="55"/>
      <c r="E41" s="55"/>
      <c r="F41" s="55"/>
      <c r="G41" s="55"/>
      <c r="H41" s="54"/>
      <c r="I41" s="54"/>
      <c r="J41" s="54"/>
      <c r="K41" s="54"/>
      <c r="L41" s="54"/>
      <c r="M41" s="54"/>
      <c r="N41" s="332"/>
      <c r="O41" s="374"/>
      <c r="P41" s="374"/>
      <c r="Q41" s="374"/>
    </row>
    <row r="42" spans="1:17" ht="11.25" customHeight="1">
      <c r="A42" s="54"/>
      <c r="B42" s="54"/>
      <c r="C42" s="55"/>
      <c r="D42" s="55"/>
      <c r="E42" s="55"/>
      <c r="F42" s="55"/>
      <c r="G42" s="55"/>
      <c r="H42" s="55"/>
      <c r="I42" s="55"/>
      <c r="J42" s="54"/>
      <c r="K42" s="54"/>
      <c r="L42" s="54"/>
      <c r="M42" s="54"/>
      <c r="N42" s="332"/>
      <c r="O42" s="374"/>
      <c r="P42" s="374"/>
      <c r="Q42" s="374"/>
    </row>
    <row r="43" spans="1:17" ht="11.25" customHeight="1">
      <c r="A43" s="54"/>
      <c r="B43" s="54"/>
      <c r="C43" s="55"/>
      <c r="D43" s="55"/>
      <c r="E43" s="55"/>
      <c r="F43" s="55"/>
      <c r="G43" s="55"/>
      <c r="H43" s="55"/>
      <c r="I43" s="55"/>
      <c r="J43" s="54"/>
      <c r="K43" s="54"/>
      <c r="L43" s="54"/>
      <c r="M43" s="54"/>
      <c r="N43" s="332"/>
      <c r="O43" s="374"/>
      <c r="P43" s="374"/>
      <c r="Q43" s="374"/>
    </row>
    <row r="44" spans="1:17" ht="11.25" customHeight="1">
      <c r="A44" s="54"/>
      <c r="B44" s="54"/>
      <c r="C44" s="55"/>
      <c r="D44" s="55"/>
      <c r="E44" s="55"/>
      <c r="F44" s="55"/>
      <c r="G44" s="55"/>
      <c r="H44" s="55"/>
      <c r="I44" s="55"/>
      <c r="J44" s="54"/>
      <c r="K44" s="54"/>
      <c r="L44" s="54"/>
      <c r="M44" s="54"/>
      <c r="N44" s="332"/>
      <c r="O44" s="374"/>
      <c r="P44" s="374"/>
      <c r="Q44" s="374"/>
    </row>
    <row r="45" spans="1:17" ht="11.25" customHeight="1">
      <c r="A45" s="54"/>
      <c r="B45" s="54"/>
      <c r="C45" s="55"/>
      <c r="D45" s="55"/>
      <c r="E45" s="55"/>
      <c r="F45" s="55"/>
      <c r="G45" s="55"/>
      <c r="H45" s="55"/>
      <c r="I45" s="55"/>
      <c r="J45" s="54"/>
      <c r="K45" s="54"/>
      <c r="L45" s="54"/>
      <c r="M45" s="54"/>
      <c r="N45" s="332"/>
      <c r="O45" s="374"/>
      <c r="P45" s="374"/>
      <c r="Q45" s="374"/>
    </row>
    <row r="46" spans="1:17" ht="11.25" customHeight="1">
      <c r="A46" s="54"/>
      <c r="B46" s="54"/>
      <c r="C46" s="54"/>
      <c r="D46" s="54"/>
      <c r="E46" s="54"/>
      <c r="F46" s="54"/>
      <c r="G46" s="54"/>
      <c r="H46" s="54"/>
      <c r="I46" s="54"/>
      <c r="J46" s="54"/>
      <c r="K46" s="54"/>
      <c r="L46" s="54"/>
      <c r="M46" s="54"/>
      <c r="N46" s="332"/>
      <c r="O46" s="374"/>
      <c r="P46" s="374"/>
      <c r="Q46" s="374"/>
    </row>
    <row r="47" spans="1:17" ht="16.5" customHeight="1">
      <c r="A47" s="54"/>
      <c r="B47" s="803" t="str">
        <f>"Total = "&amp;TEXT(ROUND(SUM(O23:O29),2),"0 000,00")&amp;" GWh"</f>
        <v>Total = 4 497,08 GWh</v>
      </c>
      <c r="C47" s="803"/>
      <c r="D47" s="803"/>
      <c r="E47" s="803"/>
      <c r="F47" s="54"/>
      <c r="G47" s="54"/>
      <c r="H47" s="802" t="str">
        <f>"Total = "&amp;TEXT(ROUND(SUM(P23:P29),2),"0 000,00")&amp;" GWh"</f>
        <v>Total = 4 255,25 GWh</v>
      </c>
      <c r="I47" s="802"/>
      <c r="J47" s="802"/>
      <c r="K47" s="802"/>
      <c r="L47" s="54"/>
      <c r="M47" s="54"/>
      <c r="N47" s="332"/>
      <c r="O47" s="374"/>
      <c r="P47" s="374"/>
      <c r="Q47" s="374"/>
    </row>
    <row r="48" spans="1:17" ht="11.25" customHeight="1">
      <c r="H48" s="54"/>
      <c r="I48" s="54"/>
      <c r="J48" s="54"/>
      <c r="K48" s="54"/>
      <c r="L48" s="54"/>
      <c r="M48" s="54"/>
      <c r="N48" s="332"/>
      <c r="O48" s="374"/>
      <c r="P48" s="374"/>
      <c r="Q48" s="374"/>
    </row>
    <row r="49" spans="1:17" ht="11.25" customHeight="1">
      <c r="B49" s="801" t="str">
        <f>"Gráfico 1: Comparación de producción mensual de electricidad en "&amp;Q4&amp;" por tipo de recurso energético."</f>
        <v>Gráfico 1: Comparación de producción mensual de electricidad en enero por tipo de recurso energético.</v>
      </c>
      <c r="C49" s="801"/>
      <c r="D49" s="801"/>
      <c r="E49" s="801"/>
      <c r="F49" s="801"/>
      <c r="G49" s="801"/>
      <c r="H49" s="801"/>
      <c r="I49" s="801"/>
      <c r="J49" s="801"/>
      <c r="K49" s="801"/>
      <c r="L49" s="801"/>
      <c r="M49" s="244"/>
      <c r="N49" s="335"/>
      <c r="O49" s="374"/>
      <c r="P49" s="374"/>
      <c r="Q49" s="374"/>
    </row>
    <row r="50" spans="1:17" ht="11.25" customHeight="1">
      <c r="A50" s="54"/>
      <c r="B50" s="54"/>
      <c r="C50" s="45"/>
      <c r="D50" s="45"/>
      <c r="E50" s="54"/>
      <c r="F50" s="54"/>
      <c r="G50" s="54"/>
      <c r="H50" s="54"/>
      <c r="I50" s="54"/>
      <c r="J50" s="54"/>
      <c r="K50" s="54"/>
      <c r="L50" s="54"/>
      <c r="M50" s="54"/>
      <c r="N50" s="332"/>
      <c r="O50" s="374"/>
      <c r="P50" s="374"/>
      <c r="Q50" s="374"/>
    </row>
    <row r="51" spans="1:17" ht="11.25" customHeight="1">
      <c r="A51" s="54"/>
      <c r="B51" s="54"/>
      <c r="C51" s="54"/>
      <c r="D51" s="54"/>
      <c r="E51" s="54"/>
      <c r="F51" s="54"/>
      <c r="G51" s="54"/>
      <c r="H51" s="54"/>
      <c r="I51" s="54"/>
      <c r="J51" s="54"/>
      <c r="K51" s="54"/>
      <c r="L51" s="54"/>
      <c r="M51" s="54"/>
      <c r="N51" s="332"/>
      <c r="O51" s="374"/>
      <c r="P51" s="374"/>
      <c r="Q51" s="374"/>
    </row>
    <row r="52" spans="1:17" ht="11.25" customHeight="1">
      <c r="A52" s="54"/>
      <c r="B52" s="54"/>
      <c r="C52" s="54"/>
      <c r="D52" s="54"/>
      <c r="E52" s="54"/>
      <c r="F52" s="54"/>
      <c r="G52" s="54"/>
      <c r="H52" s="54"/>
      <c r="I52" s="54"/>
      <c r="J52" s="54"/>
      <c r="K52" s="54"/>
      <c r="L52" s="54"/>
      <c r="M52" s="54"/>
      <c r="N52" s="332"/>
      <c r="O52" s="374"/>
      <c r="P52" s="374"/>
      <c r="Q52" s="374"/>
    </row>
    <row r="53" spans="1:17" ht="11.25" customHeight="1">
      <c r="A53" s="54"/>
      <c r="B53" s="54"/>
      <c r="C53" s="54"/>
      <c r="D53" s="54"/>
      <c r="E53" s="54"/>
      <c r="F53" s="54"/>
      <c r="G53" s="54"/>
      <c r="H53" s="54"/>
      <c r="I53" s="54"/>
      <c r="J53" s="54"/>
      <c r="K53" s="54"/>
      <c r="L53" s="54"/>
      <c r="M53" s="54"/>
      <c r="N53" s="332"/>
      <c r="O53" s="374"/>
      <c r="P53" s="374"/>
      <c r="Q53" s="374"/>
    </row>
    <row r="54" spans="1:17" ht="11.25" customHeight="1">
      <c r="A54" s="9"/>
      <c r="B54" s="56"/>
      <c r="C54" s="56"/>
      <c r="D54" s="56"/>
      <c r="E54" s="56"/>
      <c r="F54" s="56"/>
      <c r="G54" s="56"/>
      <c r="H54" s="56"/>
      <c r="I54" s="56"/>
      <c r="J54" s="56"/>
      <c r="K54" s="57"/>
      <c r="L54" s="58"/>
    </row>
    <row r="55" spans="1:17" ht="11.25" customHeight="1">
      <c r="A55" s="9"/>
      <c r="B55" s="56"/>
      <c r="C55" s="56"/>
      <c r="D55" s="56"/>
      <c r="E55" s="56"/>
      <c r="F55" s="56"/>
      <c r="G55" s="56"/>
      <c r="H55" s="56"/>
      <c r="I55" s="56"/>
      <c r="J55" s="56"/>
      <c r="K55" s="57"/>
      <c r="L55" s="58"/>
    </row>
    <row r="56" spans="1:17" ht="11.25" customHeight="1">
      <c r="A56" s="59"/>
      <c r="B56" s="59"/>
      <c r="C56" s="59"/>
      <c r="D56" s="59"/>
      <c r="E56" s="59"/>
      <c r="F56" s="59"/>
      <c r="G56" s="59"/>
      <c r="H56" s="59"/>
      <c r="I56" s="59"/>
      <c r="J56" s="59"/>
      <c r="K56" s="59"/>
      <c r="L56" s="59"/>
    </row>
    <row r="57" spans="1:17" ht="11.25" customHeight="1">
      <c r="A57" s="59"/>
      <c r="B57" s="59"/>
      <c r="C57" s="59"/>
      <c r="D57" s="59"/>
      <c r="E57" s="59"/>
      <c r="F57" s="59"/>
      <c r="G57" s="59"/>
      <c r="H57" s="59"/>
      <c r="I57" s="59"/>
      <c r="J57" s="59"/>
      <c r="K57" s="59"/>
      <c r="L57" s="59"/>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2">
      <c r="A61" s="59"/>
      <c r="B61" s="59"/>
      <c r="C61" s="59"/>
      <c r="D61" s="59"/>
      <c r="E61" s="59"/>
      <c r="F61" s="59"/>
      <c r="G61" s="59"/>
      <c r="H61" s="59"/>
      <c r="I61" s="59"/>
      <c r="J61" s="59"/>
      <c r="K61" s="59"/>
      <c r="L61" s="59"/>
    </row>
    <row r="62" spans="1:17" ht="12">
      <c r="A62" s="59"/>
      <c r="B62" s="59"/>
      <c r="C62" s="59"/>
      <c r="D62" s="59"/>
      <c r="E62" s="59"/>
      <c r="F62" s="59"/>
      <c r="G62" s="59"/>
      <c r="H62" s="59"/>
      <c r="I62" s="59"/>
      <c r="J62" s="59"/>
      <c r="K62" s="59"/>
      <c r="L62" s="59"/>
    </row>
    <row r="63" spans="1:17" ht="12">
      <c r="A63" s="59"/>
      <c r="B63" s="59"/>
      <c r="C63" s="59"/>
      <c r="D63" s="59"/>
      <c r="E63" s="59"/>
      <c r="F63" s="59"/>
      <c r="G63" s="59"/>
      <c r="H63" s="59"/>
      <c r="I63" s="59"/>
      <c r="J63" s="59"/>
      <c r="K63" s="59"/>
      <c r="L63" s="59"/>
    </row>
    <row r="64" spans="1:17" ht="12">
      <c r="A64" s="59"/>
      <c r="B64" s="59"/>
      <c r="C64" s="59"/>
      <c r="D64" s="59"/>
      <c r="E64" s="59"/>
      <c r="F64" s="59"/>
      <c r="G64" s="59"/>
      <c r="H64" s="59"/>
      <c r="I64" s="59"/>
      <c r="J64" s="59"/>
      <c r="K64" s="59"/>
      <c r="L64" s="59"/>
    </row>
    <row r="65" spans="1:12" ht="12">
      <c r="A65" s="59"/>
      <c r="B65" s="59"/>
      <c r="C65" s="59"/>
      <c r="D65" s="59"/>
      <c r="E65" s="59"/>
      <c r="F65" s="59"/>
      <c r="G65" s="59"/>
      <c r="H65" s="59"/>
      <c r="I65" s="59"/>
      <c r="J65" s="59"/>
      <c r="K65" s="59"/>
      <c r="L65" s="59"/>
    </row>
    <row r="66" spans="1:12" ht="12">
      <c r="A66" s="59"/>
      <c r="B66" s="59"/>
      <c r="C66" s="59"/>
      <c r="D66" s="59"/>
      <c r="E66" s="59"/>
      <c r="F66" s="59"/>
      <c r="G66" s="59"/>
      <c r="H66" s="59"/>
      <c r="I66" s="59"/>
      <c r="J66" s="59"/>
      <c r="K66" s="59"/>
      <c r="L66" s="59"/>
    </row>
    <row r="67" spans="1:12" ht="12">
      <c r="A67" s="59"/>
      <c r="B67" s="59"/>
      <c r="C67" s="59"/>
      <c r="D67" s="59"/>
      <c r="E67" s="59"/>
      <c r="F67" s="59"/>
      <c r="G67" s="59"/>
      <c r="H67" s="59"/>
      <c r="I67" s="59"/>
      <c r="J67" s="59"/>
      <c r="K67" s="59"/>
      <c r="L67" s="59"/>
    </row>
  </sheetData>
  <mergeCells count="1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3917716535433071" bottom="0.62992125984251968" header="0.31496062992125984" footer="0.31496062992125984"/>
  <pageSetup paperSize="9" scale="95" orientation="portrait" r:id="rId1"/>
  <headerFooter>
    <oddHeader>&amp;R&amp;7Informe de la Operación Mensual - Enero 2019
INFSGI-MES-01-2019
13/02/2019
Versión: 01</oddHeader>
    <oddFooter>&amp;LCOES, 2019&amp;C1&amp;RDirección Ejecutiva
Sub Dirección de Gestión de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4"/>
  </sheetPr>
  <dimension ref="A1:I139"/>
  <sheetViews>
    <sheetView showGridLines="0" view="pageBreakPreview" topLeftCell="D7" zoomScale="145" zoomScaleNormal="100" zoomScaleSheetLayoutView="145" zoomScalePageLayoutView="145" workbookViewId="0">
      <selection activeCell="M24" sqref="M24"/>
    </sheetView>
  </sheetViews>
  <sheetFormatPr defaultColWidth="9.33203125" defaultRowHeight="9"/>
  <cols>
    <col min="1" max="1" width="16.1640625" style="318" customWidth="1"/>
    <col min="2" max="2" width="19.6640625" style="318" customWidth="1"/>
    <col min="3" max="3" width="12.1640625" style="318" bestFit="1" customWidth="1"/>
    <col min="4" max="4" width="47.1640625" style="318" customWidth="1"/>
    <col min="5" max="5" width="11.5" style="318" customWidth="1"/>
    <col min="6" max="6" width="10.5" style="318" customWidth="1"/>
    <col min="7" max="8" width="9.33203125" style="318" customWidth="1"/>
    <col min="9" max="16384" width="9.33203125" style="318"/>
  </cols>
  <sheetData>
    <row r="1" spans="1:9" ht="30" customHeight="1">
      <c r="A1" s="675" t="s">
        <v>277</v>
      </c>
      <c r="B1" s="676" t="s">
        <v>448</v>
      </c>
      <c r="C1" s="675" t="s">
        <v>437</v>
      </c>
      <c r="D1" s="677" t="s">
        <v>449</v>
      </c>
      <c r="E1" s="678" t="s">
        <v>450</v>
      </c>
      <c r="F1" s="678" t="s">
        <v>451</v>
      </c>
      <c r="G1" s="308"/>
      <c r="H1" s="319"/>
      <c r="I1" s="306"/>
    </row>
    <row r="2" spans="1:9" ht="71.25" customHeight="1">
      <c r="A2" s="326" t="s">
        <v>453</v>
      </c>
      <c r="B2" s="326" t="s">
        <v>705</v>
      </c>
      <c r="C2" s="327">
        <v>43484.155555555553</v>
      </c>
      <c r="D2" s="440" t="s">
        <v>707</v>
      </c>
      <c r="E2" s="328">
        <v>2.1800000000000002</v>
      </c>
      <c r="F2" s="328"/>
      <c r="G2" s="307"/>
      <c r="H2" s="307"/>
      <c r="I2" s="324"/>
    </row>
    <row r="3" spans="1:9" ht="74.25" customHeight="1">
      <c r="A3" s="326" t="s">
        <v>453</v>
      </c>
      <c r="B3" s="326" t="s">
        <v>708</v>
      </c>
      <c r="C3" s="327">
        <v>43484.291666666664</v>
      </c>
      <c r="D3" s="440" t="s">
        <v>709</v>
      </c>
      <c r="E3" s="328">
        <v>4.33</v>
      </c>
      <c r="F3" s="328"/>
      <c r="G3" s="307"/>
      <c r="H3" s="307"/>
      <c r="I3" s="322"/>
    </row>
    <row r="4" spans="1:9" ht="72" customHeight="1">
      <c r="A4" s="326" t="s">
        <v>589</v>
      </c>
      <c r="B4" s="326" t="s">
        <v>710</v>
      </c>
      <c r="C4" s="327">
        <v>43484.489583333336</v>
      </c>
      <c r="D4" s="440" t="s">
        <v>711</v>
      </c>
      <c r="E4" s="328">
        <v>87.1</v>
      </c>
      <c r="F4" s="328"/>
      <c r="G4" s="307"/>
      <c r="H4" s="307"/>
      <c r="I4" s="322"/>
    </row>
    <row r="5" spans="1:9" ht="72.75" customHeight="1">
      <c r="A5" s="326" t="s">
        <v>453</v>
      </c>
      <c r="B5" s="326" t="s">
        <v>654</v>
      </c>
      <c r="C5" s="327">
        <v>43485.043055555558</v>
      </c>
      <c r="D5" s="440" t="s">
        <v>712</v>
      </c>
      <c r="E5" s="328">
        <v>3.09</v>
      </c>
      <c r="F5" s="328"/>
      <c r="G5" s="307"/>
      <c r="H5" s="307"/>
      <c r="I5" s="322"/>
    </row>
    <row r="6" spans="1:9" ht="82.5" customHeight="1">
      <c r="A6" s="326" t="s">
        <v>453</v>
      </c>
      <c r="B6" s="326" t="s">
        <v>654</v>
      </c>
      <c r="C6" s="327">
        <v>43485.133333333331</v>
      </c>
      <c r="D6" s="440" t="s">
        <v>713</v>
      </c>
      <c r="E6" s="328">
        <v>2.57</v>
      </c>
      <c r="F6" s="328"/>
      <c r="G6" s="307"/>
      <c r="H6" s="307"/>
      <c r="I6" s="322"/>
    </row>
    <row r="7" spans="1:9" ht="76.5" customHeight="1">
      <c r="A7" s="326" t="s">
        <v>453</v>
      </c>
      <c r="B7" s="326" t="s">
        <v>654</v>
      </c>
      <c r="C7" s="327">
        <v>43485.151388888888</v>
      </c>
      <c r="D7" s="440" t="s">
        <v>714</v>
      </c>
      <c r="E7" s="328">
        <v>2.57</v>
      </c>
      <c r="F7" s="328"/>
      <c r="G7" s="307"/>
      <c r="H7" s="309"/>
      <c r="I7" s="322"/>
    </row>
    <row r="8" spans="1:9" ht="62.25" customHeight="1">
      <c r="A8" s="326" t="s">
        <v>589</v>
      </c>
      <c r="B8" s="326" t="s">
        <v>710</v>
      </c>
      <c r="C8" s="327">
        <v>43485.431944444441</v>
      </c>
      <c r="D8" s="440" t="s">
        <v>715</v>
      </c>
      <c r="E8" s="328">
        <v>35.5</v>
      </c>
      <c r="F8" s="328"/>
    </row>
    <row r="9" spans="1:9" ht="59.25" customHeight="1">
      <c r="A9" s="326" t="s">
        <v>452</v>
      </c>
      <c r="B9" s="326" t="s">
        <v>716</v>
      </c>
      <c r="C9" s="327">
        <v>43486.15347222222</v>
      </c>
      <c r="D9" s="440" t="s">
        <v>717</v>
      </c>
      <c r="E9" s="328">
        <v>2.02</v>
      </c>
      <c r="F9" s="328"/>
    </row>
    <row r="10" spans="1:9" ht="72.75" customHeight="1">
      <c r="A10" s="326" t="s">
        <v>452</v>
      </c>
      <c r="B10" s="326" t="s">
        <v>716</v>
      </c>
      <c r="C10" s="327">
        <v>43488.430555555555</v>
      </c>
      <c r="D10" s="440" t="s">
        <v>718</v>
      </c>
      <c r="E10" s="328">
        <v>2.91</v>
      </c>
      <c r="F10" s="328"/>
    </row>
    <row r="11" spans="1:9" ht="62.25" hidden="1" customHeight="1">
      <c r="A11" s="326"/>
      <c r="B11" s="326"/>
      <c r="C11" s="327"/>
      <c r="D11" s="440"/>
      <c r="E11" s="328"/>
      <c r="F11" s="328"/>
    </row>
    <row r="12" spans="1:9">
      <c r="E12" s="325"/>
      <c r="F12" s="325"/>
    </row>
    <row r="13" spans="1:9">
      <c r="E13" s="325"/>
      <c r="F13" s="325"/>
    </row>
    <row r="14" spans="1:9">
      <c r="E14" s="325"/>
      <c r="F14" s="325"/>
    </row>
    <row r="15" spans="1:9">
      <c r="E15" s="325"/>
      <c r="F15" s="325"/>
    </row>
    <row r="16" spans="1:9">
      <c r="E16" s="325"/>
      <c r="F16" s="325"/>
    </row>
    <row r="17" spans="5:6">
      <c r="E17" s="325"/>
      <c r="F17" s="325"/>
    </row>
    <row r="18" spans="5:6">
      <c r="E18" s="325"/>
      <c r="F18" s="325"/>
    </row>
    <row r="19" spans="5:6">
      <c r="E19" s="325"/>
      <c r="F19" s="325"/>
    </row>
    <row r="20" spans="5:6">
      <c r="E20" s="325"/>
      <c r="F20" s="325"/>
    </row>
    <row r="21" spans="5:6">
      <c r="E21" s="325"/>
      <c r="F21" s="325"/>
    </row>
    <row r="22" spans="5:6">
      <c r="E22" s="325"/>
      <c r="F22" s="325"/>
    </row>
    <row r="23" spans="5:6">
      <c r="E23" s="325"/>
      <c r="F23" s="325"/>
    </row>
    <row r="24" spans="5:6">
      <c r="E24" s="325"/>
      <c r="F24" s="325"/>
    </row>
    <row r="25" spans="5:6">
      <c r="E25" s="325"/>
      <c r="F25" s="325"/>
    </row>
    <row r="26" spans="5:6">
      <c r="E26" s="325"/>
      <c r="F26" s="325"/>
    </row>
    <row r="27" spans="5:6">
      <c r="E27" s="325"/>
      <c r="F27" s="325"/>
    </row>
    <row r="28" spans="5:6">
      <c r="E28" s="325"/>
      <c r="F28" s="325"/>
    </row>
    <row r="29" spans="5:6">
      <c r="E29" s="325"/>
      <c r="F29" s="325"/>
    </row>
    <row r="30" spans="5:6">
      <c r="E30" s="325"/>
      <c r="F30" s="325"/>
    </row>
    <row r="31" spans="5:6">
      <c r="E31" s="325"/>
      <c r="F31" s="325"/>
    </row>
    <row r="32" spans="5:6">
      <c r="E32" s="325"/>
      <c r="F32" s="325"/>
    </row>
    <row r="33" spans="5:6">
      <c r="E33" s="325"/>
      <c r="F33" s="325"/>
    </row>
    <row r="34" spans="5:6">
      <c r="E34" s="325"/>
      <c r="F34" s="325"/>
    </row>
    <row r="35" spans="5:6">
      <c r="E35" s="325"/>
      <c r="F35" s="325"/>
    </row>
    <row r="36" spans="5:6">
      <c r="E36" s="325"/>
      <c r="F36" s="325"/>
    </row>
    <row r="37" spans="5:6">
      <c r="E37" s="325"/>
      <c r="F37" s="325"/>
    </row>
    <row r="38" spans="5:6">
      <c r="E38" s="325"/>
      <c r="F38" s="325"/>
    </row>
    <row r="39" spans="5:6">
      <c r="E39" s="325"/>
      <c r="F39" s="325"/>
    </row>
    <row r="40" spans="5:6">
      <c r="E40" s="325"/>
      <c r="F40" s="325"/>
    </row>
    <row r="41" spans="5:6">
      <c r="E41" s="325"/>
      <c r="F41" s="325"/>
    </row>
    <row r="42" spans="5:6">
      <c r="E42" s="325"/>
      <c r="F42" s="325"/>
    </row>
    <row r="43" spans="5:6">
      <c r="E43" s="325"/>
      <c r="F43" s="325"/>
    </row>
    <row r="44" spans="5:6">
      <c r="E44" s="325"/>
      <c r="F44" s="325"/>
    </row>
    <row r="45" spans="5:6">
      <c r="E45" s="325"/>
      <c r="F45" s="325"/>
    </row>
    <row r="46" spans="5:6">
      <c r="E46" s="325"/>
      <c r="F46" s="325"/>
    </row>
    <row r="47" spans="5:6">
      <c r="E47" s="325"/>
      <c r="F47" s="325"/>
    </row>
    <row r="48" spans="5:6">
      <c r="E48" s="325"/>
      <c r="F48" s="325"/>
    </row>
    <row r="49" spans="5:6">
      <c r="E49" s="325"/>
      <c r="F49" s="325"/>
    </row>
    <row r="50" spans="5:6">
      <c r="E50" s="325"/>
      <c r="F50" s="325"/>
    </row>
    <row r="51" spans="5:6">
      <c r="E51" s="325"/>
      <c r="F51" s="325"/>
    </row>
    <row r="52" spans="5:6">
      <c r="E52" s="325"/>
      <c r="F52" s="325"/>
    </row>
    <row r="53" spans="5:6">
      <c r="E53" s="325"/>
      <c r="F53" s="325"/>
    </row>
    <row r="54" spans="5:6">
      <c r="E54" s="325"/>
      <c r="F54" s="325"/>
    </row>
    <row r="55" spans="5:6">
      <c r="E55" s="325"/>
      <c r="F55" s="325"/>
    </row>
    <row r="56" spans="5:6">
      <c r="E56" s="325"/>
      <c r="F56" s="325"/>
    </row>
    <row r="57" spans="5:6">
      <c r="E57" s="325"/>
      <c r="F57" s="325"/>
    </row>
    <row r="58" spans="5:6">
      <c r="E58" s="325"/>
      <c r="F58" s="325"/>
    </row>
    <row r="59" spans="5:6">
      <c r="E59" s="325"/>
      <c r="F59" s="325"/>
    </row>
    <row r="60" spans="5:6">
      <c r="E60" s="325"/>
      <c r="F60" s="325"/>
    </row>
    <row r="61" spans="5:6">
      <c r="E61" s="325"/>
      <c r="F61" s="325"/>
    </row>
    <row r="62" spans="5:6">
      <c r="E62" s="325"/>
      <c r="F62" s="325"/>
    </row>
    <row r="63" spans="5:6">
      <c r="E63" s="325"/>
      <c r="F63" s="325"/>
    </row>
    <row r="64" spans="5:6">
      <c r="E64" s="325"/>
      <c r="F64" s="325"/>
    </row>
    <row r="65" spans="5:6">
      <c r="E65" s="325"/>
      <c r="F65" s="325"/>
    </row>
    <row r="66" spans="5:6">
      <c r="E66" s="325"/>
      <c r="F66" s="325"/>
    </row>
    <row r="67" spans="5:6">
      <c r="E67" s="325"/>
      <c r="F67" s="325"/>
    </row>
    <row r="68" spans="5:6">
      <c r="E68" s="325"/>
      <c r="F68" s="325"/>
    </row>
    <row r="69" spans="5:6">
      <c r="E69" s="325"/>
      <c r="F69" s="325"/>
    </row>
    <row r="70" spans="5:6">
      <c r="E70" s="325"/>
      <c r="F70" s="325"/>
    </row>
    <row r="71" spans="5:6">
      <c r="E71" s="325"/>
      <c r="F71" s="325"/>
    </row>
    <row r="72" spans="5:6">
      <c r="E72" s="325"/>
      <c r="F72" s="325"/>
    </row>
    <row r="73" spans="5:6">
      <c r="E73" s="325"/>
      <c r="F73" s="325"/>
    </row>
    <row r="74" spans="5:6">
      <c r="E74" s="325"/>
      <c r="F74" s="325"/>
    </row>
    <row r="75" spans="5:6">
      <c r="E75" s="325"/>
      <c r="F75" s="325"/>
    </row>
    <row r="76" spans="5:6">
      <c r="E76" s="325"/>
      <c r="F76" s="325"/>
    </row>
    <row r="77" spans="5:6">
      <c r="E77" s="325"/>
      <c r="F77" s="325"/>
    </row>
    <row r="78" spans="5:6">
      <c r="E78" s="325"/>
      <c r="F78" s="325"/>
    </row>
    <row r="79" spans="5:6">
      <c r="E79" s="325"/>
      <c r="F79" s="325"/>
    </row>
    <row r="80" spans="5:6">
      <c r="E80" s="325"/>
      <c r="F80" s="325"/>
    </row>
    <row r="81" spans="5:6">
      <c r="E81" s="325"/>
      <c r="F81" s="325"/>
    </row>
    <row r="82" spans="5:6">
      <c r="E82" s="325"/>
      <c r="F82" s="325"/>
    </row>
    <row r="83" spans="5:6">
      <c r="E83" s="325"/>
      <c r="F83" s="325"/>
    </row>
    <row r="84" spans="5:6">
      <c r="E84" s="325"/>
      <c r="F84" s="325"/>
    </row>
    <row r="85" spans="5:6">
      <c r="E85" s="325"/>
      <c r="F85" s="325"/>
    </row>
    <row r="86" spans="5:6">
      <c r="E86" s="325"/>
      <c r="F86" s="325"/>
    </row>
    <row r="87" spans="5:6">
      <c r="E87" s="325"/>
      <c r="F87" s="325"/>
    </row>
    <row r="88" spans="5:6">
      <c r="E88" s="325"/>
      <c r="F88" s="325"/>
    </row>
    <row r="89" spans="5:6">
      <c r="E89" s="325"/>
      <c r="F89" s="325"/>
    </row>
    <row r="90" spans="5:6">
      <c r="E90" s="325"/>
      <c r="F90" s="325"/>
    </row>
    <row r="91" spans="5:6">
      <c r="E91" s="325"/>
      <c r="F91" s="325"/>
    </row>
    <row r="92" spans="5:6">
      <c r="E92" s="325"/>
      <c r="F92" s="325"/>
    </row>
    <row r="93" spans="5:6">
      <c r="E93" s="325"/>
      <c r="F93" s="325"/>
    </row>
    <row r="94" spans="5:6">
      <c r="E94" s="325"/>
      <c r="F94" s="325"/>
    </row>
    <row r="95" spans="5:6">
      <c r="E95" s="325"/>
      <c r="F95" s="325"/>
    </row>
    <row r="96" spans="5:6">
      <c r="E96" s="325"/>
      <c r="F96" s="325"/>
    </row>
    <row r="97" spans="5:6">
      <c r="E97" s="325"/>
      <c r="F97" s="325"/>
    </row>
    <row r="98" spans="5:6">
      <c r="E98" s="325"/>
      <c r="F98" s="325"/>
    </row>
    <row r="99" spans="5:6">
      <c r="E99" s="325"/>
      <c r="F99" s="325"/>
    </row>
    <row r="100" spans="5:6">
      <c r="E100" s="325"/>
      <c r="F100" s="325"/>
    </row>
    <row r="101" spans="5:6">
      <c r="E101" s="325"/>
      <c r="F101" s="325"/>
    </row>
    <row r="102" spans="5:6">
      <c r="E102" s="325"/>
      <c r="F102" s="325"/>
    </row>
    <row r="103" spans="5:6">
      <c r="E103" s="325"/>
      <c r="F103" s="325"/>
    </row>
    <row r="104" spans="5:6">
      <c r="E104" s="325"/>
      <c r="F104" s="325"/>
    </row>
    <row r="105" spans="5:6">
      <c r="E105" s="325"/>
      <c r="F105" s="325"/>
    </row>
    <row r="106" spans="5:6">
      <c r="E106" s="325"/>
      <c r="F106" s="325"/>
    </row>
    <row r="107" spans="5:6">
      <c r="E107" s="325"/>
      <c r="F107" s="325"/>
    </row>
    <row r="108" spans="5:6">
      <c r="E108" s="325"/>
      <c r="F108" s="325"/>
    </row>
    <row r="109" spans="5:6">
      <c r="E109" s="325"/>
      <c r="F109" s="325"/>
    </row>
    <row r="110" spans="5:6">
      <c r="E110" s="325"/>
      <c r="F110" s="325"/>
    </row>
    <row r="111" spans="5:6">
      <c r="E111" s="325"/>
      <c r="F111" s="325"/>
    </row>
    <row r="112" spans="5:6">
      <c r="E112" s="325"/>
      <c r="F112" s="325"/>
    </row>
    <row r="113" spans="5:6">
      <c r="E113" s="325"/>
      <c r="F113" s="325"/>
    </row>
    <row r="114" spans="5:6">
      <c r="E114" s="325"/>
      <c r="F114" s="325"/>
    </row>
    <row r="115" spans="5:6">
      <c r="E115" s="325"/>
      <c r="F115" s="325"/>
    </row>
    <row r="116" spans="5:6">
      <c r="E116" s="325"/>
      <c r="F116" s="325"/>
    </row>
    <row r="117" spans="5:6">
      <c r="E117" s="325"/>
      <c r="F117" s="325"/>
    </row>
    <row r="118" spans="5:6">
      <c r="E118" s="325"/>
      <c r="F118" s="325"/>
    </row>
    <row r="119" spans="5:6">
      <c r="E119" s="325"/>
      <c r="F119" s="325"/>
    </row>
    <row r="120" spans="5:6">
      <c r="E120" s="325"/>
      <c r="F120" s="325"/>
    </row>
    <row r="121" spans="5:6">
      <c r="E121" s="325"/>
      <c r="F121" s="325"/>
    </row>
    <row r="122" spans="5:6">
      <c r="E122" s="325"/>
      <c r="F122" s="325"/>
    </row>
    <row r="123" spans="5:6">
      <c r="E123" s="325"/>
      <c r="F123" s="325"/>
    </row>
    <row r="124" spans="5:6">
      <c r="E124" s="325"/>
      <c r="F124" s="325"/>
    </row>
    <row r="125" spans="5:6">
      <c r="E125" s="325"/>
      <c r="F125" s="325"/>
    </row>
    <row r="126" spans="5:6">
      <c r="E126" s="325"/>
      <c r="F126" s="325"/>
    </row>
    <row r="127" spans="5:6">
      <c r="E127" s="325"/>
      <c r="F127" s="325"/>
    </row>
    <row r="128" spans="5:6">
      <c r="E128" s="325"/>
      <c r="F128" s="325"/>
    </row>
    <row r="129" spans="5:6">
      <c r="E129" s="325"/>
      <c r="F129" s="325"/>
    </row>
    <row r="130" spans="5:6">
      <c r="E130" s="325"/>
      <c r="F130" s="325"/>
    </row>
    <row r="131" spans="5:6">
      <c r="E131" s="325"/>
      <c r="F131" s="325"/>
    </row>
    <row r="132" spans="5:6">
      <c r="E132" s="325"/>
      <c r="F132" s="325"/>
    </row>
    <row r="133" spans="5:6">
      <c r="E133" s="325"/>
      <c r="F133" s="325"/>
    </row>
    <row r="134" spans="5:6">
      <c r="E134" s="325"/>
      <c r="F134" s="325"/>
    </row>
    <row r="135" spans="5:6">
      <c r="E135" s="325"/>
      <c r="F135" s="325"/>
    </row>
    <row r="136" spans="5:6">
      <c r="E136" s="325"/>
      <c r="F136" s="325"/>
    </row>
    <row r="137" spans="5:6">
      <c r="E137" s="325"/>
      <c r="F137" s="325"/>
    </row>
    <row r="138" spans="5:6">
      <c r="E138" s="325"/>
      <c r="F138" s="325"/>
    </row>
    <row r="139" spans="5:6">
      <c r="E139" s="325"/>
      <c r="F139" s="325"/>
    </row>
  </sheetData>
  <pageMargins left="0.70866141732283472" right="0.51181102362204722" top="1.4311417322834645" bottom="0.62992125984251968" header="0.31496062992125984" footer="0.31496062992125984"/>
  <pageSetup paperSize="9" scale="95" orientation="portrait" r:id="rId1"/>
  <headerFooter>
    <oddHeader>&amp;R&amp;7Informe de la Operación Mensual - Enero 2019
INFSGI-MES-01-2019
13/02/2019
Versión: 01</oddHeader>
    <oddFooter>&amp;L&amp;7COES, 2019&amp;C28&amp;R&amp;7Dirección Ejecutiva
Sub Dirección de Gestión de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4"/>
  </sheetPr>
  <dimension ref="A1:I149"/>
  <sheetViews>
    <sheetView showGridLines="0" view="pageBreakPreview" topLeftCell="D9" zoomScale="145" zoomScaleNormal="100" zoomScaleSheetLayoutView="145" zoomScalePageLayoutView="145" workbookViewId="0">
      <selection activeCell="M24" sqref="M24"/>
    </sheetView>
  </sheetViews>
  <sheetFormatPr defaultColWidth="9.33203125" defaultRowHeight="9"/>
  <cols>
    <col min="1" max="1" width="16.1640625" style="318" customWidth="1"/>
    <col min="2" max="2" width="19.6640625" style="318" customWidth="1"/>
    <col min="3" max="3" width="12.1640625" style="318" bestFit="1" customWidth="1"/>
    <col min="4" max="4" width="47.1640625" style="318" customWidth="1"/>
    <col min="5" max="5" width="11.5" style="318" customWidth="1"/>
    <col min="6" max="6" width="10.5" style="318" customWidth="1"/>
    <col min="7" max="8" width="9.33203125" style="318" customWidth="1"/>
    <col min="9" max="16384" width="9.33203125" style="318"/>
  </cols>
  <sheetData>
    <row r="1" spans="1:9" ht="30" customHeight="1">
      <c r="A1" s="675" t="s">
        <v>277</v>
      </c>
      <c r="B1" s="676" t="s">
        <v>448</v>
      </c>
      <c r="C1" s="675" t="s">
        <v>437</v>
      </c>
      <c r="D1" s="677" t="s">
        <v>449</v>
      </c>
      <c r="E1" s="678" t="s">
        <v>450</v>
      </c>
      <c r="F1" s="678" t="s">
        <v>451</v>
      </c>
      <c r="G1" s="308"/>
      <c r="H1" s="319"/>
      <c r="I1" s="306"/>
    </row>
    <row r="2" spans="1:9" ht="141" customHeight="1">
      <c r="A2" s="326" t="s">
        <v>719</v>
      </c>
      <c r="B2" s="326" t="s">
        <v>720</v>
      </c>
      <c r="C2" s="327">
        <v>43488.466666666667</v>
      </c>
      <c r="D2" s="440" t="s">
        <v>721</v>
      </c>
      <c r="E2" s="328">
        <v>22.69</v>
      </c>
      <c r="F2" s="328"/>
      <c r="G2" s="307"/>
      <c r="H2" s="309"/>
      <c r="I2" s="322"/>
    </row>
    <row r="3" spans="1:9" ht="47.25" customHeight="1">
      <c r="A3" s="326" t="s">
        <v>104</v>
      </c>
      <c r="B3" s="326" t="s">
        <v>722</v>
      </c>
      <c r="C3" s="327">
        <v>43488.612500000003</v>
      </c>
      <c r="D3" s="440" t="s">
        <v>723</v>
      </c>
      <c r="E3" s="328">
        <v>0.5</v>
      </c>
      <c r="F3" s="328"/>
      <c r="G3" s="307"/>
      <c r="H3" s="309"/>
      <c r="I3" s="322"/>
    </row>
    <row r="4" spans="1:9" ht="100.5" customHeight="1">
      <c r="A4" s="326" t="s">
        <v>562</v>
      </c>
      <c r="B4" s="326" t="s">
        <v>724</v>
      </c>
      <c r="C4" s="327">
        <v>43489.228472222225</v>
      </c>
      <c r="D4" s="440" t="s">
        <v>725</v>
      </c>
      <c r="E4" s="328">
        <v>294.7</v>
      </c>
      <c r="F4" s="328"/>
      <c r="G4" s="307"/>
      <c r="H4" s="309"/>
      <c r="I4" s="322"/>
    </row>
    <row r="5" spans="1:9" ht="60" customHeight="1">
      <c r="A5" s="326" t="s">
        <v>577</v>
      </c>
      <c r="B5" s="326" t="s">
        <v>726</v>
      </c>
      <c r="C5" s="327">
        <v>43489.499305555553</v>
      </c>
      <c r="D5" s="440" t="s">
        <v>727</v>
      </c>
      <c r="E5" s="328"/>
      <c r="F5" s="328">
        <v>205.2</v>
      </c>
      <c r="G5" s="307"/>
      <c r="H5" s="309"/>
      <c r="I5" s="322"/>
    </row>
    <row r="6" spans="1:9" ht="74.25" customHeight="1">
      <c r="A6" s="326" t="s">
        <v>453</v>
      </c>
      <c r="B6" s="326" t="s">
        <v>728</v>
      </c>
      <c r="C6" s="327">
        <v>43489.795138888891</v>
      </c>
      <c r="D6" s="440" t="s">
        <v>729</v>
      </c>
      <c r="E6" s="328">
        <v>6.7</v>
      </c>
      <c r="F6" s="328"/>
      <c r="G6" s="307"/>
      <c r="H6" s="309"/>
      <c r="I6" s="325"/>
    </row>
    <row r="7" spans="1:9" ht="91.5" customHeight="1">
      <c r="A7" s="728" t="s">
        <v>454</v>
      </c>
      <c r="B7" s="728" t="s">
        <v>730</v>
      </c>
      <c r="C7" s="729">
        <v>43490.01666666667</v>
      </c>
      <c r="D7" s="730" t="s">
        <v>731</v>
      </c>
      <c r="E7" s="731">
        <v>615</v>
      </c>
      <c r="F7" s="731"/>
      <c r="G7" s="307"/>
      <c r="H7" s="309"/>
      <c r="I7" s="322"/>
    </row>
    <row r="8" spans="1:9" ht="70.5" customHeight="1">
      <c r="A8" s="736" t="s">
        <v>452</v>
      </c>
      <c r="B8" s="736" t="s">
        <v>716</v>
      </c>
      <c r="C8" s="737">
        <v>43490.202777777777</v>
      </c>
      <c r="D8" s="738" t="s">
        <v>732</v>
      </c>
      <c r="E8" s="739">
        <v>2.7</v>
      </c>
      <c r="F8" s="739"/>
    </row>
    <row r="9" spans="1:9" ht="67.5" customHeight="1">
      <c r="A9" s="326" t="s">
        <v>577</v>
      </c>
      <c r="B9" s="326" t="s">
        <v>733</v>
      </c>
      <c r="C9" s="327">
        <v>43490.554861111108</v>
      </c>
      <c r="D9" s="440" t="s">
        <v>734</v>
      </c>
      <c r="E9" s="328"/>
      <c r="F9" s="328">
        <v>6.8</v>
      </c>
    </row>
    <row r="10" spans="1:9" ht="63" customHeight="1">
      <c r="A10" s="326" t="s">
        <v>104</v>
      </c>
      <c r="B10" s="326" t="s">
        <v>722</v>
      </c>
      <c r="C10" s="327">
        <v>43490.633333333331</v>
      </c>
      <c r="D10" s="440" t="s">
        <v>735</v>
      </c>
      <c r="E10" s="328">
        <v>0.6</v>
      </c>
      <c r="F10" s="328"/>
    </row>
    <row r="11" spans="1:9" ht="78.75" customHeight="1">
      <c r="A11" s="732"/>
      <c r="B11" s="732"/>
      <c r="C11" s="733"/>
      <c r="D11" s="734"/>
      <c r="E11" s="735"/>
      <c r="F11" s="735"/>
    </row>
    <row r="12" spans="1:9" ht="13.5" customHeight="1">
      <c r="E12" s="325"/>
      <c r="F12" s="325"/>
    </row>
    <row r="13" spans="1:9" ht="13.5" customHeight="1">
      <c r="E13" s="325"/>
      <c r="F13" s="325"/>
    </row>
    <row r="14" spans="1:9">
      <c r="E14" s="325"/>
      <c r="F14" s="325"/>
    </row>
    <row r="15" spans="1:9">
      <c r="E15" s="325"/>
      <c r="F15" s="325"/>
    </row>
    <row r="16" spans="1:9">
      <c r="E16" s="325"/>
      <c r="F16" s="325"/>
    </row>
    <row r="17" spans="5:6">
      <c r="E17" s="325"/>
      <c r="F17" s="325"/>
    </row>
    <row r="18" spans="5:6">
      <c r="E18" s="325"/>
      <c r="F18" s="325"/>
    </row>
    <row r="19" spans="5:6">
      <c r="E19" s="325"/>
      <c r="F19" s="325"/>
    </row>
    <row r="20" spans="5:6">
      <c r="E20" s="325"/>
      <c r="F20" s="325"/>
    </row>
    <row r="21" spans="5:6">
      <c r="E21" s="325"/>
      <c r="F21" s="325"/>
    </row>
    <row r="22" spans="5:6">
      <c r="E22" s="325"/>
      <c r="F22" s="325"/>
    </row>
    <row r="23" spans="5:6">
      <c r="E23" s="325"/>
      <c r="F23" s="325"/>
    </row>
    <row r="24" spans="5:6">
      <c r="E24" s="325"/>
      <c r="F24" s="325"/>
    </row>
    <row r="25" spans="5:6">
      <c r="E25" s="325"/>
      <c r="F25" s="325"/>
    </row>
    <row r="26" spans="5:6">
      <c r="E26" s="325"/>
      <c r="F26" s="325"/>
    </row>
    <row r="27" spans="5:6">
      <c r="E27" s="325"/>
      <c r="F27" s="325"/>
    </row>
    <row r="28" spans="5:6">
      <c r="E28" s="325"/>
      <c r="F28" s="325"/>
    </row>
    <row r="29" spans="5:6">
      <c r="E29" s="325"/>
      <c r="F29" s="325"/>
    </row>
    <row r="30" spans="5:6">
      <c r="E30" s="325"/>
      <c r="F30" s="325"/>
    </row>
    <row r="31" spans="5:6">
      <c r="E31" s="325"/>
      <c r="F31" s="325"/>
    </row>
    <row r="32" spans="5:6">
      <c r="E32" s="325"/>
      <c r="F32" s="325"/>
    </row>
    <row r="33" spans="5:6">
      <c r="E33" s="325"/>
      <c r="F33" s="325"/>
    </row>
    <row r="34" spans="5:6">
      <c r="E34" s="325"/>
      <c r="F34" s="325"/>
    </row>
    <row r="35" spans="5:6">
      <c r="E35" s="325"/>
      <c r="F35" s="325"/>
    </row>
    <row r="36" spans="5:6">
      <c r="E36" s="325"/>
      <c r="F36" s="325"/>
    </row>
    <row r="37" spans="5:6">
      <c r="E37" s="325"/>
      <c r="F37" s="325"/>
    </row>
    <row r="38" spans="5:6">
      <c r="E38" s="325"/>
      <c r="F38" s="325"/>
    </row>
    <row r="39" spans="5:6">
      <c r="E39" s="325"/>
      <c r="F39" s="325"/>
    </row>
    <row r="40" spans="5:6">
      <c r="E40" s="325"/>
      <c r="F40" s="325"/>
    </row>
    <row r="41" spans="5:6">
      <c r="E41" s="325"/>
      <c r="F41" s="325"/>
    </row>
    <row r="42" spans="5:6">
      <c r="E42" s="325"/>
      <c r="F42" s="325"/>
    </row>
    <row r="43" spans="5:6">
      <c r="E43" s="325"/>
      <c r="F43" s="325"/>
    </row>
    <row r="44" spans="5:6">
      <c r="E44" s="325"/>
      <c r="F44" s="325"/>
    </row>
    <row r="45" spans="5:6">
      <c r="E45" s="325"/>
      <c r="F45" s="325"/>
    </row>
    <row r="46" spans="5:6">
      <c r="E46" s="325"/>
      <c r="F46" s="325"/>
    </row>
    <row r="47" spans="5:6">
      <c r="E47" s="325"/>
      <c r="F47" s="325"/>
    </row>
    <row r="48" spans="5:6">
      <c r="E48" s="325"/>
      <c r="F48" s="325"/>
    </row>
    <row r="49" spans="5:6">
      <c r="E49" s="325"/>
      <c r="F49" s="325"/>
    </row>
    <row r="50" spans="5:6">
      <c r="E50" s="325"/>
      <c r="F50" s="325"/>
    </row>
    <row r="51" spans="5:6">
      <c r="E51" s="325"/>
      <c r="F51" s="325"/>
    </row>
    <row r="52" spans="5:6">
      <c r="E52" s="325"/>
      <c r="F52" s="325"/>
    </row>
    <row r="53" spans="5:6">
      <c r="E53" s="325"/>
      <c r="F53" s="325"/>
    </row>
    <row r="54" spans="5:6">
      <c r="E54" s="325"/>
      <c r="F54" s="325"/>
    </row>
    <row r="55" spans="5:6">
      <c r="E55" s="325"/>
      <c r="F55" s="325"/>
    </row>
    <row r="56" spans="5:6">
      <c r="E56" s="325"/>
      <c r="F56" s="325"/>
    </row>
    <row r="57" spans="5:6">
      <c r="E57" s="325"/>
      <c r="F57" s="325"/>
    </row>
    <row r="58" spans="5:6">
      <c r="E58" s="325"/>
      <c r="F58" s="325"/>
    </row>
    <row r="59" spans="5:6">
      <c r="E59" s="325"/>
      <c r="F59" s="325"/>
    </row>
    <row r="60" spans="5:6">
      <c r="E60" s="325"/>
      <c r="F60" s="325"/>
    </row>
    <row r="61" spans="5:6">
      <c r="E61" s="325"/>
      <c r="F61" s="325"/>
    </row>
    <row r="62" spans="5:6">
      <c r="E62" s="325"/>
      <c r="F62" s="325"/>
    </row>
    <row r="63" spans="5:6">
      <c r="E63" s="325"/>
      <c r="F63" s="325"/>
    </row>
    <row r="64" spans="5:6">
      <c r="E64" s="325"/>
      <c r="F64" s="325"/>
    </row>
    <row r="65" spans="5:6">
      <c r="E65" s="325"/>
      <c r="F65" s="325"/>
    </row>
    <row r="66" spans="5:6">
      <c r="E66" s="325"/>
      <c r="F66" s="325"/>
    </row>
    <row r="67" spans="5:6">
      <c r="E67" s="325"/>
      <c r="F67" s="325"/>
    </row>
    <row r="68" spans="5:6">
      <c r="E68" s="325"/>
      <c r="F68" s="325"/>
    </row>
    <row r="69" spans="5:6">
      <c r="E69" s="325"/>
      <c r="F69" s="325"/>
    </row>
    <row r="70" spans="5:6">
      <c r="E70" s="325"/>
      <c r="F70" s="325"/>
    </row>
    <row r="71" spans="5:6">
      <c r="E71" s="325"/>
      <c r="F71" s="325"/>
    </row>
    <row r="72" spans="5:6">
      <c r="E72" s="325"/>
      <c r="F72" s="325"/>
    </row>
    <row r="73" spans="5:6">
      <c r="E73" s="325"/>
      <c r="F73" s="325"/>
    </row>
    <row r="74" spans="5:6">
      <c r="E74" s="325"/>
      <c r="F74" s="325"/>
    </row>
    <row r="75" spans="5:6">
      <c r="E75" s="325"/>
      <c r="F75" s="325"/>
    </row>
    <row r="76" spans="5:6">
      <c r="E76" s="325"/>
      <c r="F76" s="325"/>
    </row>
    <row r="77" spans="5:6">
      <c r="E77" s="325"/>
      <c r="F77" s="325"/>
    </row>
    <row r="78" spans="5:6">
      <c r="E78" s="325"/>
      <c r="F78" s="325"/>
    </row>
    <row r="79" spans="5:6">
      <c r="E79" s="325"/>
      <c r="F79" s="325"/>
    </row>
    <row r="80" spans="5:6">
      <c r="E80" s="325"/>
      <c r="F80" s="325"/>
    </row>
    <row r="81" spans="5:6">
      <c r="E81" s="325"/>
      <c r="F81" s="325"/>
    </row>
    <row r="82" spans="5:6">
      <c r="E82" s="325"/>
      <c r="F82" s="325"/>
    </row>
    <row r="83" spans="5:6">
      <c r="E83" s="325"/>
      <c r="F83" s="325"/>
    </row>
    <row r="84" spans="5:6">
      <c r="E84" s="325"/>
      <c r="F84" s="325"/>
    </row>
    <row r="85" spans="5:6">
      <c r="E85" s="325"/>
      <c r="F85" s="325"/>
    </row>
    <row r="86" spans="5:6">
      <c r="E86" s="325"/>
      <c r="F86" s="325"/>
    </row>
    <row r="87" spans="5:6">
      <c r="E87" s="325"/>
      <c r="F87" s="325"/>
    </row>
    <row r="88" spans="5:6">
      <c r="E88" s="325"/>
      <c r="F88" s="325"/>
    </row>
    <row r="89" spans="5:6">
      <c r="E89" s="325"/>
      <c r="F89" s="325"/>
    </row>
    <row r="90" spans="5:6">
      <c r="E90" s="325"/>
      <c r="F90" s="325"/>
    </row>
    <row r="91" spans="5:6">
      <c r="E91" s="325"/>
      <c r="F91" s="325"/>
    </row>
    <row r="92" spans="5:6">
      <c r="E92" s="325"/>
      <c r="F92" s="325"/>
    </row>
    <row r="93" spans="5:6">
      <c r="E93" s="325"/>
      <c r="F93" s="325"/>
    </row>
    <row r="94" spans="5:6">
      <c r="E94" s="325"/>
      <c r="F94" s="325"/>
    </row>
    <row r="95" spans="5:6">
      <c r="E95" s="325"/>
      <c r="F95" s="325"/>
    </row>
    <row r="96" spans="5:6">
      <c r="E96" s="325"/>
      <c r="F96" s="325"/>
    </row>
    <row r="97" spans="5:6">
      <c r="E97" s="325"/>
      <c r="F97" s="325"/>
    </row>
    <row r="98" spans="5:6">
      <c r="E98" s="325"/>
      <c r="F98" s="325"/>
    </row>
    <row r="99" spans="5:6">
      <c r="E99" s="325"/>
      <c r="F99" s="325"/>
    </row>
    <row r="100" spans="5:6">
      <c r="E100" s="325"/>
      <c r="F100" s="325"/>
    </row>
    <row r="101" spans="5:6">
      <c r="E101" s="325"/>
      <c r="F101" s="325"/>
    </row>
    <row r="102" spans="5:6">
      <c r="E102" s="325"/>
      <c r="F102" s="325"/>
    </row>
    <row r="103" spans="5:6">
      <c r="E103" s="325"/>
      <c r="F103" s="325"/>
    </row>
    <row r="104" spans="5:6">
      <c r="E104" s="325"/>
      <c r="F104" s="325"/>
    </row>
    <row r="105" spans="5:6">
      <c r="E105" s="325"/>
      <c r="F105" s="325"/>
    </row>
    <row r="106" spans="5:6">
      <c r="E106" s="325"/>
      <c r="F106" s="325"/>
    </row>
    <row r="107" spans="5:6">
      <c r="E107" s="325"/>
      <c r="F107" s="325"/>
    </row>
    <row r="108" spans="5:6">
      <c r="E108" s="325"/>
      <c r="F108" s="325"/>
    </row>
    <row r="109" spans="5:6">
      <c r="E109" s="325"/>
      <c r="F109" s="325"/>
    </row>
    <row r="110" spans="5:6">
      <c r="E110" s="325"/>
      <c r="F110" s="325"/>
    </row>
    <row r="111" spans="5:6">
      <c r="E111" s="325"/>
      <c r="F111" s="325"/>
    </row>
    <row r="112" spans="5:6">
      <c r="E112" s="325"/>
      <c r="F112" s="325"/>
    </row>
    <row r="113" spans="5:6">
      <c r="E113" s="325"/>
      <c r="F113" s="325"/>
    </row>
    <row r="114" spans="5:6">
      <c r="E114" s="325"/>
      <c r="F114" s="325"/>
    </row>
    <row r="115" spans="5:6">
      <c r="E115" s="325"/>
      <c r="F115" s="325"/>
    </row>
    <row r="116" spans="5:6">
      <c r="E116" s="325"/>
      <c r="F116" s="325"/>
    </row>
    <row r="117" spans="5:6">
      <c r="E117" s="325"/>
      <c r="F117" s="325"/>
    </row>
    <row r="118" spans="5:6">
      <c r="E118" s="325"/>
      <c r="F118" s="325"/>
    </row>
    <row r="119" spans="5:6">
      <c r="E119" s="325"/>
      <c r="F119" s="325"/>
    </row>
    <row r="120" spans="5:6">
      <c r="E120" s="325"/>
      <c r="F120" s="325"/>
    </row>
    <row r="121" spans="5:6">
      <c r="E121" s="325"/>
      <c r="F121" s="325"/>
    </row>
    <row r="122" spans="5:6">
      <c r="E122" s="325"/>
      <c r="F122" s="325"/>
    </row>
    <row r="123" spans="5:6">
      <c r="E123" s="325"/>
      <c r="F123" s="325"/>
    </row>
    <row r="124" spans="5:6">
      <c r="E124" s="325"/>
      <c r="F124" s="325"/>
    </row>
    <row r="125" spans="5:6">
      <c r="E125" s="325"/>
      <c r="F125" s="325"/>
    </row>
    <row r="126" spans="5:6">
      <c r="E126" s="325"/>
      <c r="F126" s="325"/>
    </row>
    <row r="127" spans="5:6">
      <c r="E127" s="325"/>
      <c r="F127" s="325"/>
    </row>
    <row r="128" spans="5:6">
      <c r="E128" s="325"/>
      <c r="F128" s="325"/>
    </row>
    <row r="129" spans="5:6">
      <c r="E129" s="325"/>
      <c r="F129" s="325"/>
    </row>
    <row r="130" spans="5:6">
      <c r="E130" s="325"/>
      <c r="F130" s="325"/>
    </row>
    <row r="131" spans="5:6">
      <c r="E131" s="325"/>
      <c r="F131" s="325"/>
    </row>
    <row r="132" spans="5:6">
      <c r="E132" s="325"/>
      <c r="F132" s="325"/>
    </row>
    <row r="133" spans="5:6">
      <c r="E133" s="325"/>
      <c r="F133" s="325"/>
    </row>
    <row r="134" spans="5:6">
      <c r="E134" s="325"/>
      <c r="F134" s="325"/>
    </row>
    <row r="135" spans="5:6">
      <c r="E135" s="325"/>
      <c r="F135" s="325"/>
    </row>
    <row r="136" spans="5:6">
      <c r="E136" s="325"/>
      <c r="F136" s="325"/>
    </row>
    <row r="137" spans="5:6">
      <c r="E137" s="325"/>
      <c r="F137" s="325"/>
    </row>
    <row r="138" spans="5:6">
      <c r="E138" s="325"/>
      <c r="F138" s="325"/>
    </row>
    <row r="139" spans="5:6">
      <c r="E139" s="325"/>
      <c r="F139" s="325"/>
    </row>
    <row r="140" spans="5:6">
      <c r="E140" s="325"/>
      <c r="F140" s="325"/>
    </row>
    <row r="141" spans="5:6">
      <c r="E141" s="325"/>
      <c r="F141" s="325"/>
    </row>
    <row r="142" spans="5:6">
      <c r="E142" s="325"/>
      <c r="F142" s="325"/>
    </row>
    <row r="143" spans="5:6">
      <c r="E143" s="325"/>
      <c r="F143" s="325"/>
    </row>
    <row r="144" spans="5:6">
      <c r="E144" s="325"/>
      <c r="F144" s="325"/>
    </row>
    <row r="145" spans="5:6">
      <c r="E145" s="325"/>
      <c r="F145" s="325"/>
    </row>
    <row r="146" spans="5:6">
      <c r="E146" s="325"/>
      <c r="F146" s="325"/>
    </row>
    <row r="147" spans="5:6">
      <c r="E147" s="325"/>
      <c r="F147" s="325"/>
    </row>
    <row r="148" spans="5:6">
      <c r="E148" s="325"/>
      <c r="F148" s="325"/>
    </row>
    <row r="149" spans="5:6">
      <c r="E149" s="325"/>
      <c r="F149" s="325"/>
    </row>
  </sheetData>
  <pageMargins left="0.70866141732283472" right="0.51181102362204722" top="1.4311417322834645" bottom="0.62992125984251968" header="0.31496062992125984" footer="0.31496062992125984"/>
  <pageSetup paperSize="9" scale="92" orientation="portrait" r:id="rId1"/>
  <headerFooter>
    <oddHeader>&amp;R&amp;7Informe de la Operación Mensual - Enero 2019
INFSGI-MES-01-2019
13/02/2019
Versión: 01</oddHeader>
    <oddFooter>&amp;L&amp;7COES, 2019&amp;C29&amp;R&amp;7Dirección Ejecutiva
Sub Dirección de Gestión de Información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4"/>
  </sheetPr>
  <dimension ref="A1:I145"/>
  <sheetViews>
    <sheetView showGridLines="0" view="pageBreakPreview" topLeftCell="D9" zoomScale="145" zoomScaleNormal="100" zoomScaleSheetLayoutView="145" zoomScalePageLayoutView="145" workbookViewId="0">
      <selection activeCell="M24" sqref="M24"/>
    </sheetView>
  </sheetViews>
  <sheetFormatPr defaultColWidth="9.33203125" defaultRowHeight="9"/>
  <cols>
    <col min="1" max="1" width="16.1640625" style="318" customWidth="1"/>
    <col min="2" max="2" width="19.6640625" style="318" customWidth="1"/>
    <col min="3" max="3" width="12.5" style="318" bestFit="1" customWidth="1"/>
    <col min="4" max="4" width="47.1640625" style="318" customWidth="1"/>
    <col min="5" max="5" width="11.5" style="318" customWidth="1"/>
    <col min="6" max="6" width="10.5" style="318" customWidth="1"/>
    <col min="7" max="8" width="9.33203125" style="318" customWidth="1"/>
    <col min="9" max="16384" width="9.33203125" style="318"/>
  </cols>
  <sheetData>
    <row r="1" spans="1:9" ht="30" customHeight="1">
      <c r="A1" s="675" t="s">
        <v>277</v>
      </c>
      <c r="B1" s="676" t="s">
        <v>448</v>
      </c>
      <c r="C1" s="675" t="s">
        <v>437</v>
      </c>
      <c r="D1" s="677" t="s">
        <v>449</v>
      </c>
      <c r="E1" s="678" t="s">
        <v>450</v>
      </c>
      <c r="F1" s="678" t="s">
        <v>451</v>
      </c>
      <c r="G1" s="308"/>
      <c r="H1" s="319"/>
      <c r="I1" s="306"/>
    </row>
    <row r="2" spans="1:9" ht="62.25" customHeight="1">
      <c r="A2" s="326" t="s">
        <v>104</v>
      </c>
      <c r="B2" s="326" t="s">
        <v>722</v>
      </c>
      <c r="C2" s="327">
        <v>43491.601388888892</v>
      </c>
      <c r="D2" s="440" t="s">
        <v>736</v>
      </c>
      <c r="E2" s="328">
        <v>0.6</v>
      </c>
      <c r="F2" s="328"/>
      <c r="G2" s="307"/>
      <c r="H2" s="309"/>
      <c r="I2" s="322"/>
    </row>
    <row r="3" spans="1:9" ht="65.25" customHeight="1">
      <c r="A3" s="326" t="s">
        <v>563</v>
      </c>
      <c r="B3" s="326" t="s">
        <v>700</v>
      </c>
      <c r="C3" s="327">
        <v>43492.12222222222</v>
      </c>
      <c r="D3" s="440" t="s">
        <v>737</v>
      </c>
      <c r="E3" s="328">
        <v>4.3099999999999996</v>
      </c>
      <c r="F3" s="328"/>
      <c r="G3" s="307"/>
      <c r="H3" s="309"/>
      <c r="I3" s="322"/>
    </row>
    <row r="4" spans="1:9" ht="72" customHeight="1">
      <c r="A4" s="326" t="s">
        <v>563</v>
      </c>
      <c r="B4" s="326" t="s">
        <v>700</v>
      </c>
      <c r="C4" s="327">
        <v>43492.302777777775</v>
      </c>
      <c r="D4" s="440" t="s">
        <v>738</v>
      </c>
      <c r="E4" s="328">
        <v>1.51</v>
      </c>
      <c r="F4" s="328"/>
      <c r="G4" s="307"/>
      <c r="H4" s="309"/>
      <c r="I4" s="322"/>
    </row>
    <row r="5" spans="1:9" ht="72" customHeight="1">
      <c r="A5" s="326" t="s">
        <v>561</v>
      </c>
      <c r="B5" s="326" t="s">
        <v>739</v>
      </c>
      <c r="C5" s="327">
        <v>43492.317361111112</v>
      </c>
      <c r="D5" s="440" t="s">
        <v>740</v>
      </c>
      <c r="E5" s="328">
        <v>5.85</v>
      </c>
      <c r="F5" s="328"/>
      <c r="G5" s="307"/>
      <c r="H5" s="309"/>
    </row>
    <row r="6" spans="1:9" ht="67.5" customHeight="1">
      <c r="A6" s="326" t="s">
        <v>577</v>
      </c>
      <c r="B6" s="326" t="s">
        <v>733</v>
      </c>
      <c r="C6" s="327">
        <v>43492.498611111114</v>
      </c>
      <c r="D6" s="440" t="s">
        <v>741</v>
      </c>
      <c r="E6" s="328"/>
      <c r="F6" s="328">
        <v>11.6</v>
      </c>
      <c r="G6" s="307"/>
      <c r="H6" s="309"/>
    </row>
    <row r="7" spans="1:9" ht="108.75" customHeight="1">
      <c r="A7" s="326" t="s">
        <v>575</v>
      </c>
      <c r="B7" s="326" t="s">
        <v>742</v>
      </c>
      <c r="C7" s="327">
        <v>43492.59652777778</v>
      </c>
      <c r="D7" s="440" t="s">
        <v>743</v>
      </c>
      <c r="E7" s="328">
        <v>2.02</v>
      </c>
      <c r="F7" s="328"/>
      <c r="G7" s="307"/>
      <c r="H7" s="309"/>
    </row>
    <row r="8" spans="1:9" ht="71.25" customHeight="1">
      <c r="A8" s="326" t="s">
        <v>535</v>
      </c>
      <c r="B8" s="326" t="s">
        <v>744</v>
      </c>
      <c r="C8" s="327">
        <v>43492.670138888891</v>
      </c>
      <c r="D8" s="440" t="s">
        <v>745</v>
      </c>
      <c r="E8" s="328">
        <v>4.93</v>
      </c>
      <c r="F8" s="328"/>
    </row>
    <row r="9" spans="1:9" ht="84.75" customHeight="1">
      <c r="A9" s="326" t="s">
        <v>562</v>
      </c>
      <c r="B9" s="326" t="s">
        <v>746</v>
      </c>
      <c r="C9" s="327">
        <v>43493.23541666667</v>
      </c>
      <c r="D9" s="440" t="s">
        <v>747</v>
      </c>
      <c r="E9" s="328">
        <v>282.93</v>
      </c>
      <c r="F9" s="328"/>
    </row>
    <row r="10" spans="1:9" ht="54" customHeight="1">
      <c r="A10" s="326"/>
      <c r="B10" s="326"/>
      <c r="C10" s="327"/>
      <c r="D10" s="440"/>
      <c r="E10" s="328"/>
      <c r="F10" s="328"/>
    </row>
    <row r="11" spans="1:9" ht="93.75" customHeight="1">
      <c r="A11" s="326"/>
      <c r="B11" s="326"/>
      <c r="C11" s="327"/>
      <c r="D11" s="440"/>
      <c r="E11" s="328"/>
      <c r="F11" s="328"/>
    </row>
    <row r="12" spans="1:9">
      <c r="A12" s="491"/>
      <c r="B12" s="491"/>
      <c r="C12" s="492"/>
      <c r="D12" s="493"/>
      <c r="E12" s="494"/>
      <c r="F12" s="494"/>
    </row>
    <row r="13" spans="1:9">
      <c r="E13" s="325"/>
      <c r="F13" s="325"/>
    </row>
    <row r="14" spans="1:9">
      <c r="E14" s="325"/>
      <c r="F14" s="325"/>
    </row>
    <row r="15" spans="1:9">
      <c r="E15" s="325"/>
      <c r="F15" s="325"/>
    </row>
    <row r="16" spans="1:9">
      <c r="E16" s="325"/>
      <c r="F16" s="325"/>
    </row>
    <row r="17" spans="5:6">
      <c r="E17" s="325"/>
      <c r="F17" s="325"/>
    </row>
    <row r="18" spans="5:6">
      <c r="E18" s="325"/>
      <c r="F18" s="325"/>
    </row>
    <row r="19" spans="5:6">
      <c r="E19" s="325"/>
      <c r="F19" s="325"/>
    </row>
    <row r="20" spans="5:6">
      <c r="E20" s="325"/>
      <c r="F20" s="325"/>
    </row>
    <row r="21" spans="5:6">
      <c r="E21" s="325"/>
      <c r="F21" s="325"/>
    </row>
    <row r="22" spans="5:6">
      <c r="E22" s="325"/>
      <c r="F22" s="325"/>
    </row>
    <row r="23" spans="5:6">
      <c r="E23" s="325"/>
      <c r="F23" s="325"/>
    </row>
    <row r="24" spans="5:6">
      <c r="E24" s="325"/>
      <c r="F24" s="325"/>
    </row>
    <row r="25" spans="5:6">
      <c r="E25" s="325"/>
      <c r="F25" s="325"/>
    </row>
    <row r="26" spans="5:6">
      <c r="E26" s="325"/>
      <c r="F26" s="325"/>
    </row>
    <row r="27" spans="5:6">
      <c r="E27" s="325"/>
      <c r="F27" s="325"/>
    </row>
    <row r="28" spans="5:6">
      <c r="E28" s="325"/>
      <c r="F28" s="325"/>
    </row>
    <row r="29" spans="5:6">
      <c r="E29" s="325"/>
      <c r="F29" s="325"/>
    </row>
    <row r="30" spans="5:6">
      <c r="E30" s="325"/>
      <c r="F30" s="325"/>
    </row>
    <row r="31" spans="5:6">
      <c r="E31" s="325"/>
      <c r="F31" s="325"/>
    </row>
    <row r="32" spans="5:6">
      <c r="E32" s="325"/>
      <c r="F32" s="325"/>
    </row>
    <row r="33" spans="5:6">
      <c r="E33" s="325"/>
      <c r="F33" s="325"/>
    </row>
    <row r="34" spans="5:6">
      <c r="E34" s="325"/>
      <c r="F34" s="325"/>
    </row>
    <row r="35" spans="5:6">
      <c r="E35" s="325"/>
      <c r="F35" s="325"/>
    </row>
    <row r="36" spans="5:6">
      <c r="E36" s="325"/>
      <c r="F36" s="325"/>
    </row>
    <row r="37" spans="5:6">
      <c r="E37" s="325"/>
      <c r="F37" s="325"/>
    </row>
    <row r="38" spans="5:6">
      <c r="E38" s="325"/>
      <c r="F38" s="325"/>
    </row>
    <row r="39" spans="5:6">
      <c r="E39" s="325"/>
      <c r="F39" s="325"/>
    </row>
    <row r="40" spans="5:6">
      <c r="E40" s="325"/>
      <c r="F40" s="325"/>
    </row>
    <row r="41" spans="5:6">
      <c r="E41" s="325"/>
      <c r="F41" s="325"/>
    </row>
    <row r="42" spans="5:6">
      <c r="E42" s="325"/>
      <c r="F42" s="325"/>
    </row>
    <row r="43" spans="5:6">
      <c r="E43" s="325"/>
      <c r="F43" s="325"/>
    </row>
    <row r="44" spans="5:6">
      <c r="E44" s="325"/>
      <c r="F44" s="325"/>
    </row>
    <row r="45" spans="5:6">
      <c r="E45" s="325"/>
      <c r="F45" s="325"/>
    </row>
    <row r="46" spans="5:6">
      <c r="E46" s="325"/>
      <c r="F46" s="325"/>
    </row>
    <row r="47" spans="5:6">
      <c r="E47" s="325"/>
      <c r="F47" s="325"/>
    </row>
    <row r="48" spans="5:6">
      <c r="E48" s="325"/>
      <c r="F48" s="325"/>
    </row>
    <row r="49" spans="5:6">
      <c r="E49" s="325"/>
      <c r="F49" s="325"/>
    </row>
    <row r="50" spans="5:6">
      <c r="E50" s="325"/>
      <c r="F50" s="325"/>
    </row>
    <row r="51" spans="5:6">
      <c r="E51" s="325"/>
      <c r="F51" s="325"/>
    </row>
    <row r="52" spans="5:6">
      <c r="E52" s="325"/>
      <c r="F52" s="325"/>
    </row>
    <row r="53" spans="5:6">
      <c r="E53" s="325"/>
      <c r="F53" s="325"/>
    </row>
    <row r="54" spans="5:6">
      <c r="E54" s="325"/>
      <c r="F54" s="325"/>
    </row>
    <row r="55" spans="5:6">
      <c r="E55" s="325"/>
      <c r="F55" s="325"/>
    </row>
    <row r="56" spans="5:6">
      <c r="E56" s="325"/>
      <c r="F56" s="325"/>
    </row>
    <row r="57" spans="5:6">
      <c r="E57" s="325"/>
      <c r="F57" s="325"/>
    </row>
    <row r="58" spans="5:6">
      <c r="E58" s="325"/>
      <c r="F58" s="325"/>
    </row>
    <row r="59" spans="5:6">
      <c r="E59" s="325"/>
      <c r="F59" s="325"/>
    </row>
    <row r="60" spans="5:6">
      <c r="E60" s="325"/>
      <c r="F60" s="325"/>
    </row>
    <row r="61" spans="5:6">
      <c r="E61" s="325"/>
      <c r="F61" s="325"/>
    </row>
    <row r="62" spans="5:6">
      <c r="E62" s="325"/>
      <c r="F62" s="325"/>
    </row>
    <row r="63" spans="5:6">
      <c r="E63" s="325"/>
      <c r="F63" s="325"/>
    </row>
    <row r="64" spans="5:6">
      <c r="E64" s="325"/>
      <c r="F64" s="325"/>
    </row>
    <row r="65" spans="5:6">
      <c r="E65" s="325"/>
      <c r="F65" s="325"/>
    </row>
    <row r="66" spans="5:6">
      <c r="E66" s="325"/>
      <c r="F66" s="325"/>
    </row>
    <row r="67" spans="5:6">
      <c r="E67" s="325"/>
      <c r="F67" s="325"/>
    </row>
    <row r="68" spans="5:6">
      <c r="E68" s="325"/>
      <c r="F68" s="325"/>
    </row>
    <row r="69" spans="5:6">
      <c r="E69" s="325"/>
      <c r="F69" s="325"/>
    </row>
    <row r="70" spans="5:6">
      <c r="E70" s="325"/>
      <c r="F70" s="325"/>
    </row>
    <row r="71" spans="5:6">
      <c r="E71" s="325"/>
      <c r="F71" s="325"/>
    </row>
    <row r="72" spans="5:6">
      <c r="E72" s="325"/>
      <c r="F72" s="325"/>
    </row>
    <row r="73" spans="5:6">
      <c r="E73" s="325"/>
      <c r="F73" s="325"/>
    </row>
    <row r="74" spans="5:6">
      <c r="E74" s="325"/>
      <c r="F74" s="325"/>
    </row>
    <row r="75" spans="5:6">
      <c r="E75" s="325"/>
      <c r="F75" s="325"/>
    </row>
    <row r="76" spans="5:6">
      <c r="E76" s="325"/>
      <c r="F76" s="325"/>
    </row>
    <row r="77" spans="5:6">
      <c r="E77" s="325"/>
      <c r="F77" s="325"/>
    </row>
    <row r="78" spans="5:6">
      <c r="E78" s="325"/>
      <c r="F78" s="325"/>
    </row>
    <row r="79" spans="5:6">
      <c r="E79" s="325"/>
      <c r="F79" s="325"/>
    </row>
    <row r="80" spans="5:6">
      <c r="E80" s="325"/>
      <c r="F80" s="325"/>
    </row>
    <row r="81" spans="5:6">
      <c r="E81" s="325"/>
      <c r="F81" s="325"/>
    </row>
    <row r="82" spans="5:6">
      <c r="E82" s="325"/>
      <c r="F82" s="325"/>
    </row>
    <row r="83" spans="5:6">
      <c r="E83" s="325"/>
      <c r="F83" s="325"/>
    </row>
    <row r="84" spans="5:6">
      <c r="E84" s="325"/>
      <c r="F84" s="325"/>
    </row>
    <row r="85" spans="5:6">
      <c r="E85" s="325"/>
      <c r="F85" s="325"/>
    </row>
    <row r="86" spans="5:6">
      <c r="E86" s="325"/>
      <c r="F86" s="325"/>
    </row>
    <row r="87" spans="5:6">
      <c r="E87" s="325"/>
      <c r="F87" s="325"/>
    </row>
    <row r="88" spans="5:6">
      <c r="E88" s="325"/>
      <c r="F88" s="325"/>
    </row>
    <row r="89" spans="5:6">
      <c r="E89" s="325"/>
      <c r="F89" s="325"/>
    </row>
    <row r="90" spans="5:6">
      <c r="E90" s="325"/>
      <c r="F90" s="325"/>
    </row>
    <row r="91" spans="5:6">
      <c r="E91" s="325"/>
      <c r="F91" s="325"/>
    </row>
    <row r="92" spans="5:6">
      <c r="E92" s="325"/>
      <c r="F92" s="325"/>
    </row>
    <row r="93" spans="5:6">
      <c r="E93" s="325"/>
      <c r="F93" s="325"/>
    </row>
    <row r="94" spans="5:6">
      <c r="E94" s="325"/>
      <c r="F94" s="325"/>
    </row>
    <row r="95" spans="5:6">
      <c r="E95" s="325"/>
      <c r="F95" s="325"/>
    </row>
    <row r="96" spans="5:6">
      <c r="E96" s="325"/>
      <c r="F96" s="325"/>
    </row>
    <row r="97" spans="5:6">
      <c r="E97" s="325"/>
      <c r="F97" s="325"/>
    </row>
    <row r="98" spans="5:6">
      <c r="E98" s="325"/>
      <c r="F98" s="325"/>
    </row>
    <row r="99" spans="5:6">
      <c r="E99" s="325"/>
      <c r="F99" s="325"/>
    </row>
    <row r="100" spans="5:6">
      <c r="E100" s="325"/>
      <c r="F100" s="325"/>
    </row>
    <row r="101" spans="5:6">
      <c r="E101" s="325"/>
      <c r="F101" s="325"/>
    </row>
    <row r="102" spans="5:6">
      <c r="E102" s="325"/>
      <c r="F102" s="325"/>
    </row>
    <row r="103" spans="5:6">
      <c r="E103" s="325"/>
      <c r="F103" s="325"/>
    </row>
    <row r="104" spans="5:6">
      <c r="E104" s="325"/>
      <c r="F104" s="325"/>
    </row>
    <row r="105" spans="5:6">
      <c r="E105" s="325"/>
      <c r="F105" s="325"/>
    </row>
    <row r="106" spans="5:6">
      <c r="E106" s="325"/>
      <c r="F106" s="325"/>
    </row>
    <row r="107" spans="5:6">
      <c r="E107" s="325"/>
      <c r="F107" s="325"/>
    </row>
    <row r="108" spans="5:6">
      <c r="E108" s="325"/>
      <c r="F108" s="325"/>
    </row>
    <row r="109" spans="5:6">
      <c r="E109" s="325"/>
      <c r="F109" s="325"/>
    </row>
    <row r="110" spans="5:6">
      <c r="E110" s="325"/>
      <c r="F110" s="325"/>
    </row>
    <row r="111" spans="5:6">
      <c r="E111" s="325"/>
      <c r="F111" s="325"/>
    </row>
    <row r="112" spans="5:6">
      <c r="E112" s="325"/>
      <c r="F112" s="325"/>
    </row>
    <row r="113" spans="5:6">
      <c r="E113" s="325"/>
      <c r="F113" s="325"/>
    </row>
    <row r="114" spans="5:6">
      <c r="E114" s="325"/>
      <c r="F114" s="325"/>
    </row>
    <row r="115" spans="5:6">
      <c r="E115" s="325"/>
      <c r="F115" s="325"/>
    </row>
    <row r="116" spans="5:6">
      <c r="E116" s="325"/>
      <c r="F116" s="325"/>
    </row>
    <row r="117" spans="5:6">
      <c r="E117" s="325"/>
      <c r="F117" s="325"/>
    </row>
    <row r="118" spans="5:6">
      <c r="E118" s="325"/>
      <c r="F118" s="325"/>
    </row>
    <row r="119" spans="5:6">
      <c r="E119" s="325"/>
      <c r="F119" s="325"/>
    </row>
    <row r="120" spans="5:6">
      <c r="E120" s="325"/>
      <c r="F120" s="325"/>
    </row>
    <row r="121" spans="5:6">
      <c r="E121" s="325"/>
      <c r="F121" s="325"/>
    </row>
    <row r="122" spans="5:6">
      <c r="E122" s="325"/>
      <c r="F122" s="325"/>
    </row>
    <row r="123" spans="5:6">
      <c r="E123" s="325"/>
      <c r="F123" s="325"/>
    </row>
    <row r="124" spans="5:6">
      <c r="E124" s="325"/>
      <c r="F124" s="325"/>
    </row>
    <row r="125" spans="5:6">
      <c r="E125" s="325"/>
      <c r="F125" s="325"/>
    </row>
    <row r="126" spans="5:6">
      <c r="E126" s="325"/>
      <c r="F126" s="325"/>
    </row>
    <row r="127" spans="5:6">
      <c r="E127" s="325"/>
      <c r="F127" s="325"/>
    </row>
    <row r="128" spans="5:6">
      <c r="E128" s="325"/>
      <c r="F128" s="325"/>
    </row>
    <row r="129" spans="5:6">
      <c r="E129" s="325"/>
      <c r="F129" s="325"/>
    </row>
    <row r="130" spans="5:6">
      <c r="E130" s="325"/>
      <c r="F130" s="325"/>
    </row>
    <row r="131" spans="5:6">
      <c r="E131" s="325"/>
      <c r="F131" s="325"/>
    </row>
    <row r="132" spans="5:6">
      <c r="E132" s="325"/>
      <c r="F132" s="325"/>
    </row>
    <row r="133" spans="5:6">
      <c r="E133" s="325"/>
      <c r="F133" s="325"/>
    </row>
    <row r="134" spans="5:6">
      <c r="E134" s="325"/>
      <c r="F134" s="325"/>
    </row>
    <row r="135" spans="5:6">
      <c r="E135" s="325"/>
      <c r="F135" s="325"/>
    </row>
    <row r="136" spans="5:6">
      <c r="E136" s="325"/>
      <c r="F136" s="325"/>
    </row>
    <row r="137" spans="5:6">
      <c r="E137" s="325"/>
      <c r="F137" s="325"/>
    </row>
    <row r="138" spans="5:6">
      <c r="E138" s="325"/>
      <c r="F138" s="325"/>
    </row>
    <row r="139" spans="5:6">
      <c r="E139" s="325"/>
      <c r="F139" s="325"/>
    </row>
    <row r="140" spans="5:6">
      <c r="E140" s="325"/>
      <c r="F140" s="325"/>
    </row>
    <row r="141" spans="5:6">
      <c r="E141" s="325"/>
      <c r="F141" s="325"/>
    </row>
    <row r="142" spans="5:6">
      <c r="E142" s="325"/>
      <c r="F142" s="325"/>
    </row>
    <row r="143" spans="5:6">
      <c r="E143" s="325"/>
      <c r="F143" s="325"/>
    </row>
    <row r="144" spans="5:6">
      <c r="E144" s="325"/>
      <c r="F144" s="325"/>
    </row>
    <row r="145" spans="5:6">
      <c r="E145" s="325"/>
      <c r="F145" s="325"/>
    </row>
  </sheetData>
  <pageMargins left="0.70866141732283472" right="0.51181102362204722" top="1.4311417322834645" bottom="0.62992125984251968" header="0.31496062992125984" footer="0.31496062992125984"/>
  <pageSetup paperSize="9" scale="95" orientation="portrait" r:id="rId1"/>
  <headerFooter>
    <oddHeader>&amp;R&amp;7Informe de la Operación Mensual - Enero 2019
INFSGI-MES-01-2019
13/02/2019
Versión: 01</oddHeader>
    <oddFooter>&amp;L&amp;7COES SINAC, 2019
&amp;C30&amp;R&amp;7Dirección Ejecutiva
Sub Dirección de Gestión de Información</oddFooter>
  </headerFooter>
  <rowBreaks count="1" manualBreakCount="1">
    <brk id="9" max="16383"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4"/>
  </sheetPr>
  <dimension ref="A1:I153"/>
  <sheetViews>
    <sheetView showGridLines="0" view="pageBreakPreview" topLeftCell="D7" zoomScale="145" zoomScaleNormal="100" zoomScaleSheetLayoutView="145" zoomScalePageLayoutView="145" workbookViewId="0">
      <selection activeCell="M24" sqref="M24"/>
    </sheetView>
  </sheetViews>
  <sheetFormatPr defaultColWidth="9.33203125" defaultRowHeight="9"/>
  <cols>
    <col min="1" max="1" width="16.1640625" style="318" customWidth="1"/>
    <col min="2" max="2" width="19.6640625" style="318" customWidth="1"/>
    <col min="3" max="3" width="12.5" style="318" bestFit="1" customWidth="1"/>
    <col min="4" max="4" width="47.1640625" style="318" customWidth="1"/>
    <col min="5" max="5" width="11.5" style="318" customWidth="1"/>
    <col min="6" max="6" width="10.5" style="318" customWidth="1"/>
    <col min="7" max="8" width="9.33203125" style="318" customWidth="1"/>
    <col min="9" max="16384" width="9.33203125" style="318"/>
  </cols>
  <sheetData>
    <row r="1" spans="1:9" ht="30" customHeight="1">
      <c r="A1" s="675" t="s">
        <v>277</v>
      </c>
      <c r="B1" s="676" t="s">
        <v>448</v>
      </c>
      <c r="C1" s="675" t="s">
        <v>437</v>
      </c>
      <c r="D1" s="677" t="s">
        <v>449</v>
      </c>
      <c r="E1" s="678" t="s">
        <v>450</v>
      </c>
      <c r="F1" s="678" t="s">
        <v>451</v>
      </c>
      <c r="G1" s="308"/>
      <c r="H1" s="319"/>
      <c r="I1" s="306"/>
    </row>
    <row r="2" spans="1:9" ht="64.5" customHeight="1">
      <c r="A2" s="326" t="s">
        <v>576</v>
      </c>
      <c r="B2" s="326" t="s">
        <v>657</v>
      </c>
      <c r="C2" s="327">
        <v>43493.265277777777</v>
      </c>
      <c r="D2" s="440" t="s">
        <v>748</v>
      </c>
      <c r="E2" s="328"/>
      <c r="F2" s="328">
        <v>90</v>
      </c>
      <c r="G2" s="307"/>
      <c r="H2" s="309"/>
    </row>
    <row r="3" spans="1:9" ht="86.25" customHeight="1">
      <c r="A3" s="326" t="s">
        <v>576</v>
      </c>
      <c r="B3" s="326" t="s">
        <v>749</v>
      </c>
      <c r="C3" s="327">
        <v>43493.337500000001</v>
      </c>
      <c r="D3" s="440" t="s">
        <v>750</v>
      </c>
      <c r="E3" s="328">
        <v>108.18</v>
      </c>
      <c r="F3" s="328"/>
      <c r="G3" s="307"/>
      <c r="H3" s="309"/>
    </row>
    <row r="4" spans="1:9" ht="83.25" customHeight="1">
      <c r="A4" s="326" t="s">
        <v>454</v>
      </c>
      <c r="B4" s="326" t="s">
        <v>751</v>
      </c>
      <c r="C4" s="327">
        <v>43493.612500000003</v>
      </c>
      <c r="D4" s="440" t="s">
        <v>752</v>
      </c>
      <c r="E4" s="328">
        <v>32.04</v>
      </c>
      <c r="F4" s="328"/>
      <c r="G4" s="307"/>
      <c r="H4" s="309"/>
    </row>
    <row r="5" spans="1:9" ht="66" customHeight="1">
      <c r="A5" s="326" t="s">
        <v>454</v>
      </c>
      <c r="B5" s="326" t="s">
        <v>751</v>
      </c>
      <c r="C5" s="327">
        <v>43493.694444444445</v>
      </c>
      <c r="D5" s="440" t="s">
        <v>753</v>
      </c>
      <c r="E5" s="328">
        <v>28.56</v>
      </c>
      <c r="F5" s="328"/>
    </row>
    <row r="6" spans="1:9" ht="57" customHeight="1">
      <c r="A6" s="326" t="s">
        <v>454</v>
      </c>
      <c r="B6" s="326" t="s">
        <v>751</v>
      </c>
      <c r="C6" s="327">
        <v>43493.986805555556</v>
      </c>
      <c r="D6" s="440" t="s">
        <v>754</v>
      </c>
      <c r="E6" s="328">
        <v>34.9</v>
      </c>
      <c r="F6" s="328"/>
    </row>
    <row r="7" spans="1:9" ht="68.25" customHeight="1">
      <c r="A7" s="326" t="s">
        <v>672</v>
      </c>
      <c r="B7" s="326" t="s">
        <v>673</v>
      </c>
      <c r="C7" s="327">
        <v>43494.038888888892</v>
      </c>
      <c r="D7" s="440" t="s">
        <v>755</v>
      </c>
      <c r="E7" s="328"/>
      <c r="F7" s="328">
        <v>168.2</v>
      </c>
    </row>
    <row r="8" spans="1:9" ht="89.25" customHeight="1">
      <c r="A8" s="326" t="s">
        <v>454</v>
      </c>
      <c r="B8" s="326" t="s">
        <v>751</v>
      </c>
      <c r="C8" s="327">
        <v>43494.044444444444</v>
      </c>
      <c r="D8" s="440" t="s">
        <v>756</v>
      </c>
      <c r="E8" s="328">
        <v>26.1</v>
      </c>
      <c r="F8" s="328"/>
    </row>
    <row r="9" spans="1:9" ht="84.75" customHeight="1">
      <c r="A9" s="326" t="s">
        <v>563</v>
      </c>
      <c r="B9" s="326" t="s">
        <v>757</v>
      </c>
      <c r="C9" s="327">
        <v>43494.315972222219</v>
      </c>
      <c r="D9" s="440" t="s">
        <v>758</v>
      </c>
      <c r="E9" s="328">
        <v>0.44</v>
      </c>
      <c r="F9" s="328"/>
    </row>
    <row r="10" spans="1:9">
      <c r="E10" s="325"/>
      <c r="F10" s="325"/>
    </row>
    <row r="11" spans="1:9">
      <c r="E11" s="325"/>
      <c r="F11" s="325"/>
    </row>
    <row r="12" spans="1:9">
      <c r="E12" s="325"/>
      <c r="F12" s="325"/>
    </row>
    <row r="13" spans="1:9">
      <c r="E13" s="325"/>
      <c r="F13" s="325"/>
    </row>
    <row r="14" spans="1:9">
      <c r="E14" s="325"/>
      <c r="F14" s="325"/>
    </row>
    <row r="15" spans="1:9">
      <c r="E15" s="325"/>
      <c r="F15" s="325"/>
    </row>
    <row r="16" spans="1:9">
      <c r="E16" s="325"/>
      <c r="F16" s="325"/>
    </row>
    <row r="17" spans="5:6">
      <c r="E17" s="325"/>
      <c r="F17" s="325"/>
    </row>
    <row r="18" spans="5:6">
      <c r="E18" s="325"/>
      <c r="F18" s="325"/>
    </row>
    <row r="19" spans="5:6">
      <c r="E19" s="325"/>
      <c r="F19" s="325"/>
    </row>
    <row r="20" spans="5:6">
      <c r="E20" s="325"/>
      <c r="F20" s="325"/>
    </row>
    <row r="21" spans="5:6">
      <c r="E21" s="325"/>
      <c r="F21" s="325"/>
    </row>
    <row r="22" spans="5:6">
      <c r="E22" s="325"/>
      <c r="F22" s="325"/>
    </row>
    <row r="23" spans="5:6">
      <c r="E23" s="325"/>
      <c r="F23" s="325"/>
    </row>
    <row r="24" spans="5:6">
      <c r="E24" s="325"/>
      <c r="F24" s="325"/>
    </row>
    <row r="25" spans="5:6">
      <c r="E25" s="325"/>
      <c r="F25" s="325"/>
    </row>
    <row r="26" spans="5:6">
      <c r="E26" s="325"/>
      <c r="F26" s="325"/>
    </row>
    <row r="27" spans="5:6">
      <c r="E27" s="325"/>
      <c r="F27" s="325"/>
    </row>
    <row r="28" spans="5:6">
      <c r="E28" s="325"/>
      <c r="F28" s="325"/>
    </row>
    <row r="29" spans="5:6">
      <c r="E29" s="325"/>
      <c r="F29" s="325"/>
    </row>
    <row r="30" spans="5:6">
      <c r="E30" s="325"/>
      <c r="F30" s="325"/>
    </row>
    <row r="31" spans="5:6">
      <c r="E31" s="325"/>
      <c r="F31" s="325"/>
    </row>
    <row r="32" spans="5:6">
      <c r="E32" s="325"/>
      <c r="F32" s="325"/>
    </row>
    <row r="33" spans="5:6">
      <c r="E33" s="325"/>
      <c r="F33" s="325"/>
    </row>
    <row r="34" spans="5:6">
      <c r="E34" s="325"/>
      <c r="F34" s="325"/>
    </row>
    <row r="35" spans="5:6">
      <c r="E35" s="325"/>
      <c r="F35" s="325"/>
    </row>
    <row r="36" spans="5:6">
      <c r="E36" s="325"/>
      <c r="F36" s="325"/>
    </row>
    <row r="37" spans="5:6">
      <c r="E37" s="325"/>
      <c r="F37" s="325"/>
    </row>
    <row r="38" spans="5:6">
      <c r="E38" s="325"/>
      <c r="F38" s="325"/>
    </row>
    <row r="39" spans="5:6">
      <c r="E39" s="325"/>
      <c r="F39" s="325"/>
    </row>
    <row r="40" spans="5:6">
      <c r="E40" s="325"/>
      <c r="F40" s="325"/>
    </row>
    <row r="41" spans="5:6">
      <c r="E41" s="325"/>
      <c r="F41" s="325"/>
    </row>
    <row r="42" spans="5:6">
      <c r="E42" s="325"/>
      <c r="F42" s="325"/>
    </row>
    <row r="43" spans="5:6">
      <c r="E43" s="325"/>
      <c r="F43" s="325"/>
    </row>
    <row r="44" spans="5:6">
      <c r="E44" s="325"/>
      <c r="F44" s="325"/>
    </row>
    <row r="45" spans="5:6">
      <c r="E45" s="325"/>
      <c r="F45" s="325"/>
    </row>
    <row r="46" spans="5:6">
      <c r="E46" s="325"/>
      <c r="F46" s="325"/>
    </row>
    <row r="47" spans="5:6">
      <c r="E47" s="325"/>
      <c r="F47" s="325"/>
    </row>
    <row r="48" spans="5:6">
      <c r="E48" s="325"/>
      <c r="F48" s="325"/>
    </row>
    <row r="49" spans="5:6">
      <c r="E49" s="325"/>
      <c r="F49" s="325"/>
    </row>
    <row r="50" spans="5:6">
      <c r="E50" s="325"/>
      <c r="F50" s="325"/>
    </row>
    <row r="51" spans="5:6">
      <c r="E51" s="325"/>
      <c r="F51" s="325"/>
    </row>
    <row r="52" spans="5:6">
      <c r="E52" s="325"/>
      <c r="F52" s="325"/>
    </row>
    <row r="53" spans="5:6">
      <c r="E53" s="325"/>
      <c r="F53" s="325"/>
    </row>
    <row r="54" spans="5:6">
      <c r="E54" s="325"/>
      <c r="F54" s="325"/>
    </row>
    <row r="55" spans="5:6">
      <c r="E55" s="325"/>
      <c r="F55" s="325"/>
    </row>
    <row r="56" spans="5:6">
      <c r="E56" s="325"/>
      <c r="F56" s="325"/>
    </row>
    <row r="57" spans="5:6">
      <c r="E57" s="325"/>
      <c r="F57" s="325"/>
    </row>
    <row r="58" spans="5:6">
      <c r="E58" s="325"/>
      <c r="F58" s="325"/>
    </row>
    <row r="59" spans="5:6">
      <c r="E59" s="325"/>
      <c r="F59" s="325"/>
    </row>
    <row r="60" spans="5:6">
      <c r="E60" s="325"/>
      <c r="F60" s="325"/>
    </row>
    <row r="61" spans="5:6">
      <c r="E61" s="325"/>
      <c r="F61" s="325"/>
    </row>
    <row r="62" spans="5:6">
      <c r="E62" s="325"/>
      <c r="F62" s="325"/>
    </row>
    <row r="63" spans="5:6">
      <c r="E63" s="325"/>
      <c r="F63" s="325"/>
    </row>
    <row r="64" spans="5:6">
      <c r="E64" s="325"/>
      <c r="F64" s="325"/>
    </row>
    <row r="65" spans="5:6">
      <c r="E65" s="325"/>
      <c r="F65" s="325"/>
    </row>
    <row r="66" spans="5:6">
      <c r="E66" s="325"/>
      <c r="F66" s="325"/>
    </row>
    <row r="67" spans="5:6">
      <c r="E67" s="325"/>
      <c r="F67" s="325"/>
    </row>
    <row r="68" spans="5:6">
      <c r="E68" s="325"/>
      <c r="F68" s="325"/>
    </row>
    <row r="69" spans="5:6">
      <c r="E69" s="325"/>
      <c r="F69" s="325"/>
    </row>
    <row r="70" spans="5:6">
      <c r="E70" s="325"/>
      <c r="F70" s="325"/>
    </row>
    <row r="71" spans="5:6">
      <c r="E71" s="325"/>
      <c r="F71" s="325"/>
    </row>
    <row r="72" spans="5:6">
      <c r="E72" s="325"/>
      <c r="F72" s="325"/>
    </row>
    <row r="73" spans="5:6">
      <c r="E73" s="325"/>
      <c r="F73" s="325"/>
    </row>
    <row r="74" spans="5:6">
      <c r="E74" s="325"/>
      <c r="F74" s="325"/>
    </row>
    <row r="75" spans="5:6">
      <c r="E75" s="325"/>
      <c r="F75" s="325"/>
    </row>
    <row r="76" spans="5:6">
      <c r="E76" s="325"/>
      <c r="F76" s="325"/>
    </row>
    <row r="77" spans="5:6">
      <c r="E77" s="325"/>
      <c r="F77" s="325"/>
    </row>
    <row r="78" spans="5:6">
      <c r="E78" s="325"/>
      <c r="F78" s="325"/>
    </row>
    <row r="79" spans="5:6">
      <c r="E79" s="325"/>
      <c r="F79" s="325"/>
    </row>
    <row r="80" spans="5:6">
      <c r="E80" s="325"/>
      <c r="F80" s="325"/>
    </row>
    <row r="81" spans="5:6">
      <c r="E81" s="325"/>
      <c r="F81" s="325"/>
    </row>
    <row r="82" spans="5:6">
      <c r="E82" s="325"/>
      <c r="F82" s="325"/>
    </row>
    <row r="83" spans="5:6">
      <c r="E83" s="325"/>
      <c r="F83" s="325"/>
    </row>
    <row r="84" spans="5:6">
      <c r="E84" s="325"/>
      <c r="F84" s="325"/>
    </row>
    <row r="85" spans="5:6">
      <c r="E85" s="325"/>
      <c r="F85" s="325"/>
    </row>
    <row r="86" spans="5:6">
      <c r="E86" s="325"/>
      <c r="F86" s="325"/>
    </row>
    <row r="87" spans="5:6">
      <c r="E87" s="325"/>
      <c r="F87" s="325"/>
    </row>
    <row r="88" spans="5:6">
      <c r="E88" s="325"/>
      <c r="F88" s="325"/>
    </row>
    <row r="89" spans="5:6">
      <c r="E89" s="325"/>
      <c r="F89" s="325"/>
    </row>
    <row r="90" spans="5:6">
      <c r="E90" s="325"/>
      <c r="F90" s="325"/>
    </row>
    <row r="91" spans="5:6">
      <c r="E91" s="325"/>
      <c r="F91" s="325"/>
    </row>
    <row r="92" spans="5:6">
      <c r="E92" s="325"/>
      <c r="F92" s="325"/>
    </row>
    <row r="93" spans="5:6">
      <c r="E93" s="325"/>
      <c r="F93" s="325"/>
    </row>
    <row r="94" spans="5:6">
      <c r="E94" s="325"/>
      <c r="F94" s="325"/>
    </row>
    <row r="95" spans="5:6">
      <c r="E95" s="325"/>
      <c r="F95" s="325"/>
    </row>
    <row r="96" spans="5:6">
      <c r="E96" s="325"/>
      <c r="F96" s="325"/>
    </row>
    <row r="97" spans="5:6">
      <c r="E97" s="325"/>
      <c r="F97" s="325"/>
    </row>
    <row r="98" spans="5:6">
      <c r="E98" s="325"/>
      <c r="F98" s="325"/>
    </row>
    <row r="99" spans="5:6">
      <c r="E99" s="325"/>
      <c r="F99" s="325"/>
    </row>
    <row r="100" spans="5:6">
      <c r="E100" s="325"/>
      <c r="F100" s="325"/>
    </row>
    <row r="101" spans="5:6">
      <c r="E101" s="325"/>
      <c r="F101" s="325"/>
    </row>
    <row r="102" spans="5:6">
      <c r="E102" s="325"/>
      <c r="F102" s="325"/>
    </row>
    <row r="103" spans="5:6">
      <c r="E103" s="325"/>
      <c r="F103" s="325"/>
    </row>
    <row r="104" spans="5:6">
      <c r="E104" s="325"/>
      <c r="F104" s="325"/>
    </row>
    <row r="105" spans="5:6">
      <c r="E105" s="325"/>
      <c r="F105" s="325"/>
    </row>
    <row r="106" spans="5:6">
      <c r="E106" s="325"/>
      <c r="F106" s="325"/>
    </row>
    <row r="107" spans="5:6">
      <c r="E107" s="325"/>
      <c r="F107" s="325"/>
    </row>
    <row r="108" spans="5:6">
      <c r="E108" s="325"/>
      <c r="F108" s="325"/>
    </row>
    <row r="109" spans="5:6">
      <c r="E109" s="325"/>
      <c r="F109" s="325"/>
    </row>
    <row r="110" spans="5:6">
      <c r="E110" s="325"/>
      <c r="F110" s="325"/>
    </row>
    <row r="111" spans="5:6">
      <c r="E111" s="325"/>
      <c r="F111" s="325"/>
    </row>
    <row r="112" spans="5:6">
      <c r="E112" s="325"/>
      <c r="F112" s="325"/>
    </row>
    <row r="113" spans="5:6">
      <c r="E113" s="325"/>
      <c r="F113" s="325"/>
    </row>
    <row r="114" spans="5:6">
      <c r="E114" s="325"/>
      <c r="F114" s="325"/>
    </row>
    <row r="115" spans="5:6">
      <c r="E115" s="325"/>
      <c r="F115" s="325"/>
    </row>
    <row r="116" spans="5:6">
      <c r="E116" s="325"/>
      <c r="F116" s="325"/>
    </row>
    <row r="117" spans="5:6">
      <c r="E117" s="325"/>
      <c r="F117" s="325"/>
    </row>
    <row r="118" spans="5:6">
      <c r="E118" s="325"/>
      <c r="F118" s="325"/>
    </row>
    <row r="119" spans="5:6">
      <c r="E119" s="325"/>
      <c r="F119" s="325"/>
    </row>
    <row r="120" spans="5:6">
      <c r="E120" s="325"/>
      <c r="F120" s="325"/>
    </row>
    <row r="121" spans="5:6">
      <c r="E121" s="325"/>
      <c r="F121" s="325"/>
    </row>
    <row r="122" spans="5:6">
      <c r="E122" s="325"/>
      <c r="F122" s="325"/>
    </row>
    <row r="123" spans="5:6">
      <c r="E123" s="325"/>
      <c r="F123" s="325"/>
    </row>
    <row r="124" spans="5:6">
      <c r="E124" s="325"/>
      <c r="F124" s="325"/>
    </row>
    <row r="125" spans="5:6">
      <c r="E125" s="325"/>
      <c r="F125" s="325"/>
    </row>
    <row r="126" spans="5:6">
      <c r="E126" s="325"/>
      <c r="F126" s="325"/>
    </row>
    <row r="127" spans="5:6">
      <c r="E127" s="325"/>
      <c r="F127" s="325"/>
    </row>
    <row r="128" spans="5:6">
      <c r="E128" s="325"/>
      <c r="F128" s="325"/>
    </row>
    <row r="129" spans="5:6">
      <c r="E129" s="325"/>
      <c r="F129" s="325"/>
    </row>
    <row r="130" spans="5:6">
      <c r="E130" s="325"/>
      <c r="F130" s="325"/>
    </row>
    <row r="131" spans="5:6">
      <c r="E131" s="325"/>
      <c r="F131" s="325"/>
    </row>
    <row r="132" spans="5:6">
      <c r="E132" s="325"/>
      <c r="F132" s="325"/>
    </row>
    <row r="133" spans="5:6">
      <c r="E133" s="325"/>
      <c r="F133" s="325"/>
    </row>
    <row r="134" spans="5:6">
      <c r="E134" s="325"/>
      <c r="F134" s="325"/>
    </row>
    <row r="135" spans="5:6">
      <c r="E135" s="325"/>
      <c r="F135" s="325"/>
    </row>
    <row r="136" spans="5:6">
      <c r="E136" s="325"/>
      <c r="F136" s="325"/>
    </row>
    <row r="137" spans="5:6">
      <c r="E137" s="325"/>
      <c r="F137" s="325"/>
    </row>
    <row r="138" spans="5:6">
      <c r="E138" s="325"/>
      <c r="F138" s="325"/>
    </row>
    <row r="139" spans="5:6">
      <c r="E139" s="325"/>
      <c r="F139" s="325"/>
    </row>
    <row r="140" spans="5:6">
      <c r="E140" s="325"/>
      <c r="F140" s="325"/>
    </row>
    <row r="141" spans="5:6">
      <c r="E141" s="325"/>
      <c r="F141" s="325"/>
    </row>
    <row r="142" spans="5:6">
      <c r="E142" s="325"/>
      <c r="F142" s="325"/>
    </row>
    <row r="143" spans="5:6">
      <c r="E143" s="325"/>
      <c r="F143" s="325"/>
    </row>
    <row r="144" spans="5:6">
      <c r="E144" s="325"/>
      <c r="F144" s="325"/>
    </row>
    <row r="145" spans="5:6">
      <c r="E145" s="325"/>
      <c r="F145" s="325"/>
    </row>
    <row r="146" spans="5:6">
      <c r="E146" s="325"/>
      <c r="F146" s="325"/>
    </row>
    <row r="147" spans="5:6">
      <c r="E147" s="325"/>
      <c r="F147" s="325"/>
    </row>
    <row r="148" spans="5:6">
      <c r="E148" s="325"/>
      <c r="F148" s="325"/>
    </row>
    <row r="149" spans="5:6">
      <c r="E149" s="325"/>
      <c r="F149" s="325"/>
    </row>
    <row r="150" spans="5:6">
      <c r="E150" s="325"/>
      <c r="F150" s="325"/>
    </row>
    <row r="151" spans="5:6">
      <c r="E151" s="325"/>
      <c r="F151" s="325"/>
    </row>
    <row r="152" spans="5:6">
      <c r="E152" s="325"/>
      <c r="F152" s="325"/>
    </row>
    <row r="153" spans="5:6">
      <c r="E153" s="325"/>
      <c r="F153" s="325"/>
    </row>
  </sheetData>
  <pageMargins left="0.70866141732283472" right="0.51181102362204722" top="1.4311417322834645" bottom="0.62992125984251968" header="0.31496062992125984" footer="0.31496062992125984"/>
  <pageSetup paperSize="9" scale="95" orientation="portrait" r:id="rId1"/>
  <headerFooter>
    <oddHeader>&amp;R&amp;7Informe de la Operación Mensual - Enero 2019
INFSGI-MES-01-2019
13/02/2019
Versión: 01</oddHeader>
    <oddFooter>&amp;L&amp;7COES SINAC, 2019
&amp;C31&amp;R&amp;7Dirección Ejecutiva
Sub Dirección de Gestión de Información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4"/>
  </sheetPr>
  <dimension ref="A1:I143"/>
  <sheetViews>
    <sheetView showGridLines="0" view="pageBreakPreview" topLeftCell="D7" zoomScale="145" zoomScaleNormal="100" zoomScaleSheetLayoutView="145" zoomScalePageLayoutView="145" workbookViewId="0">
      <selection activeCell="M24" sqref="M24"/>
    </sheetView>
  </sheetViews>
  <sheetFormatPr defaultColWidth="9.33203125" defaultRowHeight="9"/>
  <cols>
    <col min="1" max="1" width="16.1640625" style="318" customWidth="1"/>
    <col min="2" max="2" width="19.6640625" style="318" customWidth="1"/>
    <col min="3" max="3" width="12.5" style="318" bestFit="1" customWidth="1"/>
    <col min="4" max="4" width="47.1640625" style="318" customWidth="1"/>
    <col min="5" max="5" width="11.5" style="318" customWidth="1"/>
    <col min="6" max="6" width="10.5" style="318" customWidth="1"/>
    <col min="7" max="8" width="9.33203125" style="318" customWidth="1"/>
    <col min="9" max="16384" width="9.33203125" style="318"/>
  </cols>
  <sheetData>
    <row r="1" spans="1:9" ht="30" customHeight="1">
      <c r="A1" s="675" t="s">
        <v>277</v>
      </c>
      <c r="B1" s="676" t="s">
        <v>448</v>
      </c>
      <c r="C1" s="675" t="s">
        <v>437</v>
      </c>
      <c r="D1" s="677" t="s">
        <v>449</v>
      </c>
      <c r="E1" s="678" t="s">
        <v>450</v>
      </c>
      <c r="F1" s="678" t="s">
        <v>451</v>
      </c>
      <c r="G1" s="308"/>
      <c r="H1" s="319"/>
      <c r="I1" s="306"/>
    </row>
    <row r="2" spans="1:9" ht="59.25" customHeight="1">
      <c r="A2" s="326" t="s">
        <v>697</v>
      </c>
      <c r="B2" s="326" t="s">
        <v>698</v>
      </c>
      <c r="C2" s="327">
        <v>43494.520138888889</v>
      </c>
      <c r="D2" s="440" t="s">
        <v>759</v>
      </c>
      <c r="E2" s="328">
        <v>10.220000000000001</v>
      </c>
      <c r="F2" s="328"/>
      <c r="G2" s="307"/>
      <c r="H2" s="309"/>
    </row>
    <row r="3" spans="1:9" ht="52.5" customHeight="1">
      <c r="A3" s="326" t="s">
        <v>590</v>
      </c>
      <c r="B3" s="326" t="s">
        <v>665</v>
      </c>
      <c r="C3" s="327">
        <v>43494.579861111109</v>
      </c>
      <c r="D3" s="440" t="s">
        <v>760</v>
      </c>
      <c r="E3" s="328">
        <v>5.07</v>
      </c>
      <c r="F3" s="328"/>
      <c r="G3" s="307"/>
      <c r="H3" s="309"/>
    </row>
    <row r="4" spans="1:9" ht="78.75" customHeight="1">
      <c r="A4" s="326" t="s">
        <v>761</v>
      </c>
      <c r="B4" s="326" t="s">
        <v>762</v>
      </c>
      <c r="C4" s="327">
        <v>43495.879166666666</v>
      </c>
      <c r="D4" s="440" t="s">
        <v>763</v>
      </c>
      <c r="E4" s="328"/>
      <c r="F4" s="328">
        <v>52.61</v>
      </c>
      <c r="G4" s="307"/>
      <c r="H4" s="309"/>
    </row>
    <row r="5" spans="1:9" ht="52.5" customHeight="1">
      <c r="A5" s="326" t="s">
        <v>563</v>
      </c>
      <c r="B5" s="326" t="s">
        <v>764</v>
      </c>
      <c r="C5" s="327">
        <v>43496.272916666669</v>
      </c>
      <c r="D5" s="440" t="s">
        <v>765</v>
      </c>
      <c r="E5" s="328">
        <v>1.67</v>
      </c>
      <c r="F5" s="328"/>
    </row>
    <row r="6" spans="1:9" ht="58.5" customHeight="1">
      <c r="A6" s="326" t="s">
        <v>563</v>
      </c>
      <c r="B6" s="326" t="s">
        <v>764</v>
      </c>
      <c r="C6" s="327">
        <v>43496.290277777778</v>
      </c>
      <c r="D6" s="440" t="s">
        <v>766</v>
      </c>
      <c r="E6" s="328">
        <v>0.75</v>
      </c>
      <c r="F6" s="328"/>
    </row>
    <row r="7" spans="1:9" ht="51" customHeight="1">
      <c r="A7" s="326" t="s">
        <v>563</v>
      </c>
      <c r="B7" s="326" t="s">
        <v>764</v>
      </c>
      <c r="C7" s="327">
        <v>43496.322916666664</v>
      </c>
      <c r="D7" s="440" t="s">
        <v>767</v>
      </c>
      <c r="E7" s="328">
        <v>0.01</v>
      </c>
      <c r="F7" s="328"/>
    </row>
    <row r="8" spans="1:9" ht="54.75" customHeight="1">
      <c r="A8" s="326" t="s">
        <v>563</v>
      </c>
      <c r="B8" s="326" t="s">
        <v>768</v>
      </c>
      <c r="C8" s="327">
        <v>43496.582638888889</v>
      </c>
      <c r="D8" s="440" t="s">
        <v>769</v>
      </c>
      <c r="E8" s="328">
        <v>7.73</v>
      </c>
      <c r="F8" s="328"/>
    </row>
    <row r="9" spans="1:9" ht="69" customHeight="1">
      <c r="A9" s="326" t="s">
        <v>452</v>
      </c>
      <c r="B9" s="326" t="s">
        <v>661</v>
      </c>
      <c r="C9" s="327">
        <v>43496.676388888889</v>
      </c>
      <c r="D9" s="440" t="s">
        <v>770</v>
      </c>
      <c r="E9" s="328">
        <v>8.51</v>
      </c>
      <c r="F9" s="328"/>
    </row>
    <row r="10" spans="1:9" ht="72" customHeight="1">
      <c r="A10" s="491"/>
      <c r="B10" s="491"/>
      <c r="C10" s="492"/>
      <c r="D10" s="493"/>
      <c r="E10" s="494"/>
      <c r="F10" s="494"/>
    </row>
    <row r="11" spans="1:9">
      <c r="E11" s="325"/>
      <c r="F11" s="325"/>
    </row>
    <row r="12" spans="1:9">
      <c r="E12" s="325"/>
      <c r="F12" s="325"/>
    </row>
    <row r="13" spans="1:9">
      <c r="E13" s="325"/>
      <c r="F13" s="325"/>
    </row>
    <row r="14" spans="1:9">
      <c r="E14" s="325"/>
      <c r="F14" s="325"/>
    </row>
    <row r="15" spans="1:9">
      <c r="E15" s="325"/>
      <c r="F15" s="325"/>
    </row>
    <row r="16" spans="1:9">
      <c r="E16" s="325"/>
      <c r="F16" s="325"/>
    </row>
    <row r="17" spans="5:6">
      <c r="E17" s="325"/>
      <c r="F17" s="325"/>
    </row>
    <row r="18" spans="5:6">
      <c r="E18" s="325"/>
      <c r="F18" s="325"/>
    </row>
    <row r="19" spans="5:6">
      <c r="E19" s="325"/>
      <c r="F19" s="325"/>
    </row>
    <row r="20" spans="5:6">
      <c r="E20" s="325"/>
      <c r="F20" s="325"/>
    </row>
    <row r="21" spans="5:6">
      <c r="E21" s="325"/>
      <c r="F21" s="325"/>
    </row>
    <row r="22" spans="5:6">
      <c r="E22" s="325"/>
      <c r="F22" s="325"/>
    </row>
    <row r="23" spans="5:6">
      <c r="E23" s="325"/>
      <c r="F23" s="325"/>
    </row>
    <row r="24" spans="5:6">
      <c r="E24" s="325"/>
      <c r="F24" s="325"/>
    </row>
    <row r="25" spans="5:6">
      <c r="E25" s="325"/>
      <c r="F25" s="325"/>
    </row>
    <row r="26" spans="5:6">
      <c r="E26" s="325"/>
      <c r="F26" s="325"/>
    </row>
    <row r="27" spans="5:6">
      <c r="E27" s="325"/>
      <c r="F27" s="325"/>
    </row>
    <row r="28" spans="5:6">
      <c r="E28" s="325"/>
      <c r="F28" s="325"/>
    </row>
    <row r="29" spans="5:6">
      <c r="E29" s="325"/>
      <c r="F29" s="325"/>
    </row>
    <row r="30" spans="5:6">
      <c r="E30" s="325"/>
      <c r="F30" s="325"/>
    </row>
    <row r="31" spans="5:6">
      <c r="E31" s="325"/>
      <c r="F31" s="325"/>
    </row>
    <row r="32" spans="5:6">
      <c r="E32" s="325"/>
      <c r="F32" s="325"/>
    </row>
    <row r="33" spans="5:6">
      <c r="E33" s="325"/>
      <c r="F33" s="325"/>
    </row>
    <row r="34" spans="5:6">
      <c r="E34" s="325"/>
      <c r="F34" s="325"/>
    </row>
    <row r="35" spans="5:6">
      <c r="E35" s="325"/>
      <c r="F35" s="325"/>
    </row>
    <row r="36" spans="5:6">
      <c r="E36" s="325"/>
      <c r="F36" s="325"/>
    </row>
    <row r="37" spans="5:6">
      <c r="E37" s="325"/>
      <c r="F37" s="325"/>
    </row>
    <row r="38" spans="5:6">
      <c r="E38" s="325"/>
      <c r="F38" s="325"/>
    </row>
    <row r="39" spans="5:6">
      <c r="E39" s="325"/>
      <c r="F39" s="325"/>
    </row>
    <row r="40" spans="5:6">
      <c r="E40" s="325"/>
      <c r="F40" s="325"/>
    </row>
    <row r="41" spans="5:6">
      <c r="E41" s="325"/>
      <c r="F41" s="325"/>
    </row>
    <row r="42" spans="5:6">
      <c r="E42" s="325"/>
      <c r="F42" s="325"/>
    </row>
    <row r="43" spans="5:6">
      <c r="E43" s="325"/>
      <c r="F43" s="325"/>
    </row>
    <row r="44" spans="5:6">
      <c r="E44" s="325"/>
      <c r="F44" s="325"/>
    </row>
    <row r="45" spans="5:6">
      <c r="E45" s="325"/>
      <c r="F45" s="325"/>
    </row>
    <row r="46" spans="5:6">
      <c r="E46" s="325"/>
      <c r="F46" s="325"/>
    </row>
    <row r="47" spans="5:6">
      <c r="E47" s="325"/>
      <c r="F47" s="325"/>
    </row>
    <row r="48" spans="5:6">
      <c r="E48" s="325"/>
      <c r="F48" s="325"/>
    </row>
    <row r="49" spans="5:6">
      <c r="E49" s="325"/>
      <c r="F49" s="325"/>
    </row>
    <row r="50" spans="5:6">
      <c r="E50" s="325"/>
      <c r="F50" s="325"/>
    </row>
    <row r="51" spans="5:6">
      <c r="E51" s="325"/>
      <c r="F51" s="325"/>
    </row>
    <row r="52" spans="5:6">
      <c r="E52" s="325"/>
      <c r="F52" s="325"/>
    </row>
    <row r="53" spans="5:6">
      <c r="E53" s="325"/>
      <c r="F53" s="325"/>
    </row>
    <row r="54" spans="5:6">
      <c r="E54" s="325"/>
      <c r="F54" s="325"/>
    </row>
    <row r="55" spans="5:6">
      <c r="E55" s="325"/>
      <c r="F55" s="325"/>
    </row>
    <row r="56" spans="5:6">
      <c r="E56" s="325"/>
      <c r="F56" s="325"/>
    </row>
    <row r="57" spans="5:6">
      <c r="E57" s="325"/>
      <c r="F57" s="325"/>
    </row>
    <row r="58" spans="5:6">
      <c r="E58" s="325"/>
      <c r="F58" s="325"/>
    </row>
    <row r="59" spans="5:6">
      <c r="E59" s="325"/>
      <c r="F59" s="325"/>
    </row>
    <row r="60" spans="5:6">
      <c r="E60" s="325"/>
      <c r="F60" s="325"/>
    </row>
    <row r="61" spans="5:6">
      <c r="E61" s="325"/>
      <c r="F61" s="325"/>
    </row>
    <row r="62" spans="5:6">
      <c r="E62" s="325"/>
      <c r="F62" s="325"/>
    </row>
    <row r="63" spans="5:6">
      <c r="E63" s="325"/>
      <c r="F63" s="325"/>
    </row>
    <row r="64" spans="5:6">
      <c r="E64" s="325"/>
      <c r="F64" s="325"/>
    </row>
    <row r="65" spans="5:6">
      <c r="E65" s="325"/>
      <c r="F65" s="325"/>
    </row>
    <row r="66" spans="5:6">
      <c r="E66" s="325"/>
      <c r="F66" s="325"/>
    </row>
    <row r="67" spans="5:6">
      <c r="E67" s="325"/>
      <c r="F67" s="325"/>
    </row>
    <row r="68" spans="5:6">
      <c r="E68" s="325"/>
      <c r="F68" s="325"/>
    </row>
    <row r="69" spans="5:6">
      <c r="E69" s="325"/>
      <c r="F69" s="325"/>
    </row>
    <row r="70" spans="5:6">
      <c r="E70" s="325"/>
      <c r="F70" s="325"/>
    </row>
    <row r="71" spans="5:6">
      <c r="E71" s="325"/>
      <c r="F71" s="325"/>
    </row>
    <row r="72" spans="5:6">
      <c r="E72" s="325"/>
      <c r="F72" s="325"/>
    </row>
    <row r="73" spans="5:6">
      <c r="E73" s="325"/>
      <c r="F73" s="325"/>
    </row>
    <row r="74" spans="5:6">
      <c r="E74" s="325"/>
      <c r="F74" s="325"/>
    </row>
    <row r="75" spans="5:6">
      <c r="E75" s="325"/>
      <c r="F75" s="325"/>
    </row>
    <row r="76" spans="5:6">
      <c r="E76" s="325"/>
      <c r="F76" s="325"/>
    </row>
    <row r="77" spans="5:6">
      <c r="E77" s="325"/>
      <c r="F77" s="325"/>
    </row>
    <row r="78" spans="5:6">
      <c r="E78" s="325"/>
      <c r="F78" s="325"/>
    </row>
    <row r="79" spans="5:6">
      <c r="E79" s="325"/>
      <c r="F79" s="325"/>
    </row>
    <row r="80" spans="5:6">
      <c r="E80" s="325"/>
      <c r="F80" s="325"/>
    </row>
    <row r="81" spans="5:6">
      <c r="E81" s="325"/>
      <c r="F81" s="325"/>
    </row>
    <row r="82" spans="5:6">
      <c r="E82" s="325"/>
      <c r="F82" s="325"/>
    </row>
    <row r="83" spans="5:6">
      <c r="E83" s="325"/>
      <c r="F83" s="325"/>
    </row>
    <row r="84" spans="5:6">
      <c r="E84" s="325"/>
      <c r="F84" s="325"/>
    </row>
    <row r="85" spans="5:6">
      <c r="E85" s="325"/>
      <c r="F85" s="325"/>
    </row>
    <row r="86" spans="5:6">
      <c r="E86" s="325"/>
      <c r="F86" s="325"/>
    </row>
    <row r="87" spans="5:6">
      <c r="E87" s="325"/>
      <c r="F87" s="325"/>
    </row>
    <row r="88" spans="5:6">
      <c r="E88" s="325"/>
      <c r="F88" s="325"/>
    </row>
    <row r="89" spans="5:6">
      <c r="E89" s="325"/>
      <c r="F89" s="325"/>
    </row>
    <row r="90" spans="5:6">
      <c r="E90" s="325"/>
      <c r="F90" s="325"/>
    </row>
    <row r="91" spans="5:6">
      <c r="E91" s="325"/>
      <c r="F91" s="325"/>
    </row>
    <row r="92" spans="5:6">
      <c r="E92" s="325"/>
      <c r="F92" s="325"/>
    </row>
    <row r="93" spans="5:6">
      <c r="E93" s="325"/>
      <c r="F93" s="325"/>
    </row>
    <row r="94" spans="5:6">
      <c r="E94" s="325"/>
      <c r="F94" s="325"/>
    </row>
    <row r="95" spans="5:6">
      <c r="E95" s="325"/>
      <c r="F95" s="325"/>
    </row>
    <row r="96" spans="5:6">
      <c r="E96" s="325"/>
      <c r="F96" s="325"/>
    </row>
    <row r="97" spans="5:6">
      <c r="E97" s="325"/>
      <c r="F97" s="325"/>
    </row>
    <row r="98" spans="5:6">
      <c r="E98" s="325"/>
      <c r="F98" s="325"/>
    </row>
    <row r="99" spans="5:6">
      <c r="E99" s="325"/>
      <c r="F99" s="325"/>
    </row>
    <row r="100" spans="5:6">
      <c r="E100" s="325"/>
      <c r="F100" s="325"/>
    </row>
    <row r="101" spans="5:6">
      <c r="E101" s="325"/>
      <c r="F101" s="325"/>
    </row>
    <row r="102" spans="5:6">
      <c r="E102" s="325"/>
      <c r="F102" s="325"/>
    </row>
    <row r="103" spans="5:6">
      <c r="E103" s="325"/>
      <c r="F103" s="325"/>
    </row>
    <row r="104" spans="5:6">
      <c r="E104" s="325"/>
      <c r="F104" s="325"/>
    </row>
    <row r="105" spans="5:6">
      <c r="E105" s="325"/>
      <c r="F105" s="325"/>
    </row>
    <row r="106" spans="5:6">
      <c r="E106" s="325"/>
      <c r="F106" s="325"/>
    </row>
    <row r="107" spans="5:6">
      <c r="E107" s="325"/>
      <c r="F107" s="325"/>
    </row>
    <row r="108" spans="5:6">
      <c r="E108" s="325"/>
      <c r="F108" s="325"/>
    </row>
    <row r="109" spans="5:6">
      <c r="E109" s="325"/>
      <c r="F109" s="325"/>
    </row>
    <row r="110" spans="5:6">
      <c r="E110" s="325"/>
      <c r="F110" s="325"/>
    </row>
    <row r="111" spans="5:6">
      <c r="E111" s="325"/>
      <c r="F111" s="325"/>
    </row>
    <row r="112" spans="5:6">
      <c r="E112" s="325"/>
      <c r="F112" s="325"/>
    </row>
    <row r="113" spans="5:6">
      <c r="E113" s="325"/>
      <c r="F113" s="325"/>
    </row>
    <row r="114" spans="5:6">
      <c r="E114" s="325"/>
      <c r="F114" s="325"/>
    </row>
    <row r="115" spans="5:6">
      <c r="E115" s="325"/>
      <c r="F115" s="325"/>
    </row>
    <row r="116" spans="5:6">
      <c r="E116" s="325"/>
      <c r="F116" s="325"/>
    </row>
    <row r="117" spans="5:6">
      <c r="E117" s="325"/>
      <c r="F117" s="325"/>
    </row>
    <row r="118" spans="5:6">
      <c r="E118" s="325"/>
      <c r="F118" s="325"/>
    </row>
    <row r="119" spans="5:6">
      <c r="E119" s="325"/>
      <c r="F119" s="325"/>
    </row>
    <row r="120" spans="5:6">
      <c r="E120" s="325"/>
      <c r="F120" s="325"/>
    </row>
    <row r="121" spans="5:6">
      <c r="E121" s="325"/>
      <c r="F121" s="325"/>
    </row>
    <row r="122" spans="5:6">
      <c r="E122" s="325"/>
      <c r="F122" s="325"/>
    </row>
    <row r="123" spans="5:6">
      <c r="E123" s="325"/>
      <c r="F123" s="325"/>
    </row>
    <row r="124" spans="5:6">
      <c r="E124" s="325"/>
      <c r="F124" s="325"/>
    </row>
    <row r="125" spans="5:6">
      <c r="E125" s="325"/>
      <c r="F125" s="325"/>
    </row>
    <row r="126" spans="5:6">
      <c r="E126" s="325"/>
      <c r="F126" s="325"/>
    </row>
    <row r="127" spans="5:6">
      <c r="E127" s="325"/>
      <c r="F127" s="325"/>
    </row>
    <row r="128" spans="5:6">
      <c r="E128" s="325"/>
      <c r="F128" s="325"/>
    </row>
    <row r="129" spans="5:6">
      <c r="E129" s="325"/>
      <c r="F129" s="325"/>
    </row>
    <row r="130" spans="5:6">
      <c r="E130" s="325"/>
      <c r="F130" s="325"/>
    </row>
    <row r="131" spans="5:6">
      <c r="E131" s="325"/>
      <c r="F131" s="325"/>
    </row>
    <row r="132" spans="5:6">
      <c r="E132" s="325"/>
      <c r="F132" s="325"/>
    </row>
    <row r="133" spans="5:6">
      <c r="E133" s="325"/>
      <c r="F133" s="325"/>
    </row>
    <row r="134" spans="5:6">
      <c r="E134" s="325"/>
      <c r="F134" s="325"/>
    </row>
    <row r="135" spans="5:6">
      <c r="E135" s="325"/>
      <c r="F135" s="325"/>
    </row>
    <row r="136" spans="5:6">
      <c r="E136" s="325"/>
      <c r="F136" s="325"/>
    </row>
    <row r="137" spans="5:6">
      <c r="E137" s="325"/>
      <c r="F137" s="325"/>
    </row>
    <row r="138" spans="5:6">
      <c r="E138" s="325"/>
      <c r="F138" s="325"/>
    </row>
    <row r="139" spans="5:6">
      <c r="E139" s="325"/>
      <c r="F139" s="325"/>
    </row>
    <row r="140" spans="5:6">
      <c r="E140" s="325"/>
      <c r="F140" s="325"/>
    </row>
    <row r="141" spans="5:6">
      <c r="E141" s="325"/>
      <c r="F141" s="325"/>
    </row>
    <row r="142" spans="5:6">
      <c r="E142" s="325"/>
      <c r="F142" s="325"/>
    </row>
    <row r="143" spans="5:6">
      <c r="E143" s="325"/>
      <c r="F143" s="325"/>
    </row>
  </sheetData>
  <pageMargins left="0.70866141732283472" right="0.51181102362204722" top="1.4311417322834645" bottom="0.62992125984251968" header="0.31496062992125984" footer="0.31496062992125984"/>
  <pageSetup paperSize="9" scale="95" orientation="portrait" r:id="rId1"/>
  <headerFooter>
    <oddHeader>&amp;R&amp;7Informe de la Operación Mensual - Enero 2019
INFSGI-MES-01-2019
13/02/2019
Versión: 01</oddHeader>
    <oddFooter>&amp;L&amp;7COES SINAC, 2019
&amp;C32&amp;R&amp;7Dirección Ejecutiva
Sub Dirección de Gestión de Información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4"/>
  </sheetPr>
  <dimension ref="B4:O65"/>
  <sheetViews>
    <sheetView showGridLines="0" view="pageBreakPreview" zoomScale="130" zoomScaleNormal="100" zoomScaleSheetLayoutView="130" workbookViewId="0">
      <selection activeCell="M24" sqref="M24"/>
    </sheetView>
  </sheetViews>
  <sheetFormatPr defaultColWidth="9.33203125" defaultRowHeight="11.25"/>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26"/>
      <c r="C7" s="25"/>
      <c r="D7" s="25"/>
      <c r="E7" s="25"/>
      <c r="F7" s="25"/>
      <c r="G7" s="25"/>
      <c r="H7" s="25"/>
      <c r="I7" s="25"/>
      <c r="J7" s="25"/>
      <c r="K7" s="25"/>
      <c r="L7" s="25"/>
      <c r="M7" s="25"/>
      <c r="N7" s="25"/>
      <c r="O7" s="25"/>
    </row>
    <row r="8" spans="2:15">
      <c r="B8" s="226"/>
      <c r="C8" s="25"/>
      <c r="D8" s="25"/>
      <c r="E8" s="25"/>
      <c r="F8" s="25"/>
      <c r="G8" s="25"/>
      <c r="H8" s="25"/>
      <c r="I8" s="25"/>
      <c r="J8" s="25"/>
      <c r="K8" s="25"/>
      <c r="L8" s="25"/>
      <c r="M8" s="25"/>
      <c r="N8" s="25"/>
      <c r="O8" s="25"/>
    </row>
    <row r="9" spans="2:15">
      <c r="B9" s="226"/>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2.75">
      <c r="B13" s="329"/>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0.7480314960629921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2:O63"/>
  <sheetViews>
    <sheetView showGridLines="0" view="pageBreakPreview" topLeftCell="A45" zoomScale="130" zoomScaleNormal="100" zoomScaleSheetLayoutView="130" zoomScalePageLayoutView="160" workbookViewId="0">
      <selection activeCell="M24" sqref="M24"/>
    </sheetView>
  </sheetViews>
  <sheetFormatPr defaultColWidth="9.33203125" defaultRowHeight="11.25"/>
  <cols>
    <col min="1" max="1" width="12" style="46" customWidth="1"/>
    <col min="2" max="3" width="11" style="46" customWidth="1"/>
    <col min="4" max="5" width="11.33203125" style="46" customWidth="1"/>
    <col min="6" max="6" width="12.33203125" style="46" customWidth="1"/>
    <col min="7" max="7" width="9.33203125" style="46"/>
    <col min="8" max="8" width="13.33203125" style="46" customWidth="1"/>
    <col min="9" max="9" width="13.1640625" style="46" customWidth="1"/>
    <col min="10" max="10" width="11.6640625" style="46" customWidth="1"/>
    <col min="11" max="11" width="9.33203125" style="46"/>
    <col min="12" max="12" width="18.6640625" style="46" bestFit="1" customWidth="1"/>
    <col min="13" max="16384" width="9.33203125" style="46"/>
  </cols>
  <sheetData>
    <row r="2" spans="1:12" ht="16.5" customHeight="1">
      <c r="A2" s="813" t="s">
        <v>836</v>
      </c>
      <c r="B2" s="813"/>
      <c r="C2" s="813"/>
      <c r="D2" s="813"/>
      <c r="E2" s="813"/>
      <c r="F2" s="813"/>
      <c r="G2" s="813"/>
      <c r="H2" s="813"/>
      <c r="I2" s="813"/>
      <c r="J2" s="813"/>
      <c r="K2" s="718"/>
    </row>
    <row r="3" spans="1:12" ht="12" customHeight="1">
      <c r="A3" s="137"/>
      <c r="B3" s="216"/>
      <c r="C3" s="227"/>
      <c r="D3" s="228"/>
      <c r="E3" s="228"/>
      <c r="F3" s="229"/>
      <c r="G3" s="230"/>
      <c r="H3" s="230"/>
      <c r="I3" s="177"/>
      <c r="J3" s="229"/>
    </row>
    <row r="4" spans="1:12" ht="11.25" customHeight="1">
      <c r="A4" s="192" t="s">
        <v>228</v>
      </c>
      <c r="B4" s="216"/>
      <c r="C4" s="227"/>
      <c r="D4" s="228"/>
      <c r="E4" s="228"/>
      <c r="F4" s="229"/>
      <c r="G4" s="230"/>
      <c r="H4" s="230"/>
      <c r="I4" s="177"/>
      <c r="J4" s="229"/>
      <c r="K4" s="398"/>
    </row>
    <row r="5" spans="1:12" ht="11.25" customHeight="1">
      <c r="A5" s="192"/>
      <c r="B5" s="216"/>
      <c r="C5" s="227"/>
      <c r="D5" s="228"/>
      <c r="E5" s="228"/>
      <c r="F5" s="229"/>
      <c r="G5" s="230"/>
      <c r="H5" s="230"/>
      <c r="I5" s="177"/>
      <c r="J5" s="229"/>
      <c r="K5" s="398"/>
    </row>
    <row r="6" spans="1:12" ht="15" customHeight="1">
      <c r="A6" s="137" t="s">
        <v>835</v>
      </c>
      <c r="B6" s="216"/>
      <c r="C6" s="227"/>
      <c r="D6" s="228"/>
      <c r="E6" s="228"/>
      <c r="F6" s="229"/>
      <c r="G6" s="230"/>
      <c r="H6" s="230"/>
      <c r="I6" s="177"/>
      <c r="J6" s="229"/>
      <c r="K6" s="398"/>
    </row>
    <row r="7" spans="1:12" ht="20.25" hidden="1" customHeight="1">
      <c r="A7" s="607" t="s">
        <v>222</v>
      </c>
      <c r="B7" s="608" t="s">
        <v>223</v>
      </c>
      <c r="C7" s="608" t="s">
        <v>224</v>
      </c>
      <c r="D7" s="608" t="s">
        <v>225</v>
      </c>
      <c r="E7" s="608" t="s">
        <v>226</v>
      </c>
      <c r="F7" s="609" t="s">
        <v>227</v>
      </c>
      <c r="G7" s="610" t="s">
        <v>236</v>
      </c>
      <c r="H7" s="609" t="s">
        <v>240</v>
      </c>
      <c r="I7" s="610" t="s">
        <v>521</v>
      </c>
      <c r="J7" s="611" t="s">
        <v>237</v>
      </c>
      <c r="K7" s="719"/>
    </row>
    <row r="8" spans="1:12" s="231" customFormat="1" ht="18" hidden="1" customHeight="1">
      <c r="A8" s="578" t="s">
        <v>229</v>
      </c>
      <c r="B8" s="579" t="s">
        <v>30</v>
      </c>
      <c r="C8" s="579" t="s">
        <v>30</v>
      </c>
      <c r="D8" s="579" t="s">
        <v>235</v>
      </c>
      <c r="E8" s="579" t="s">
        <v>230</v>
      </c>
      <c r="F8" s="580" t="s">
        <v>241</v>
      </c>
      <c r="G8" s="581">
        <v>33</v>
      </c>
      <c r="H8" s="582">
        <v>144.48400000000001</v>
      </c>
      <c r="I8" s="583" t="s">
        <v>598</v>
      </c>
      <c r="J8" s="584" t="s">
        <v>231</v>
      </c>
      <c r="K8" s="720"/>
      <c r="L8" s="231">
        <v>144.47999999999999</v>
      </c>
    </row>
    <row r="9" spans="1:12" s="231" customFormat="1" ht="18" hidden="1" customHeight="1">
      <c r="A9" s="585" t="s">
        <v>504</v>
      </c>
      <c r="B9" s="586" t="s">
        <v>37</v>
      </c>
      <c r="C9" s="586" t="s">
        <v>46</v>
      </c>
      <c r="D9" s="586" t="s">
        <v>512</v>
      </c>
      <c r="E9" s="586" t="s">
        <v>506</v>
      </c>
      <c r="F9" s="587" t="s">
        <v>511</v>
      </c>
      <c r="G9" s="588">
        <v>13.8</v>
      </c>
      <c r="H9" s="589">
        <v>20</v>
      </c>
      <c r="I9" s="589">
        <v>20</v>
      </c>
      <c r="J9" s="590" t="s">
        <v>510</v>
      </c>
      <c r="K9" s="720"/>
      <c r="L9" s="231">
        <v>20</v>
      </c>
    </row>
    <row r="10" spans="1:12" s="231" customFormat="1" ht="18" hidden="1" customHeight="1">
      <c r="A10" s="578" t="s">
        <v>103</v>
      </c>
      <c r="B10" s="579" t="s">
        <v>38</v>
      </c>
      <c r="C10" s="579" t="s">
        <v>25</v>
      </c>
      <c r="D10" s="579" t="s">
        <v>518</v>
      </c>
      <c r="E10" s="579" t="s">
        <v>499</v>
      </c>
      <c r="F10" s="580" t="s">
        <v>518</v>
      </c>
      <c r="G10" s="581">
        <v>13.8</v>
      </c>
      <c r="H10" s="582" t="s">
        <v>599</v>
      </c>
      <c r="I10" s="582" t="s">
        <v>600</v>
      </c>
      <c r="J10" s="584" t="s">
        <v>498</v>
      </c>
      <c r="K10" s="720"/>
      <c r="L10" s="721">
        <v>103.95113000000001</v>
      </c>
    </row>
    <row r="11" spans="1:12" s="231" customFormat="1" ht="18" hidden="1" customHeight="1">
      <c r="A11" s="585" t="s">
        <v>90</v>
      </c>
      <c r="B11" s="586" t="s">
        <v>30</v>
      </c>
      <c r="C11" s="586" t="s">
        <v>30</v>
      </c>
      <c r="D11" s="586" t="s">
        <v>235</v>
      </c>
      <c r="E11" s="586" t="s">
        <v>507</v>
      </c>
      <c r="F11" s="587" t="s">
        <v>508</v>
      </c>
      <c r="G11" s="588">
        <v>22.9</v>
      </c>
      <c r="H11" s="589">
        <v>44.54</v>
      </c>
      <c r="I11" s="589" t="s">
        <v>601</v>
      </c>
      <c r="J11" s="590" t="s">
        <v>509</v>
      </c>
      <c r="K11" s="720"/>
      <c r="L11" s="231">
        <v>44.54</v>
      </c>
    </row>
    <row r="12" spans="1:12" s="231" customFormat="1" ht="18" hidden="1" customHeight="1">
      <c r="A12" s="578" t="s">
        <v>229</v>
      </c>
      <c r="B12" s="579" t="s">
        <v>523</v>
      </c>
      <c r="C12" s="579" t="s">
        <v>546</v>
      </c>
      <c r="D12" s="579" t="s">
        <v>524</v>
      </c>
      <c r="E12" s="579" t="s">
        <v>525</v>
      </c>
      <c r="F12" s="580" t="s">
        <v>526</v>
      </c>
      <c r="G12" s="581">
        <v>12</v>
      </c>
      <c r="H12" s="582">
        <v>132.30000000000001</v>
      </c>
      <c r="I12" s="582" t="s">
        <v>602</v>
      </c>
      <c r="J12" s="584" t="s">
        <v>527</v>
      </c>
      <c r="K12" s="720"/>
      <c r="L12" s="231">
        <v>132.30000000000001</v>
      </c>
    </row>
    <row r="13" spans="1:12" s="231" customFormat="1" ht="18" hidden="1" customHeight="1">
      <c r="A13" s="585" t="s">
        <v>532</v>
      </c>
      <c r="B13" s="586" t="s">
        <v>38</v>
      </c>
      <c r="C13" s="586" t="s">
        <v>51</v>
      </c>
      <c r="D13" s="586" t="s">
        <v>547</v>
      </c>
      <c r="E13" s="586" t="s">
        <v>548</v>
      </c>
      <c r="F13" s="587" t="s">
        <v>554</v>
      </c>
      <c r="G13" s="588">
        <v>0.48</v>
      </c>
      <c r="H13" s="589">
        <v>2.4</v>
      </c>
      <c r="I13" s="589">
        <v>2.4</v>
      </c>
      <c r="J13" s="590" t="s">
        <v>555</v>
      </c>
      <c r="K13" s="720"/>
      <c r="L13" s="231">
        <v>2.4</v>
      </c>
    </row>
    <row r="14" spans="1:12" s="231" customFormat="1" ht="24.75" hidden="1" customHeight="1">
      <c r="A14" s="578" t="s">
        <v>545</v>
      </c>
      <c r="B14" s="579" t="s">
        <v>37</v>
      </c>
      <c r="C14" s="579" t="s">
        <v>46</v>
      </c>
      <c r="D14" s="579" t="s">
        <v>559</v>
      </c>
      <c r="E14" s="579" t="s">
        <v>549</v>
      </c>
      <c r="F14" s="580" t="s">
        <v>553</v>
      </c>
      <c r="G14" s="581">
        <v>0.4</v>
      </c>
      <c r="H14" s="582">
        <v>0.7</v>
      </c>
      <c r="I14" s="582">
        <v>0.7</v>
      </c>
      <c r="J14" s="584" t="s">
        <v>556</v>
      </c>
      <c r="K14" s="720"/>
      <c r="L14" s="231">
        <v>0.7</v>
      </c>
    </row>
    <row r="15" spans="1:12" s="231" customFormat="1" ht="14.25" hidden="1" customHeight="1">
      <c r="A15" s="585" t="s">
        <v>111</v>
      </c>
      <c r="B15" s="586" t="s">
        <v>37</v>
      </c>
      <c r="C15" s="586" t="s">
        <v>46</v>
      </c>
      <c r="D15" s="586" t="s">
        <v>512</v>
      </c>
      <c r="E15" s="586" t="s">
        <v>550</v>
      </c>
      <c r="F15" s="587" t="s">
        <v>554</v>
      </c>
      <c r="G15" s="588">
        <v>6.6</v>
      </c>
      <c r="H15" s="589">
        <v>20.815999999999999</v>
      </c>
      <c r="I15" s="589">
        <v>20.16</v>
      </c>
      <c r="J15" s="590" t="s">
        <v>556</v>
      </c>
      <c r="K15" s="720"/>
      <c r="L15" s="231">
        <v>20.16</v>
      </c>
    </row>
    <row r="16" spans="1:12" s="231" customFormat="1" ht="14.25" hidden="1" customHeight="1">
      <c r="A16" s="578" t="s">
        <v>111</v>
      </c>
      <c r="B16" s="579" t="s">
        <v>37</v>
      </c>
      <c r="C16" s="579" t="s">
        <v>46</v>
      </c>
      <c r="D16" s="579" t="s">
        <v>512</v>
      </c>
      <c r="E16" s="579" t="s">
        <v>551</v>
      </c>
      <c r="F16" s="580" t="s">
        <v>554</v>
      </c>
      <c r="G16" s="581">
        <v>6.6</v>
      </c>
      <c r="H16" s="582">
        <v>20.815999999999999</v>
      </c>
      <c r="I16" s="582">
        <v>20.16</v>
      </c>
      <c r="J16" s="584" t="s">
        <v>556</v>
      </c>
      <c r="K16" s="720"/>
      <c r="L16" s="231">
        <v>20.16</v>
      </c>
    </row>
    <row r="17" spans="1:13" s="231" customFormat="1" ht="14.25" hidden="1" customHeight="1">
      <c r="A17" s="585" t="s">
        <v>111</v>
      </c>
      <c r="B17" s="586" t="s">
        <v>37</v>
      </c>
      <c r="C17" s="586" t="s">
        <v>46</v>
      </c>
      <c r="D17" s="586" t="s">
        <v>512</v>
      </c>
      <c r="E17" s="586" t="s">
        <v>552</v>
      </c>
      <c r="F17" s="587" t="s">
        <v>554</v>
      </c>
      <c r="G17" s="588">
        <v>6.6</v>
      </c>
      <c r="H17" s="589">
        <v>20.815999999999999</v>
      </c>
      <c r="I17" s="589">
        <v>20.16</v>
      </c>
      <c r="J17" s="590" t="s">
        <v>556</v>
      </c>
      <c r="K17" s="720"/>
      <c r="L17" s="231">
        <v>20.16</v>
      </c>
    </row>
    <row r="18" spans="1:13" s="231" customFormat="1" ht="14.25" hidden="1" customHeight="1">
      <c r="A18" s="578" t="s">
        <v>566</v>
      </c>
      <c r="B18" s="579" t="s">
        <v>37</v>
      </c>
      <c r="C18" s="579" t="s">
        <v>46</v>
      </c>
      <c r="D18" s="579" t="s">
        <v>580</v>
      </c>
      <c r="E18" s="579" t="s">
        <v>581</v>
      </c>
      <c r="F18" s="580" t="s">
        <v>554</v>
      </c>
      <c r="G18" s="581">
        <v>6.6</v>
      </c>
      <c r="H18" s="582">
        <v>20</v>
      </c>
      <c r="I18" s="582">
        <v>20</v>
      </c>
      <c r="J18" s="584" t="s">
        <v>603</v>
      </c>
      <c r="K18" s="720"/>
      <c r="L18" s="231">
        <v>20</v>
      </c>
    </row>
    <row r="19" spans="1:13" s="231" customFormat="1" ht="14.25" hidden="1" customHeight="1">
      <c r="A19" s="585" t="s">
        <v>593</v>
      </c>
      <c r="B19" s="586" t="s">
        <v>37</v>
      </c>
      <c r="C19" s="586" t="s">
        <v>46</v>
      </c>
      <c r="D19" s="586" t="s">
        <v>580</v>
      </c>
      <c r="E19" s="586" t="s">
        <v>604</v>
      </c>
      <c r="F19" s="587" t="s">
        <v>605</v>
      </c>
      <c r="G19" s="588">
        <v>6.9</v>
      </c>
      <c r="H19" s="589">
        <v>7.5</v>
      </c>
      <c r="I19" s="589">
        <v>6.6</v>
      </c>
      <c r="J19" s="590" t="s">
        <v>606</v>
      </c>
      <c r="K19" s="720"/>
      <c r="L19" s="231">
        <v>6.6</v>
      </c>
    </row>
    <row r="20" spans="1:13" ht="11.25" hidden="1" customHeight="1">
      <c r="A20" s="612" t="s">
        <v>44</v>
      </c>
      <c r="B20" s="613"/>
      <c r="C20" s="613"/>
      <c r="D20" s="613"/>
      <c r="E20" s="614"/>
      <c r="F20" s="615"/>
      <c r="G20" s="616"/>
      <c r="H20" s="617">
        <f>+SUM(H8:H19)+123.61</f>
        <v>557.98199999999986</v>
      </c>
      <c r="I20" s="617">
        <f>+SUM(L8:L19)</f>
        <v>535.45113000000003</v>
      </c>
      <c r="J20" s="618"/>
      <c r="K20" s="722"/>
      <c r="L20" s="723"/>
    </row>
    <row r="21" spans="1:13" ht="15" hidden="1" customHeight="1">
      <c r="A21" s="302" t="str">
        <f>"Cuadro N° 1: Relación de ingresos a operación comercial en "&amp;'1. Resumen'!Q4&amp;" "&amp;'1. Resumen'!Q5</f>
        <v>Cuadro N° 1: Relación de ingresos a operación comercial en enero 2019</v>
      </c>
      <c r="B21" s="132"/>
      <c r="C21" s="132"/>
      <c r="D21" s="132"/>
      <c r="E21" s="132"/>
      <c r="F21" s="132"/>
      <c r="G21" s="132"/>
      <c r="H21" s="132"/>
      <c r="I21" s="132"/>
      <c r="J21" s="132"/>
      <c r="K21" s="722"/>
    </row>
    <row r="22" spans="1:13" ht="11.25" hidden="1" customHeight="1">
      <c r="A22" s="822" t="s">
        <v>528</v>
      </c>
      <c r="B22" s="822"/>
      <c r="C22" s="822"/>
      <c r="D22" s="822"/>
      <c r="E22" s="822"/>
      <c r="F22" s="822"/>
      <c r="G22" s="822"/>
      <c r="H22" s="822"/>
      <c r="I22" s="822"/>
      <c r="J22" s="822"/>
      <c r="K22" s="722"/>
    </row>
    <row r="23" spans="1:13" ht="11.25" hidden="1" customHeight="1">
      <c r="A23" s="498" t="s">
        <v>514</v>
      </c>
      <c r="B23" s="498"/>
      <c r="C23" s="498"/>
      <c r="D23" s="498"/>
      <c r="E23" s="498"/>
      <c r="F23" s="498"/>
      <c r="G23" s="498"/>
      <c r="H23" s="498"/>
      <c r="I23" s="498"/>
      <c r="J23" s="498"/>
      <c r="K23" s="722"/>
      <c r="L23" s="46" t="s">
        <v>238</v>
      </c>
      <c r="M23" s="723">
        <f>+L8+L11</f>
        <v>189.01999999999998</v>
      </c>
    </row>
    <row r="24" spans="1:13" ht="20.25" hidden="1" customHeight="1">
      <c r="A24" s="823" t="s">
        <v>515</v>
      </c>
      <c r="B24" s="823"/>
      <c r="C24" s="823"/>
      <c r="D24" s="823"/>
      <c r="E24" s="823"/>
      <c r="F24" s="823"/>
      <c r="G24" s="823"/>
      <c r="H24" s="823"/>
      <c r="I24" s="823"/>
      <c r="J24" s="823"/>
      <c r="K24" s="722"/>
      <c r="L24" s="46" t="s">
        <v>513</v>
      </c>
      <c r="M24" s="723">
        <f>+L9+L17+L16+L15+L14+L18+L19</f>
        <v>107.77999999999999</v>
      </c>
    </row>
    <row r="25" spans="1:13" ht="11.25" hidden="1" customHeight="1">
      <c r="A25" s="823" t="s">
        <v>560</v>
      </c>
      <c r="B25" s="823"/>
      <c r="C25" s="823"/>
      <c r="D25" s="823"/>
      <c r="E25" s="823"/>
      <c r="F25" s="823"/>
      <c r="G25" s="823"/>
      <c r="H25" s="823"/>
      <c r="I25" s="823"/>
      <c r="J25" s="823"/>
      <c r="K25" s="722"/>
      <c r="L25" s="46" t="s">
        <v>558</v>
      </c>
      <c r="M25" s="723">
        <f>+L10</f>
        <v>103.95113000000001</v>
      </c>
    </row>
    <row r="26" spans="1:13" ht="15" hidden="1" customHeight="1">
      <c r="A26" s="236"/>
      <c r="B26" s="232"/>
      <c r="C26" s="232"/>
      <c r="D26" s="232"/>
      <c r="E26" s="232"/>
      <c r="F26" s="232"/>
      <c r="G26" s="232"/>
      <c r="H26" s="237"/>
      <c r="I26" s="237"/>
      <c r="J26" s="237"/>
      <c r="K26" s="722"/>
      <c r="L26" s="46" t="s">
        <v>529</v>
      </c>
      <c r="M26" s="46">
        <v>132.30000000000001</v>
      </c>
    </row>
    <row r="27" spans="1:13" ht="11.25" hidden="1" customHeight="1">
      <c r="A27" s="236"/>
      <c r="B27" s="232"/>
      <c r="C27" s="232"/>
      <c r="D27" s="232"/>
      <c r="E27" s="232"/>
      <c r="F27" s="232"/>
      <c r="G27" s="232"/>
      <c r="H27" s="235"/>
      <c r="I27" s="235" t="s">
        <v>8</v>
      </c>
      <c r="J27" s="235"/>
      <c r="K27" s="722"/>
      <c r="L27" s="46" t="s">
        <v>557</v>
      </c>
      <c r="M27" s="46">
        <f>+L13</f>
        <v>2.4</v>
      </c>
    </row>
    <row r="28" spans="1:13" ht="11.25" hidden="1" customHeight="1">
      <c r="A28" s="236"/>
      <c r="B28" s="232"/>
      <c r="C28" s="232"/>
      <c r="D28" s="232"/>
      <c r="E28" s="232"/>
      <c r="F28" s="232"/>
      <c r="G28" s="232"/>
      <c r="H28" s="235"/>
      <c r="I28" s="235"/>
      <c r="J28" s="235"/>
      <c r="K28" s="722"/>
    </row>
    <row r="29" spans="1:13" ht="11.25" hidden="1" customHeight="1">
      <c r="A29" s="236"/>
      <c r="B29" s="232"/>
      <c r="C29" s="232"/>
      <c r="D29" s="232"/>
      <c r="E29" s="232"/>
      <c r="F29" s="232"/>
      <c r="G29" s="232"/>
      <c r="H29" s="235"/>
      <c r="I29" s="235"/>
      <c r="J29" s="235"/>
      <c r="K29" s="722"/>
    </row>
    <row r="30" spans="1:13" ht="9" hidden="1" customHeight="1">
      <c r="A30" s="238"/>
      <c r="B30" s="153"/>
      <c r="C30" s="153"/>
      <c r="D30" s="153"/>
      <c r="E30" s="153"/>
      <c r="F30" s="153"/>
      <c r="G30" s="153"/>
      <c r="H30" s="239"/>
      <c r="I30" s="239"/>
      <c r="J30" s="239"/>
      <c r="K30" s="722"/>
    </row>
    <row r="31" spans="1:13" ht="9" hidden="1" customHeight="1">
      <c r="A31" s="240"/>
      <c r="B31" s="180"/>
      <c r="C31" s="180"/>
      <c r="D31" s="138"/>
      <c r="E31" s="138"/>
      <c r="F31" s="138"/>
      <c r="G31" s="138"/>
      <c r="H31" s="232"/>
      <c r="I31" s="232"/>
      <c r="J31" s="232"/>
      <c r="K31" s="722"/>
    </row>
    <row r="32" spans="1:13" ht="9" hidden="1" customHeight="1">
      <c r="A32" s="221"/>
      <c r="B32" s="138"/>
      <c r="C32" s="138"/>
      <c r="D32" s="138"/>
      <c r="E32" s="138"/>
      <c r="F32" s="138"/>
      <c r="G32" s="138"/>
      <c r="H32" s="232"/>
      <c r="I32" s="232"/>
      <c r="J32" s="232"/>
      <c r="K32" s="722"/>
    </row>
    <row r="33" spans="1:15" ht="11.25" hidden="1" customHeight="1">
      <c r="A33" s="221"/>
      <c r="B33" s="138"/>
      <c r="C33" s="138"/>
      <c r="D33" s="138"/>
      <c r="E33" s="138"/>
      <c r="F33" s="138"/>
      <c r="G33" s="138"/>
      <c r="H33" s="232"/>
      <c r="I33" s="232"/>
      <c r="J33" s="232"/>
      <c r="K33" s="722"/>
    </row>
    <row r="34" spans="1:15" ht="11.25" hidden="1" customHeight="1">
      <c r="A34" s="221"/>
      <c r="B34" s="138"/>
      <c r="C34" s="138"/>
      <c r="D34" s="138"/>
      <c r="E34" s="138"/>
      <c r="F34" s="138"/>
      <c r="G34" s="138"/>
      <c r="H34" s="154"/>
      <c r="I34" s="154"/>
      <c r="J34" s="154"/>
      <c r="K34" s="722"/>
    </row>
    <row r="35" spans="1:15" ht="11.25" hidden="1" customHeight="1">
      <c r="A35" s="233"/>
      <c r="B35" s="163"/>
      <c r="C35" s="163"/>
      <c r="D35" s="163"/>
      <c r="E35" s="163"/>
      <c r="F35" s="163"/>
      <c r="G35" s="163"/>
      <c r="H35" s="163"/>
      <c r="I35" s="163"/>
      <c r="J35" s="163"/>
      <c r="K35" s="722"/>
    </row>
    <row r="36" spans="1:15" ht="11.25" hidden="1" customHeight="1">
      <c r="A36" s="232"/>
      <c r="B36" s="138"/>
      <c r="C36" s="138"/>
      <c r="D36" s="138"/>
      <c r="E36" s="138"/>
      <c r="F36" s="138"/>
      <c r="G36" s="138"/>
      <c r="H36" s="138"/>
      <c r="I36" s="138"/>
      <c r="J36" s="138"/>
      <c r="K36" s="722"/>
    </row>
    <row r="37" spans="1:15" ht="11.25" hidden="1" customHeight="1">
      <c r="A37" s="17"/>
      <c r="B37" s="812" t="str">
        <f>"Gráfico 2: Ingreso de Potencia Efectiva por tipo de Recurso Energético y Tecnología en "&amp;'1. Resumen'!Q4&amp;" "&amp;'1. Resumen'!Q5&amp;" (MW)"</f>
        <v>Gráfico 2: Ingreso de Potencia Efectiva por tipo de Recurso Energético y Tecnología en enero 2019 (MW)</v>
      </c>
      <c r="C37" s="812"/>
      <c r="D37" s="812"/>
      <c r="E37" s="812"/>
      <c r="F37" s="812"/>
      <c r="G37" s="812"/>
      <c r="H37" s="812"/>
      <c r="I37" s="812"/>
      <c r="J37" s="812"/>
      <c r="K37" s="812"/>
    </row>
    <row r="38" spans="1:15" ht="27" hidden="1" customHeight="1">
      <c r="B38" s="824" t="s">
        <v>519</v>
      </c>
      <c r="C38" s="824"/>
      <c r="D38" s="824"/>
      <c r="E38" s="824"/>
      <c r="F38" s="824"/>
      <c r="G38" s="824"/>
      <c r="H38" s="824"/>
    </row>
    <row r="39" spans="1:15" ht="22.5" customHeight="1">
      <c r="A39" s="17"/>
      <c r="B39" s="17"/>
      <c r="C39" s="17"/>
      <c r="D39" s="17"/>
      <c r="E39" s="17"/>
      <c r="F39" s="17"/>
      <c r="G39" s="17"/>
      <c r="H39" s="17"/>
      <c r="I39" s="17"/>
      <c r="J39" s="17"/>
      <c r="K39" s="722"/>
    </row>
    <row r="40" spans="1:15" ht="11.25" customHeight="1">
      <c r="A40" s="181" t="s">
        <v>467</v>
      </c>
      <c r="B40" s="132"/>
      <c r="C40" s="234"/>
      <c r="D40" s="132"/>
      <c r="E40" s="132"/>
      <c r="F40" s="132"/>
      <c r="G40" s="132"/>
      <c r="H40" s="132"/>
      <c r="I40" s="132"/>
      <c r="J40" s="132"/>
      <c r="K40" s="722"/>
    </row>
    <row r="41" spans="1:15" ht="11.25" customHeight="1">
      <c r="B41" s="132"/>
      <c r="C41" s="234"/>
      <c r="D41" s="132"/>
      <c r="E41" s="132"/>
      <c r="F41" s="132"/>
      <c r="G41" s="132"/>
      <c r="H41" s="132"/>
      <c r="I41" s="132"/>
      <c r="J41" s="132"/>
      <c r="K41" s="722"/>
    </row>
    <row r="42" spans="1:15" ht="21" customHeight="1">
      <c r="B42" s="810" t="s">
        <v>239</v>
      </c>
      <c r="C42" s="811"/>
      <c r="D42" s="619" t="str">
        <f>UPPER('1. Resumen'!Q4)&amp;" "&amp;'1. Resumen'!Q5</f>
        <v>ENERO 2019</v>
      </c>
      <c r="E42" s="619" t="str">
        <f>UPPER('1. Resumen'!Q4)&amp;" "&amp;'1. Resumen'!Q5-1</f>
        <v>ENERO 2018</v>
      </c>
      <c r="F42" s="620" t="s">
        <v>242</v>
      </c>
      <c r="G42" s="241"/>
      <c r="H42" s="241"/>
      <c r="I42" s="132"/>
      <c r="J42" s="132"/>
    </row>
    <row r="43" spans="1:15" ht="9.75" customHeight="1">
      <c r="B43" s="814" t="s">
        <v>232</v>
      </c>
      <c r="C43" s="815"/>
      <c r="D43" s="591">
        <v>4995.1492474999995</v>
      </c>
      <c r="E43" s="592">
        <v>4882.6042474999995</v>
      </c>
      <c r="F43" s="593">
        <f>+D43/E43-1</f>
        <v>2.3050199093572976E-2</v>
      </c>
      <c r="G43" s="241"/>
      <c r="H43" s="241"/>
      <c r="I43" s="132"/>
      <c r="J43" s="132"/>
      <c r="K43" s="722"/>
    </row>
    <row r="44" spans="1:15" ht="9.75" customHeight="1">
      <c r="B44" s="816" t="s">
        <v>233</v>
      </c>
      <c r="C44" s="817"/>
      <c r="D44" s="594">
        <v>7395.9645</v>
      </c>
      <c r="E44" s="595">
        <v>7286.2885000000006</v>
      </c>
      <c r="F44" s="596">
        <f>+D44/E44-1</f>
        <v>1.5052382293124777E-2</v>
      </c>
      <c r="G44" s="242"/>
      <c r="H44" s="242"/>
      <c r="M44" s="724"/>
      <c r="N44" s="724"/>
      <c r="O44" s="725"/>
    </row>
    <row r="45" spans="1:15" ht="9.75" customHeight="1">
      <c r="B45" s="818" t="s">
        <v>234</v>
      </c>
      <c r="C45" s="819"/>
      <c r="D45" s="597">
        <v>375.46</v>
      </c>
      <c r="E45" s="598">
        <v>243.16</v>
      </c>
      <c r="F45" s="599">
        <f>+D45/E45-1</f>
        <v>0.54408619838789263</v>
      </c>
      <c r="G45" s="242"/>
      <c r="H45" s="242"/>
    </row>
    <row r="46" spans="1:15" ht="9.75" customHeight="1">
      <c r="B46" s="820" t="s">
        <v>83</v>
      </c>
      <c r="C46" s="821"/>
      <c r="D46" s="600">
        <v>285.02</v>
      </c>
      <c r="E46" s="601">
        <v>240.48400000000001</v>
      </c>
      <c r="F46" s="602">
        <f>+D46/E46-1</f>
        <v>0.18519319372598586</v>
      </c>
      <c r="G46" s="242"/>
      <c r="H46" s="242"/>
    </row>
    <row r="47" spans="1:15" ht="10.5" customHeight="1">
      <c r="B47" s="808" t="s">
        <v>207</v>
      </c>
      <c r="C47" s="809"/>
      <c r="D47" s="603">
        <f>+D43+D44+D45+D46</f>
        <v>13051.593747499999</v>
      </c>
      <c r="E47" s="604">
        <f>+E43+E44+E45+E46</f>
        <v>12652.5367475</v>
      </c>
      <c r="F47" s="605">
        <f>+D47/E47-1</f>
        <v>3.1539683145267228E-2</v>
      </c>
      <c r="G47" s="496"/>
      <c r="H47" s="242"/>
    </row>
    <row r="48" spans="1:15" ht="11.25" customHeight="1">
      <c r="B48" s="302" t="str">
        <f>"Cuadro N° 2: Comparación de la potencia instalada en el SEIN al término de "&amp;'1. Resumen'!Q4&amp;" "&amp;'1. Resumen'!Q5-1&amp;" y "&amp;'1. Resumen'!Q4&amp;" "&amp;'1. Resumen'!Q5</f>
        <v>Cuadro N° 2: Comparación de la potencia instalada en el SEIN al término de enero 2018 y enero 2019</v>
      </c>
      <c r="C48" s="241"/>
      <c r="D48" s="241"/>
      <c r="E48" s="241"/>
      <c r="F48" s="241"/>
      <c r="G48" s="241"/>
      <c r="H48" s="241"/>
      <c r="I48" s="132"/>
      <c r="J48" s="132"/>
      <c r="K48" s="722"/>
    </row>
    <row r="49" spans="1:11" ht="42.75" customHeight="1">
      <c r="B49" s="302"/>
      <c r="C49" s="241"/>
      <c r="D49" s="241"/>
      <c r="E49" s="241"/>
      <c r="F49" s="241"/>
      <c r="G49" s="241"/>
      <c r="H49" s="241"/>
      <c r="I49" s="132"/>
      <c r="J49" s="132"/>
      <c r="K49" s="722"/>
    </row>
    <row r="50" spans="1:11" ht="20.25" customHeight="1">
      <c r="B50" s="302"/>
      <c r="C50" s="241"/>
      <c r="D50" s="241"/>
      <c r="E50" s="241"/>
      <c r="F50" s="241"/>
      <c r="G50" s="241"/>
      <c r="H50" s="241"/>
      <c r="I50" s="132"/>
      <c r="J50" s="132"/>
      <c r="K50" s="722"/>
    </row>
    <row r="51" spans="1:11" ht="25.5" customHeight="1">
      <c r="B51" s="302"/>
      <c r="C51" s="241"/>
      <c r="D51" s="241"/>
      <c r="E51" s="241"/>
      <c r="F51" s="241"/>
      <c r="G51" s="241"/>
      <c r="H51" s="241"/>
      <c r="I51" s="132"/>
      <c r="J51" s="132"/>
      <c r="K51" s="722"/>
    </row>
    <row r="52" spans="1:11" ht="11.25" customHeight="1">
      <c r="B52" s="302"/>
      <c r="C52" s="241"/>
      <c r="D52" s="241"/>
      <c r="E52" s="241"/>
      <c r="F52" s="241"/>
      <c r="G52" s="241"/>
      <c r="H52" s="241"/>
      <c r="I52" s="132"/>
      <c r="J52" s="132"/>
      <c r="K52" s="722"/>
    </row>
    <row r="53" spans="1:11" ht="11.25" customHeight="1">
      <c r="A53" s="132"/>
      <c r="C53" s="242"/>
      <c r="D53" s="241"/>
      <c r="E53" s="241"/>
      <c r="F53" s="241"/>
      <c r="G53" s="241"/>
      <c r="H53" s="241"/>
      <c r="I53" s="132"/>
      <c r="J53" s="132"/>
      <c r="K53" s="722"/>
    </row>
    <row r="54" spans="1:11" ht="11.25" customHeight="1">
      <c r="A54" s="132"/>
      <c r="B54" s="132"/>
      <c r="C54" s="132"/>
      <c r="D54" s="132"/>
      <c r="E54" s="132"/>
      <c r="F54" s="132"/>
      <c r="G54" s="132"/>
      <c r="H54" s="132"/>
      <c r="I54" s="132"/>
      <c r="J54" s="132"/>
      <c r="K54" s="722"/>
    </row>
    <row r="55" spans="1:11" ht="11.25" customHeight="1">
      <c r="A55" s="132"/>
      <c r="B55" s="132"/>
      <c r="C55" s="132"/>
      <c r="D55" s="132"/>
      <c r="E55" s="132"/>
      <c r="F55" s="132"/>
      <c r="G55" s="132"/>
      <c r="H55" s="132"/>
      <c r="I55" s="132"/>
      <c r="J55" s="132"/>
      <c r="K55" s="722"/>
    </row>
    <row r="56" spans="1:11">
      <c r="A56" s="137"/>
      <c r="B56" s="132"/>
      <c r="C56" s="132"/>
      <c r="D56" s="132"/>
      <c r="E56" s="132"/>
      <c r="F56" s="132"/>
      <c r="G56" s="132"/>
      <c r="H56" s="132"/>
      <c r="I56" s="132"/>
      <c r="J56" s="132"/>
    </row>
    <row r="57" spans="1:11">
      <c r="A57" s="132"/>
      <c r="B57" s="132"/>
      <c r="C57" s="132"/>
      <c r="D57" s="132"/>
      <c r="E57" s="132"/>
      <c r="F57" s="132"/>
      <c r="G57" s="132"/>
      <c r="H57" s="132"/>
      <c r="I57" s="132"/>
      <c r="J57" s="132"/>
    </row>
    <row r="58" spans="1:11">
      <c r="A58" s="132"/>
      <c r="B58" s="132"/>
      <c r="C58" s="132"/>
      <c r="D58" s="132"/>
      <c r="E58" s="132"/>
      <c r="F58" s="132"/>
      <c r="G58" s="132"/>
      <c r="H58" s="132"/>
      <c r="I58" s="132"/>
      <c r="J58" s="132"/>
    </row>
    <row r="59" spans="1:11">
      <c r="A59" s="132"/>
      <c r="B59" s="132"/>
      <c r="C59" s="132"/>
      <c r="D59" s="132"/>
      <c r="E59" s="132"/>
      <c r="F59" s="132"/>
      <c r="G59" s="132"/>
      <c r="H59" s="132"/>
      <c r="I59" s="132"/>
      <c r="J59" s="132"/>
    </row>
    <row r="60" spans="1:11">
      <c r="A60" s="132"/>
      <c r="B60" s="132"/>
      <c r="C60" s="132"/>
      <c r="D60" s="132"/>
      <c r="E60" s="132"/>
      <c r="F60" s="132"/>
      <c r="G60" s="132"/>
      <c r="H60" s="132"/>
      <c r="I60" s="132"/>
      <c r="J60" s="132"/>
    </row>
    <row r="61" spans="1:11" ht="24.75" customHeight="1">
      <c r="A61" s="132"/>
      <c r="B61" s="132"/>
      <c r="C61" s="132"/>
      <c r="D61" s="132"/>
      <c r="E61" s="132"/>
      <c r="F61" s="132"/>
      <c r="G61" s="132"/>
      <c r="H61" s="132"/>
      <c r="I61" s="132"/>
      <c r="J61" s="132"/>
    </row>
    <row r="62" spans="1:11" ht="46.5" customHeight="1">
      <c r="A62" s="132"/>
      <c r="B62" s="132"/>
      <c r="C62" s="132"/>
      <c r="D62" s="132"/>
      <c r="E62" s="132"/>
      <c r="F62" s="132"/>
      <c r="G62" s="132"/>
      <c r="H62" s="132"/>
      <c r="I62" s="132"/>
      <c r="J62" s="132"/>
    </row>
    <row r="63" spans="1:11" ht="35.25" customHeight="1">
      <c r="A63" s="495" t="str">
        <f>"Gráfico N° 3: Comparación de la potencia instalada en el SEIN al término de "&amp;'1. Resumen'!Q4&amp;" "&amp;'1. Resumen'!Q5-1&amp;" y "&amp;'1. Resumen'!Q4&amp;" "&amp;'1. Resumen'!Q5</f>
        <v>Gráfico N° 3: Comparación de la potencia instalada en el SEIN al término de enero 2018 y enero 2019</v>
      </c>
      <c r="C63" s="132"/>
      <c r="D63" s="132"/>
      <c r="E63" s="132"/>
      <c r="F63" s="132"/>
      <c r="G63" s="132"/>
      <c r="H63" s="132"/>
      <c r="I63" s="132"/>
      <c r="J63" s="132"/>
    </row>
  </sheetData>
  <mergeCells count="12">
    <mergeCell ref="B47:C47"/>
    <mergeCell ref="B42:C42"/>
    <mergeCell ref="B37:K37"/>
    <mergeCell ref="A2:J2"/>
    <mergeCell ref="B43:C43"/>
    <mergeCell ref="B44:C44"/>
    <mergeCell ref="B45:C45"/>
    <mergeCell ref="B46:C46"/>
    <mergeCell ref="A22:J22"/>
    <mergeCell ref="A24:J24"/>
    <mergeCell ref="B38:H38"/>
    <mergeCell ref="A25:J25"/>
  </mergeCells>
  <conditionalFormatting sqref="A28:A30">
    <cfRule type="containsText" dxfId="6" priority="5" stopIfTrue="1" operator="containsText" text=" 0%">
      <formula>NOT(ISERROR(SEARCH(" 0%",A28)))</formula>
    </cfRule>
    <cfRule type="containsText" dxfId="5" priority="6" stopIfTrue="1" operator="containsText" text="0.0%">
      <formula>NOT(ISERROR(SEARCH("0.0%",A28)))</formula>
    </cfRule>
  </conditionalFormatting>
  <conditionalFormatting sqref="A26">
    <cfRule type="containsText" dxfId="4" priority="3" stopIfTrue="1" operator="containsText" text=" 0%">
      <formula>NOT(ISERROR(SEARCH(" 0%",A26)))</formula>
    </cfRule>
    <cfRule type="containsText" dxfId="3" priority="4" stopIfTrue="1" operator="containsText" text="0.0%">
      <formula>NOT(ISERROR(SEARCH("0.0%",A26)))</formula>
    </cfRule>
  </conditionalFormatting>
  <conditionalFormatting sqref="A27">
    <cfRule type="containsText" dxfId="2" priority="1" stopIfTrue="1" operator="containsText" text=" 0%">
      <formula>NOT(ISERROR(SEARCH(" 0%",A27)))</formula>
    </cfRule>
    <cfRule type="containsText" dxfId="1" priority="2" stopIfTrue="1" operator="containsText" text="0.0%">
      <formula>NOT(ISERROR(SEARCH("0.0%",A27)))</formula>
    </cfRule>
  </conditionalFormatting>
  <pageMargins left="0.70866141732283472" right="0.59055118110236227" top="1.4311417322834645" bottom="0.62992125984251968" header="0.31496062992125984" footer="0.31496062992125984"/>
  <pageSetup paperSize="9" scale="95" orientation="portrait" r:id="rId1"/>
  <headerFooter>
    <oddHeader>&amp;R&amp;7Informe de la Operación Mensual - Enero 2019
INFSGI-MES-01-2019
13/02/2019
Versión: 01</oddHeader>
    <oddFooter>&amp;L&amp;7COES, 2019&amp;C2&amp;R&amp;7Dirección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K69"/>
  <sheetViews>
    <sheetView showGridLines="0" view="pageBreakPreview" topLeftCell="A22" zoomScale="115" zoomScaleNormal="100" zoomScaleSheetLayoutView="115" zoomScalePageLayoutView="160" workbookViewId="0">
      <selection activeCell="M24" sqref="M24"/>
    </sheetView>
  </sheetViews>
  <sheetFormatPr defaultColWidth="9.33203125" defaultRowHeight="11.25"/>
  <cols>
    <col min="1" max="1" width="21" style="46" customWidth="1"/>
    <col min="2" max="4" width="10.5" style="46" bestFit="1" customWidth="1"/>
    <col min="5" max="5" width="10" style="46" customWidth="1"/>
    <col min="6" max="6" width="8.6640625" style="46" customWidth="1"/>
    <col min="7" max="8" width="10.5" style="46" bestFit="1" customWidth="1"/>
    <col min="9" max="9" width="10.1640625" style="46" customWidth="1"/>
    <col min="10" max="10" width="10.33203125" style="46" customWidth="1"/>
    <col min="11" max="11" width="9.6640625" style="46" customWidth="1"/>
    <col min="12" max="16384" width="9.33203125" style="46"/>
  </cols>
  <sheetData>
    <row r="1" spans="1:11" ht="11.25" customHeight="1"/>
    <row r="2" spans="1:11" ht="16.5" customHeight="1">
      <c r="A2" s="829" t="s">
        <v>245</v>
      </c>
      <c r="B2" s="829"/>
      <c r="C2" s="829"/>
      <c r="D2" s="829"/>
      <c r="E2" s="829"/>
      <c r="F2" s="829"/>
      <c r="G2" s="829"/>
      <c r="H2" s="829"/>
      <c r="I2" s="829"/>
      <c r="J2" s="829"/>
      <c r="K2" s="829"/>
    </row>
    <row r="3" spans="1:11" ht="11.25" customHeight="1">
      <c r="A3" s="83"/>
      <c r="B3" s="84"/>
      <c r="C3" s="85"/>
      <c r="D3" s="86"/>
      <c r="E3" s="86"/>
      <c r="F3" s="86"/>
      <c r="G3" s="86"/>
      <c r="H3" s="83"/>
      <c r="I3" s="83"/>
      <c r="J3" s="83"/>
      <c r="K3" s="87"/>
    </row>
    <row r="4" spans="1:11" ht="11.25" customHeight="1">
      <c r="A4" s="830" t="str">
        <f>+"3.1. PRODUCCIÓN POR TIPO DE GENERACIÓN (GWh)"</f>
        <v>3.1. PRODUCCIÓN POR TIPO DE GENERACIÓN (GWh)</v>
      </c>
      <c r="B4" s="830"/>
      <c r="C4" s="830"/>
      <c r="D4" s="830"/>
      <c r="E4" s="830"/>
      <c r="F4" s="830"/>
      <c r="G4" s="830"/>
      <c r="H4" s="830"/>
      <c r="I4" s="830"/>
      <c r="J4" s="830"/>
      <c r="K4" s="830"/>
    </row>
    <row r="5" spans="1:11" ht="11.25" customHeight="1">
      <c r="A5" s="54"/>
      <c r="B5" s="88"/>
      <c r="C5" s="89"/>
      <c r="D5" s="90"/>
      <c r="E5" s="90"/>
      <c r="F5" s="90"/>
      <c r="G5" s="90"/>
      <c r="H5" s="91"/>
      <c r="I5" s="83"/>
      <c r="J5" s="83"/>
      <c r="K5" s="92"/>
    </row>
    <row r="6" spans="1:11" ht="18" customHeight="1">
      <c r="A6" s="827" t="s">
        <v>32</v>
      </c>
      <c r="B6" s="831" t="s">
        <v>33</v>
      </c>
      <c r="C6" s="832"/>
      <c r="D6" s="832"/>
      <c r="E6" s="832" t="s">
        <v>34</v>
      </c>
      <c r="F6" s="832"/>
      <c r="G6" s="833" t="str">
        <f>"Generación Acumulada a "&amp;'1. Resumen'!Q4</f>
        <v>Generación Acumulada a enero</v>
      </c>
      <c r="H6" s="833"/>
      <c r="I6" s="833"/>
      <c r="J6" s="833"/>
      <c r="K6" s="834"/>
    </row>
    <row r="7" spans="1:11" ht="32.25" customHeight="1">
      <c r="A7" s="828"/>
      <c r="B7" s="621">
        <f>+C7-30</f>
        <v>43408</v>
      </c>
      <c r="C7" s="621">
        <f>+D7-28</f>
        <v>43438</v>
      </c>
      <c r="D7" s="621">
        <f>+'1. Resumen'!Q6</f>
        <v>43466</v>
      </c>
      <c r="E7" s="621">
        <f>+D7-365</f>
        <v>43101</v>
      </c>
      <c r="F7" s="622" t="s">
        <v>35</v>
      </c>
      <c r="G7" s="623">
        <v>2019</v>
      </c>
      <c r="H7" s="623">
        <v>2018</v>
      </c>
      <c r="I7" s="622" t="s">
        <v>637</v>
      </c>
      <c r="J7" s="623">
        <v>2017</v>
      </c>
      <c r="K7" s="624" t="s">
        <v>43</v>
      </c>
    </row>
    <row r="8" spans="1:11" ht="15" customHeight="1">
      <c r="A8" s="116" t="s">
        <v>37</v>
      </c>
      <c r="B8" s="416">
        <v>2593.2451959425016</v>
      </c>
      <c r="C8" s="412">
        <v>2436.2101136875003</v>
      </c>
      <c r="D8" s="417">
        <v>2780.5065075125008</v>
      </c>
      <c r="E8" s="416">
        <v>2939.1774245275028</v>
      </c>
      <c r="F8" s="250">
        <f>IF(E8=0,"",D8/E8-1)</f>
        <v>-5.3984803942385251E-2</v>
      </c>
      <c r="G8" s="424">
        <v>2780.5065075125008</v>
      </c>
      <c r="H8" s="412">
        <v>2939.1774245275028</v>
      </c>
      <c r="I8" s="254">
        <f>IF(H8=0,"",G8/H8-1)</f>
        <v>-5.3984803942385251E-2</v>
      </c>
      <c r="J8" s="416">
        <v>2868.5575095339591</v>
      </c>
      <c r="K8" s="250">
        <f t="shared" ref="K8:K15" si="0">IF(J8=0,"",H8/J8-1)</f>
        <v>2.4618615718468462E-2</v>
      </c>
    </row>
    <row r="9" spans="1:11" ht="15" customHeight="1">
      <c r="A9" s="117" t="s">
        <v>38</v>
      </c>
      <c r="B9" s="418">
        <v>1470.2361781100001</v>
      </c>
      <c r="C9" s="260">
        <v>1843.3767355599998</v>
      </c>
      <c r="D9" s="419">
        <v>1550.1730163299997</v>
      </c>
      <c r="E9" s="418">
        <v>1169.0374754100005</v>
      </c>
      <c r="F9" s="251">
        <f t="shared" ref="F9:F15" si="1">IF(E9=0,"",D9/E9-1)</f>
        <v>0.32602508382918072</v>
      </c>
      <c r="G9" s="425">
        <v>1550.1730163299997</v>
      </c>
      <c r="H9" s="260">
        <v>1169.0374754100005</v>
      </c>
      <c r="I9" s="255">
        <f t="shared" ref="I9:I15" si="2">IF(H9=0,"",G9/H9-1)</f>
        <v>0.32602508382918072</v>
      </c>
      <c r="J9" s="418">
        <v>1325.3500408210468</v>
      </c>
      <c r="K9" s="251">
        <f t="shared" si="0"/>
        <v>-0.11794058972844002</v>
      </c>
    </row>
    <row r="10" spans="1:11" ht="15" customHeight="1">
      <c r="A10" s="118" t="s">
        <v>39</v>
      </c>
      <c r="B10" s="420">
        <v>139.23549507999999</v>
      </c>
      <c r="C10" s="261">
        <v>139.86001345999998</v>
      </c>
      <c r="D10" s="421">
        <v>110.11578868249998</v>
      </c>
      <c r="E10" s="420">
        <v>87.37300737999999</v>
      </c>
      <c r="F10" s="252">
        <f>IF(E10=0,"",D10/E10-1)</f>
        <v>0.26029527865039359</v>
      </c>
      <c r="G10" s="426">
        <v>110.11578868249998</v>
      </c>
      <c r="H10" s="261">
        <v>87.37300737999999</v>
      </c>
      <c r="I10" s="256">
        <f t="shared" si="2"/>
        <v>0.26029527865039359</v>
      </c>
      <c r="J10" s="420">
        <v>60.372802024048376</v>
      </c>
      <c r="K10" s="252">
        <f t="shared" si="0"/>
        <v>0.44722465167670356</v>
      </c>
    </row>
    <row r="11" spans="1:11" ht="15" customHeight="1">
      <c r="A11" s="117" t="s">
        <v>30</v>
      </c>
      <c r="B11" s="418">
        <v>76.693364965000001</v>
      </c>
      <c r="C11" s="260">
        <v>76.637353504999993</v>
      </c>
      <c r="D11" s="419">
        <v>56.281983437499996</v>
      </c>
      <c r="E11" s="418">
        <v>59.658878850000001</v>
      </c>
      <c r="F11" s="251">
        <f>IF(E11=0,"",D11/E11-1)</f>
        <v>-5.6603400492833855E-2</v>
      </c>
      <c r="G11" s="425">
        <v>56.281983437499996</v>
      </c>
      <c r="H11" s="260">
        <v>59.658878850000001</v>
      </c>
      <c r="I11" s="255">
        <f t="shared" si="2"/>
        <v>-5.6603400492833855E-2</v>
      </c>
      <c r="J11" s="418">
        <v>17.646586911443002</v>
      </c>
      <c r="K11" s="251">
        <f t="shared" si="0"/>
        <v>2.3807602087242126</v>
      </c>
    </row>
    <row r="12" spans="1:11" ht="15" customHeight="1">
      <c r="A12" s="145" t="s">
        <v>44</v>
      </c>
      <c r="B12" s="422">
        <v>4279.4102340975014</v>
      </c>
      <c r="C12" s="413">
        <v>4496.0842162125</v>
      </c>
      <c r="D12" s="423">
        <v>4497.0772959625001</v>
      </c>
      <c r="E12" s="422">
        <v>4255.2467861675032</v>
      </c>
      <c r="F12" s="253">
        <f>IF(E12=0,"",D12/E12-1)</f>
        <v>5.6831136229539947E-2</v>
      </c>
      <c r="G12" s="422">
        <v>4497.0772959625001</v>
      </c>
      <c r="H12" s="413">
        <v>4255.2467861675032</v>
      </c>
      <c r="I12" s="257">
        <f>IF(H12=0,"",G12/H12-1)</f>
        <v>5.6831136229539947E-2</v>
      </c>
      <c r="J12" s="422">
        <v>4271.9269392904971</v>
      </c>
      <c r="K12" s="253">
        <f t="shared" si="0"/>
        <v>-3.9045970027203891E-3</v>
      </c>
    </row>
    <row r="13" spans="1:11" ht="15" customHeight="1">
      <c r="A13" s="112"/>
      <c r="B13" s="112"/>
      <c r="C13" s="112"/>
      <c r="D13" s="112"/>
      <c r="E13" s="112"/>
      <c r="F13" s="114"/>
      <c r="G13" s="112"/>
      <c r="H13" s="112"/>
      <c r="I13" s="114"/>
      <c r="J13" s="113"/>
      <c r="K13" s="114" t="str">
        <f t="shared" si="0"/>
        <v/>
      </c>
    </row>
    <row r="14" spans="1:11" ht="15" customHeight="1">
      <c r="A14" s="119" t="s">
        <v>40</v>
      </c>
      <c r="B14" s="248">
        <v>0</v>
      </c>
      <c r="C14" s="249">
        <v>0</v>
      </c>
      <c r="D14" s="415">
        <v>0</v>
      </c>
      <c r="E14" s="248">
        <v>0</v>
      </c>
      <c r="F14" s="120" t="str">
        <f t="shared" si="1"/>
        <v/>
      </c>
      <c r="G14" s="248">
        <v>0</v>
      </c>
      <c r="H14" s="249">
        <v>0</v>
      </c>
      <c r="I14" s="123" t="str">
        <f t="shared" si="2"/>
        <v/>
      </c>
      <c r="J14" s="248">
        <v>0</v>
      </c>
      <c r="K14" s="120" t="str">
        <f t="shared" si="0"/>
        <v/>
      </c>
    </row>
    <row r="15" spans="1:11" ht="15" customHeight="1">
      <c r="A15" s="118" t="s">
        <v>41</v>
      </c>
      <c r="B15" s="245">
        <v>0</v>
      </c>
      <c r="C15" s="246">
        <v>0</v>
      </c>
      <c r="D15" s="247">
        <v>0</v>
      </c>
      <c r="E15" s="245">
        <v>0</v>
      </c>
      <c r="F15" s="121" t="str">
        <f t="shared" si="1"/>
        <v/>
      </c>
      <c r="G15" s="245">
        <v>0</v>
      </c>
      <c r="H15" s="246">
        <v>0</v>
      </c>
      <c r="I15" s="115" t="str">
        <f t="shared" si="2"/>
        <v/>
      </c>
      <c r="J15" s="245">
        <v>0</v>
      </c>
      <c r="K15" s="121" t="str">
        <f t="shared" si="0"/>
        <v/>
      </c>
    </row>
    <row r="16" spans="1:11" ht="23.25" customHeight="1">
      <c r="A16" s="125" t="s">
        <v>42</v>
      </c>
      <c r="B16" s="258">
        <v>0</v>
      </c>
      <c r="C16" s="259">
        <v>0</v>
      </c>
      <c r="D16" s="505">
        <v>0</v>
      </c>
      <c r="E16" s="258">
        <v>0</v>
      </c>
      <c r="F16" s="122"/>
      <c r="G16" s="258">
        <v>0</v>
      </c>
      <c r="H16" s="259">
        <v>0</v>
      </c>
      <c r="I16" s="124"/>
      <c r="J16" s="258">
        <v>0</v>
      </c>
      <c r="K16" s="122"/>
    </row>
    <row r="17" spans="1:11" ht="11.25" customHeight="1">
      <c r="A17" s="244" t="s">
        <v>244</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25"/>
      <c r="C42" s="825"/>
      <c r="D42" s="825"/>
      <c r="E42" s="93"/>
      <c r="F42" s="93"/>
      <c r="G42" s="826"/>
      <c r="H42" s="826"/>
      <c r="I42" s="826"/>
      <c r="J42" s="826"/>
      <c r="K42" s="826"/>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2.75">
      <c r="A53" s="1"/>
      <c r="B53" s="72"/>
      <c r="C53" s="72"/>
      <c r="D53" s="72"/>
      <c r="E53" s="72"/>
      <c r="F53" s="72"/>
      <c r="G53" s="72"/>
      <c r="H53" s="72"/>
      <c r="I53" s="102"/>
      <c r="J53" s="72"/>
      <c r="K53" s="103"/>
    </row>
    <row r="54" spans="1:11" ht="12.75">
      <c r="A54" s="1"/>
      <c r="B54" s="72"/>
      <c r="C54" s="72"/>
      <c r="D54" s="72"/>
      <c r="E54" s="72"/>
      <c r="F54" s="72"/>
      <c r="G54" s="72"/>
      <c r="H54" s="72"/>
      <c r="I54" s="102"/>
      <c r="J54" s="72"/>
      <c r="K54" s="103"/>
    </row>
    <row r="55" spans="1:11" ht="12.75">
      <c r="A55" s="1"/>
      <c r="B55" s="72"/>
      <c r="C55" s="72"/>
      <c r="D55" s="72"/>
      <c r="E55" s="72"/>
      <c r="F55" s="72"/>
      <c r="G55" s="72"/>
      <c r="H55" s="72"/>
      <c r="I55" s="102"/>
      <c r="J55" s="72"/>
      <c r="K55" s="103"/>
    </row>
    <row r="56" spans="1:11" ht="12.75">
      <c r="A56" s="1"/>
      <c r="B56" s="72"/>
      <c r="C56" s="72"/>
      <c r="D56" s="72"/>
      <c r="E56" s="72"/>
      <c r="F56" s="72"/>
      <c r="G56" s="72"/>
      <c r="H56" s="72"/>
      <c r="I56" s="102"/>
      <c r="J56" s="72"/>
      <c r="K56" s="103"/>
    </row>
    <row r="57" spans="1:11" ht="12.75">
      <c r="A57" s="1"/>
      <c r="B57" s="72"/>
      <c r="C57" s="72"/>
      <c r="D57" s="72"/>
      <c r="E57" s="72"/>
      <c r="F57" s="72"/>
      <c r="G57" s="72"/>
      <c r="H57" s="72"/>
      <c r="I57" s="102"/>
      <c r="J57" s="72"/>
      <c r="K57" s="103"/>
    </row>
    <row r="58" spans="1:11" ht="12.75">
      <c r="A58" s="244" t="str">
        <f>"Gráfico N° 4: Comparación de la producción de energía eléctrica por tipo de generación acumulada a "&amp;'1. Resumen'!Q4</f>
        <v>Gráfico N° 4: Comparación de la producción de energía eléctrica por tipo de generación acumulada a enero</v>
      </c>
      <c r="B58" s="72"/>
      <c r="C58" s="72"/>
      <c r="D58" s="72"/>
      <c r="E58" s="72"/>
      <c r="F58" s="72"/>
      <c r="G58" s="72"/>
      <c r="H58" s="72"/>
      <c r="I58" s="102"/>
      <c r="J58" s="72"/>
      <c r="K58" s="103"/>
    </row>
    <row r="59" spans="1:11" ht="12.75">
      <c r="B59" s="72"/>
      <c r="C59" s="72"/>
      <c r="D59" s="72"/>
      <c r="E59" s="72"/>
      <c r="F59" s="72"/>
      <c r="G59" s="72"/>
      <c r="H59" s="72"/>
      <c r="I59" s="102"/>
      <c r="J59" s="72"/>
      <c r="K59" s="103"/>
    </row>
    <row r="60" spans="1:11" ht="12.75">
      <c r="A60" s="1"/>
      <c r="B60" s="72"/>
      <c r="C60" s="72"/>
      <c r="D60" s="72"/>
      <c r="E60" s="72"/>
      <c r="F60" s="72"/>
      <c r="G60" s="72"/>
      <c r="H60" s="72"/>
      <c r="I60" s="102"/>
      <c r="J60" s="72"/>
      <c r="K60" s="103"/>
    </row>
    <row r="61" spans="1:11" ht="12.75">
      <c r="A61" s="1"/>
      <c r="B61" s="72"/>
      <c r="C61" s="72"/>
      <c r="D61" s="72"/>
      <c r="E61" s="72"/>
      <c r="F61" s="72"/>
      <c r="G61" s="72"/>
      <c r="H61" s="72"/>
      <c r="I61" s="102"/>
      <c r="J61" s="72"/>
      <c r="K61" s="103"/>
    </row>
    <row r="63" spans="1:11" ht="12.75">
      <c r="A63" s="104"/>
      <c r="B63" s="105"/>
      <c r="C63" s="105"/>
      <c r="D63" s="105"/>
      <c r="E63" s="105"/>
      <c r="F63" s="105"/>
      <c r="G63" s="105"/>
      <c r="H63" s="102"/>
      <c r="I63" s="102"/>
      <c r="J63" s="105"/>
      <c r="K63" s="103"/>
    </row>
    <row r="64" spans="1:11" ht="12.75">
      <c r="A64" s="1"/>
      <c r="B64" s="72"/>
      <c r="C64" s="72"/>
      <c r="D64" s="72"/>
      <c r="E64" s="72"/>
      <c r="F64" s="72"/>
      <c r="G64" s="72"/>
      <c r="H64" s="72"/>
      <c r="I64" s="102"/>
      <c r="J64" s="72"/>
      <c r="K64" s="106"/>
    </row>
    <row r="65" spans="1:11" ht="12.75">
      <c r="A65" s="1"/>
      <c r="B65" s="72"/>
      <c r="C65" s="72"/>
      <c r="D65" s="72"/>
      <c r="E65" s="72"/>
      <c r="F65" s="72"/>
      <c r="G65" s="72"/>
      <c r="H65" s="72"/>
      <c r="I65" s="107"/>
      <c r="J65" s="72"/>
      <c r="K65" s="106"/>
    </row>
    <row r="66" spans="1:11" ht="12.75">
      <c r="A66" s="1"/>
      <c r="B66" s="72"/>
      <c r="C66" s="72"/>
      <c r="D66" s="72"/>
      <c r="E66" s="72"/>
      <c r="F66" s="72"/>
      <c r="G66" s="72"/>
      <c r="H66" s="108"/>
      <c r="I66" s="108"/>
      <c r="J66" s="72"/>
      <c r="K66" s="106"/>
    </row>
    <row r="67" spans="1:11" ht="12.75">
      <c r="A67" s="1"/>
      <c r="B67" s="72"/>
      <c r="C67" s="72"/>
      <c r="D67" s="72"/>
      <c r="E67" s="72"/>
      <c r="F67" s="72"/>
      <c r="G67" s="72"/>
      <c r="H67" s="108"/>
      <c r="I67" s="108"/>
      <c r="J67" s="72"/>
      <c r="K67" s="106"/>
    </row>
    <row r="68" spans="1:11" ht="12.75">
      <c r="A68" s="104"/>
      <c r="B68" s="105"/>
      <c r="C68" s="105"/>
      <c r="D68" s="105"/>
      <c r="E68" s="105"/>
      <c r="F68" s="105"/>
      <c r="G68" s="105"/>
      <c r="H68" s="109"/>
      <c r="I68" s="102"/>
      <c r="J68" s="105"/>
      <c r="K68" s="103"/>
    </row>
    <row r="69" spans="1:11" ht="12.75">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4311417322834645" bottom="0.62992125984251968" header="0.31496062992125984" footer="0.31496062992125984"/>
  <pageSetup paperSize="9" scale="89" orientation="portrait" r:id="rId1"/>
  <headerFooter>
    <oddHeader>&amp;RInforme de la Operación Mensual - Enero 2019
INFSGI-MES-01-2019
13/02/2019
Versión: 01</oddHeader>
    <oddFooter>&amp;L&amp;7COES, 2019&amp;C3&amp;R&amp;7Dirección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L63"/>
  <sheetViews>
    <sheetView showGridLines="0" view="pageBreakPreview" topLeftCell="A40" zoomScale="145" zoomScaleNormal="100" zoomScaleSheetLayoutView="145" zoomScalePageLayoutView="145" workbookViewId="0">
      <selection activeCell="M24" sqref="M24"/>
    </sheetView>
  </sheetViews>
  <sheetFormatPr defaultColWidth="9.33203125" defaultRowHeight="11.25"/>
  <cols>
    <col min="1" max="1" width="15.1640625" customWidth="1"/>
    <col min="2" max="5" width="9.83203125" customWidth="1"/>
    <col min="6" max="6" width="9.5" bestFit="1" customWidth="1"/>
    <col min="7" max="7" width="11.6640625" bestFit="1" customWidth="1"/>
    <col min="8" max="8" width="10.5" bestFit="1" customWidth="1"/>
    <col min="9" max="9" width="9.5" bestFit="1" customWidth="1"/>
    <col min="10" max="10" width="8.83203125" customWidth="1"/>
    <col min="11" max="11" width="9.33203125" customWidth="1"/>
  </cols>
  <sheetData>
    <row r="1" spans="1:12" ht="11.25" customHeight="1"/>
    <row r="2" spans="1:12" ht="11.25" customHeight="1">
      <c r="A2" s="835" t="str">
        <f>+"3.2. PRODUCCIÓN POR TIPO DE RECURSO ENERGÉTICO (GWh)"</f>
        <v>3.2. PRODUCCIÓN POR TIPO DE RECURSO ENERGÉTICO (GWh)</v>
      </c>
      <c r="B2" s="835"/>
      <c r="C2" s="835"/>
      <c r="D2" s="835"/>
      <c r="E2" s="835"/>
      <c r="F2" s="835"/>
      <c r="G2" s="835"/>
      <c r="H2" s="835"/>
      <c r="I2" s="835"/>
      <c r="J2" s="835"/>
      <c r="K2" s="835"/>
    </row>
    <row r="3" spans="1:12" ht="18.75" customHeight="1">
      <c r="A3" s="126"/>
      <c r="B3" s="127"/>
      <c r="C3" s="128"/>
      <c r="D3" s="129"/>
      <c r="E3" s="129"/>
      <c r="F3" s="129"/>
      <c r="G3" s="130"/>
      <c r="H3" s="130"/>
      <c r="I3" s="130"/>
      <c r="J3" s="126"/>
      <c r="K3" s="126"/>
      <c r="L3" s="36"/>
    </row>
    <row r="4" spans="1:12" ht="14.25" customHeight="1">
      <c r="A4" s="839" t="s">
        <v>45</v>
      </c>
      <c r="B4" s="836" t="s">
        <v>33</v>
      </c>
      <c r="C4" s="837"/>
      <c r="D4" s="837"/>
      <c r="E4" s="837" t="s">
        <v>34</v>
      </c>
      <c r="F4" s="837"/>
      <c r="G4" s="838" t="str">
        <f>+'3. Tipo Generación'!G6:K6</f>
        <v>Generación Acumulada a enero</v>
      </c>
      <c r="H4" s="838"/>
      <c r="I4" s="838"/>
      <c r="J4" s="838"/>
      <c r="K4" s="838"/>
      <c r="L4" s="131"/>
    </row>
    <row r="5" spans="1:12" ht="26.25" customHeight="1">
      <c r="A5" s="839"/>
      <c r="B5" s="625">
        <f>+'3. Tipo Generación'!B7</f>
        <v>43408</v>
      </c>
      <c r="C5" s="625">
        <f>+'3. Tipo Generación'!C7</f>
        <v>43438</v>
      </c>
      <c r="D5" s="625">
        <f>+'3. Tipo Generación'!D7</f>
        <v>43466</v>
      </c>
      <c r="E5" s="625">
        <f>+'3. Tipo Generación'!E7</f>
        <v>43101</v>
      </c>
      <c r="F5" s="626" t="s">
        <v>35</v>
      </c>
      <c r="G5" s="627">
        <v>2019</v>
      </c>
      <c r="H5" s="627">
        <v>2018</v>
      </c>
      <c r="I5" s="626" t="s">
        <v>637</v>
      </c>
      <c r="J5" s="627">
        <v>2017</v>
      </c>
      <c r="K5" s="626" t="s">
        <v>43</v>
      </c>
      <c r="L5" s="19"/>
    </row>
    <row r="6" spans="1:12" ht="11.25" customHeight="1">
      <c r="A6" s="139" t="s">
        <v>46</v>
      </c>
      <c r="B6" s="337">
        <v>2593.2451959425016</v>
      </c>
      <c r="C6" s="338">
        <v>2436.2101136875003</v>
      </c>
      <c r="D6" s="339">
        <v>2780.5065075125008</v>
      </c>
      <c r="E6" s="337">
        <v>2939.1774245275028</v>
      </c>
      <c r="F6" s="268">
        <f>IF(E6=0,"",D6/E6-1)</f>
        <v>-5.3984803942385251E-2</v>
      </c>
      <c r="G6" s="337">
        <v>2780.5065075125008</v>
      </c>
      <c r="H6" s="338">
        <v>2939.1774245275028</v>
      </c>
      <c r="I6" s="268">
        <f t="shared" ref="I6:I16" si="0">IF(H6=0,"",G6/H6-1)</f>
        <v>-5.3984803942385251E-2</v>
      </c>
      <c r="J6" s="337">
        <v>2868.5575095339591</v>
      </c>
      <c r="K6" s="268">
        <f>IF(J6=0,"",H6/J6-1)</f>
        <v>2.4618615718468462E-2</v>
      </c>
      <c r="L6" s="24"/>
    </row>
    <row r="7" spans="1:12" ht="11.25" customHeight="1">
      <c r="A7" s="140" t="s">
        <v>52</v>
      </c>
      <c r="B7" s="340">
        <v>1389.890462845</v>
      </c>
      <c r="C7" s="260">
        <v>1727.3175751775</v>
      </c>
      <c r="D7" s="341">
        <v>1448.6344844124999</v>
      </c>
      <c r="E7" s="340">
        <v>1103.3222815800002</v>
      </c>
      <c r="F7" s="269">
        <f t="shared" ref="F7:F18" si="1">IF(E7=0,"",D7/E7-1)</f>
        <v>0.31297492001883542</v>
      </c>
      <c r="G7" s="340">
        <v>1448.6344844124999</v>
      </c>
      <c r="H7" s="260">
        <v>1103.3222815800002</v>
      </c>
      <c r="I7" s="269">
        <f t="shared" si="0"/>
        <v>0.31297492001883542</v>
      </c>
      <c r="J7" s="340">
        <v>1200.2094914464467</v>
      </c>
      <c r="K7" s="269">
        <f t="shared" ref="K7:K19" si="2">IF(J7=0,"",H7/J7-1)</f>
        <v>-8.0725248847750453E-2</v>
      </c>
      <c r="L7" s="22"/>
    </row>
    <row r="8" spans="1:12" ht="11.25" customHeight="1">
      <c r="A8" s="141" t="s">
        <v>53</v>
      </c>
      <c r="B8" s="342">
        <v>58.712046164999997</v>
      </c>
      <c r="C8" s="261">
        <v>62.424170189999998</v>
      </c>
      <c r="D8" s="343">
        <v>55.561611380000002</v>
      </c>
      <c r="E8" s="342">
        <v>44.653600332499998</v>
      </c>
      <c r="F8" s="501">
        <f t="shared" si="1"/>
        <v>0.24428066194610709</v>
      </c>
      <c r="G8" s="342">
        <v>55.561611380000002</v>
      </c>
      <c r="H8" s="261">
        <v>44.653600332499998</v>
      </c>
      <c r="I8" s="501">
        <f t="shared" si="0"/>
        <v>0.24428066194610709</v>
      </c>
      <c r="J8" s="342">
        <v>29.811042691402825</v>
      </c>
      <c r="K8" s="501">
        <f t="shared" si="2"/>
        <v>0.49788790666411686</v>
      </c>
      <c r="L8" s="22"/>
    </row>
    <row r="9" spans="1:12" ht="11.25" customHeight="1">
      <c r="A9" s="140" t="s">
        <v>54</v>
      </c>
      <c r="B9" s="340">
        <v>0</v>
      </c>
      <c r="C9" s="260">
        <v>22.457336932499999</v>
      </c>
      <c r="D9" s="341">
        <v>21.820522857499999</v>
      </c>
      <c r="E9" s="340">
        <v>9.3588819924999989</v>
      </c>
      <c r="F9" s="269">
        <f t="shared" si="1"/>
        <v>1.3315309323257289</v>
      </c>
      <c r="G9" s="340">
        <v>21.820522857499999</v>
      </c>
      <c r="H9" s="260">
        <v>9.3588819924999989</v>
      </c>
      <c r="I9" s="269">
        <f t="shared" si="0"/>
        <v>1.3315309323257289</v>
      </c>
      <c r="J9" s="340">
        <v>0</v>
      </c>
      <c r="K9" s="269" t="str">
        <f t="shared" si="2"/>
        <v/>
      </c>
      <c r="L9" s="22"/>
    </row>
    <row r="10" spans="1:12" ht="11.25" customHeight="1">
      <c r="A10" s="141" t="s">
        <v>55</v>
      </c>
      <c r="B10" s="342">
        <v>0</v>
      </c>
      <c r="C10" s="261">
        <v>0</v>
      </c>
      <c r="D10" s="343">
        <v>0</v>
      </c>
      <c r="E10" s="342">
        <v>0</v>
      </c>
      <c r="F10" s="501" t="str">
        <f t="shared" si="1"/>
        <v/>
      </c>
      <c r="G10" s="342">
        <v>0</v>
      </c>
      <c r="H10" s="261">
        <v>0</v>
      </c>
      <c r="I10" s="501" t="str">
        <f t="shared" si="0"/>
        <v/>
      </c>
      <c r="J10" s="342">
        <v>5.954966995356</v>
      </c>
      <c r="K10" s="501">
        <f t="shared" si="2"/>
        <v>-1</v>
      </c>
      <c r="L10" s="22"/>
    </row>
    <row r="11" spans="1:12" ht="11.25" customHeight="1">
      <c r="A11" s="140" t="s">
        <v>26</v>
      </c>
      <c r="B11" s="340">
        <v>0</v>
      </c>
      <c r="C11" s="260">
        <v>0</v>
      </c>
      <c r="D11" s="341">
        <v>4.0722708399999998</v>
      </c>
      <c r="E11" s="340">
        <v>0</v>
      </c>
      <c r="F11" s="269" t="str">
        <f t="shared" si="1"/>
        <v/>
      </c>
      <c r="G11" s="340">
        <v>4.0722708399999998</v>
      </c>
      <c r="H11" s="260">
        <v>0</v>
      </c>
      <c r="I11" s="269" t="str">
        <f t="shared" si="0"/>
        <v/>
      </c>
      <c r="J11" s="340">
        <v>68.854987456054744</v>
      </c>
      <c r="K11" s="269">
        <f t="shared" si="2"/>
        <v>-1</v>
      </c>
      <c r="L11" s="24"/>
    </row>
    <row r="12" spans="1:12" ht="11.25" customHeight="1">
      <c r="A12" s="141" t="s">
        <v>47</v>
      </c>
      <c r="B12" s="342">
        <v>6.2619120825000003</v>
      </c>
      <c r="C12" s="261">
        <v>13.912232314999999</v>
      </c>
      <c r="D12" s="343">
        <v>5.8344011274999996</v>
      </c>
      <c r="E12" s="342">
        <v>8.2213869999999994E-2</v>
      </c>
      <c r="F12" s="501">
        <f t="shared" si="1"/>
        <v>69.966141449125317</v>
      </c>
      <c r="G12" s="342">
        <v>5.8344011274999996</v>
      </c>
      <c r="H12" s="261">
        <v>8.2213869999999994E-2</v>
      </c>
      <c r="I12" s="501">
        <f t="shared" si="0"/>
        <v>69.966141449125317</v>
      </c>
      <c r="J12" s="342">
        <v>0.70138252152367497</v>
      </c>
      <c r="K12" s="501">
        <f t="shared" si="2"/>
        <v>-0.88278312122549107</v>
      </c>
      <c r="L12" s="22"/>
    </row>
    <row r="13" spans="1:12" ht="11.25" customHeight="1">
      <c r="A13" s="140" t="s">
        <v>48</v>
      </c>
      <c r="B13" s="340">
        <v>0.197770205</v>
      </c>
      <c r="C13" s="260">
        <v>0</v>
      </c>
      <c r="D13" s="341">
        <v>0</v>
      </c>
      <c r="E13" s="340">
        <v>0</v>
      </c>
      <c r="F13" s="269" t="str">
        <f>IF(E13=0,"",D13/E13-1)</f>
        <v/>
      </c>
      <c r="G13" s="340">
        <v>0</v>
      </c>
      <c r="H13" s="260">
        <v>0</v>
      </c>
      <c r="I13" s="269" t="str">
        <f t="shared" si="0"/>
        <v/>
      </c>
      <c r="J13" s="340">
        <v>2.9588822052000002E-2</v>
      </c>
      <c r="K13" s="269">
        <f t="shared" si="2"/>
        <v>-1</v>
      </c>
      <c r="L13" s="22"/>
    </row>
    <row r="14" spans="1:12" ht="11.25" customHeight="1">
      <c r="A14" s="141" t="s">
        <v>49</v>
      </c>
      <c r="B14" s="342">
        <v>1.2517140874999999</v>
      </c>
      <c r="C14" s="261">
        <v>0.65663901749999987</v>
      </c>
      <c r="D14" s="343">
        <v>1.3454662900000001</v>
      </c>
      <c r="E14" s="342">
        <v>0.84348088499999996</v>
      </c>
      <c r="F14" s="501">
        <f t="shared" si="1"/>
        <v>0.59513548430916741</v>
      </c>
      <c r="G14" s="342">
        <v>1.3454662900000001</v>
      </c>
      <c r="H14" s="261">
        <v>0.84348088499999996</v>
      </c>
      <c r="I14" s="501">
        <f t="shared" si="0"/>
        <v>0.59513548430916741</v>
      </c>
      <c r="J14" s="342">
        <v>9.1621370531398991</v>
      </c>
      <c r="K14" s="501">
        <f t="shared" si="2"/>
        <v>-0.90793841217307092</v>
      </c>
      <c r="L14" s="22"/>
    </row>
    <row r="15" spans="1:12" ht="11.25" customHeight="1">
      <c r="A15" s="140" t="s">
        <v>50</v>
      </c>
      <c r="B15" s="340">
        <v>8.245808672499999</v>
      </c>
      <c r="C15" s="260">
        <v>10.894679502499999</v>
      </c>
      <c r="D15" s="341">
        <v>7.1550470475000001</v>
      </c>
      <c r="E15" s="340">
        <v>6.8479127750000002</v>
      </c>
      <c r="F15" s="269">
        <f t="shared" si="1"/>
        <v>4.4850786304006407E-2</v>
      </c>
      <c r="G15" s="340">
        <v>7.1550470475000001</v>
      </c>
      <c r="H15" s="260">
        <v>6.8479127750000002</v>
      </c>
      <c r="I15" s="269">
        <f>IF(H15=0,"",G15/H15-1)</f>
        <v>4.4850786304006407E-2</v>
      </c>
      <c r="J15" s="340">
        <v>7.1225864350709998</v>
      </c>
      <c r="K15" s="269">
        <f t="shared" si="2"/>
        <v>-3.8563752447921207E-2</v>
      </c>
      <c r="L15" s="22"/>
    </row>
    <row r="16" spans="1:12" ht="11.25" customHeight="1">
      <c r="A16" s="141" t="s">
        <v>51</v>
      </c>
      <c r="B16" s="342">
        <v>5.6764640524999992</v>
      </c>
      <c r="C16" s="261">
        <v>5.7141024249999992</v>
      </c>
      <c r="D16" s="343">
        <v>5.7492123750000008</v>
      </c>
      <c r="E16" s="342">
        <v>3.9291039749999999</v>
      </c>
      <c r="F16" s="501">
        <f t="shared" si="1"/>
        <v>0.46323752478451552</v>
      </c>
      <c r="G16" s="342">
        <v>5.7492123750000008</v>
      </c>
      <c r="H16" s="261">
        <v>3.9291039749999999</v>
      </c>
      <c r="I16" s="501">
        <f t="shared" si="0"/>
        <v>0.46323752478451552</v>
      </c>
      <c r="J16" s="342">
        <v>3.5038573999999998</v>
      </c>
      <c r="K16" s="501">
        <f t="shared" si="2"/>
        <v>0.12136526303838746</v>
      </c>
      <c r="L16" s="22"/>
    </row>
    <row r="17" spans="1:12" ht="11.25" customHeight="1">
      <c r="A17" s="140" t="s">
        <v>30</v>
      </c>
      <c r="B17" s="340">
        <v>76.693364965000001</v>
      </c>
      <c r="C17" s="260">
        <v>76.637353504999993</v>
      </c>
      <c r="D17" s="341">
        <v>56.281983437499996</v>
      </c>
      <c r="E17" s="340">
        <v>59.658878850000001</v>
      </c>
      <c r="F17" s="269">
        <f t="shared" si="1"/>
        <v>-5.6603400492833855E-2</v>
      </c>
      <c r="G17" s="340">
        <v>56.281983437499996</v>
      </c>
      <c r="H17" s="260">
        <v>59.658878850000001</v>
      </c>
      <c r="I17" s="269">
        <f>IF(H17=0,"",G17/H17-1)</f>
        <v>-5.6603400492833855E-2</v>
      </c>
      <c r="J17" s="340">
        <v>17.646586911443002</v>
      </c>
      <c r="K17" s="269">
        <f t="shared" si="2"/>
        <v>2.3807602087242126</v>
      </c>
      <c r="L17" s="22"/>
    </row>
    <row r="18" spans="1:12" ht="11.25" customHeight="1">
      <c r="A18" s="141" t="s">
        <v>29</v>
      </c>
      <c r="B18" s="342">
        <v>139.23549507999999</v>
      </c>
      <c r="C18" s="261">
        <v>139.86001345999998</v>
      </c>
      <c r="D18" s="343">
        <v>110.11578868249998</v>
      </c>
      <c r="E18" s="342">
        <v>87.37300737999999</v>
      </c>
      <c r="F18" s="501">
        <f t="shared" si="1"/>
        <v>0.26029527865039359</v>
      </c>
      <c r="G18" s="342">
        <v>110.11578868249998</v>
      </c>
      <c r="H18" s="261">
        <v>87.37300737999999</v>
      </c>
      <c r="I18" s="501">
        <f>IF(H18=0,"",G18/H18-1)</f>
        <v>0.26029527865039359</v>
      </c>
      <c r="J18" s="342">
        <v>60.372802024048376</v>
      </c>
      <c r="K18" s="501">
        <f t="shared" si="2"/>
        <v>0.44722465167670356</v>
      </c>
      <c r="L18" s="22"/>
    </row>
    <row r="19" spans="1:12" ht="11.25" customHeight="1">
      <c r="A19" s="146" t="s">
        <v>44</v>
      </c>
      <c r="B19" s="344">
        <f>SUM(B6:B18)</f>
        <v>4279.4102340975023</v>
      </c>
      <c r="C19" s="345">
        <f>SUM(C6:C18)</f>
        <v>4496.0842162125018</v>
      </c>
      <c r="D19" s="346">
        <f>SUM(D6:D18)</f>
        <v>4497.077295962501</v>
      </c>
      <c r="E19" s="344">
        <f>SUM(E6:E18)</f>
        <v>4255.2467861675013</v>
      </c>
      <c r="F19" s="502">
        <f>IF(E19=0,"",D19/E19-1)</f>
        <v>5.6831136229540391E-2</v>
      </c>
      <c r="G19" s="344">
        <f>SUM(G6:G18)</f>
        <v>4497.077295962501</v>
      </c>
      <c r="H19" s="345">
        <f>SUM(H6:H18)</f>
        <v>4255.2467861675013</v>
      </c>
      <c r="I19" s="502">
        <f>IF(H19=0,"",G19/H19-1)</f>
        <v>5.6831136229540391E-2</v>
      </c>
      <c r="J19" s="344">
        <f>SUM(J6:J18)</f>
        <v>4271.9269392904971</v>
      </c>
      <c r="K19" s="502">
        <f t="shared" si="2"/>
        <v>-3.9045970027207222E-3</v>
      </c>
      <c r="L19" s="30"/>
    </row>
    <row r="20" spans="1:12" ht="11.25" customHeight="1">
      <c r="A20" s="22"/>
      <c r="B20" s="22"/>
      <c r="C20" s="22"/>
      <c r="D20" s="22"/>
      <c r="E20" s="22"/>
      <c r="F20" s="22"/>
      <c r="G20" s="22"/>
      <c r="H20" s="22"/>
      <c r="I20" s="22"/>
      <c r="J20" s="22"/>
      <c r="K20" s="22"/>
      <c r="L20" s="22"/>
    </row>
    <row r="21" spans="1:12" ht="11.25" customHeight="1">
      <c r="A21" s="142" t="s">
        <v>40</v>
      </c>
      <c r="B21" s="248">
        <v>0</v>
      </c>
      <c r="C21" s="249">
        <v>0</v>
      </c>
      <c r="D21" s="415">
        <v>0</v>
      </c>
      <c r="E21" s="248">
        <v>0</v>
      </c>
      <c r="F21" s="120" t="str">
        <f>IF(E21=0,"",D21/E21-1)</f>
        <v/>
      </c>
      <c r="G21" s="248">
        <v>0</v>
      </c>
      <c r="H21" s="414">
        <v>0</v>
      </c>
      <c r="I21" s="123" t="str">
        <f>IF(H21=0,"",G21/H21-1)</f>
        <v/>
      </c>
      <c r="J21" s="248">
        <v>0</v>
      </c>
      <c r="K21" s="120" t="str">
        <f>IF(J21=0,"",H21/J21-1)</f>
        <v/>
      </c>
      <c r="L21" s="22"/>
    </row>
    <row r="22" spans="1:12" ht="11.25" customHeight="1">
      <c r="A22" s="143" t="s">
        <v>41</v>
      </c>
      <c r="B22" s="245">
        <v>0</v>
      </c>
      <c r="C22" s="246">
        <v>0</v>
      </c>
      <c r="D22" s="247">
        <v>0</v>
      </c>
      <c r="E22" s="245">
        <v>0</v>
      </c>
      <c r="F22" s="121" t="str">
        <f>IF(E22=0,"",D22/E22-1)</f>
        <v/>
      </c>
      <c r="G22" s="245">
        <v>0</v>
      </c>
      <c r="H22" s="246">
        <v>0</v>
      </c>
      <c r="I22" s="115" t="str">
        <f>IF(H22=0,"",G22/H22-1)</f>
        <v/>
      </c>
      <c r="J22" s="245">
        <v>0</v>
      </c>
      <c r="K22" s="121" t="str">
        <f>IF(J22=0,"",H22/J22-1)</f>
        <v/>
      </c>
      <c r="L22" s="22"/>
    </row>
    <row r="23" spans="1:12" ht="23.25" customHeight="1">
      <c r="A23" s="144" t="s">
        <v>42</v>
      </c>
      <c r="B23" s="258">
        <f>+B22-B21</f>
        <v>0</v>
      </c>
      <c r="C23" s="259">
        <f>+C22-C21</f>
        <v>0</v>
      </c>
      <c r="D23" s="505">
        <f>+D22-D21</f>
        <v>0</v>
      </c>
      <c r="E23" s="258">
        <f>+E22-E21</f>
        <v>0</v>
      </c>
      <c r="F23" s="122"/>
      <c r="G23" s="258">
        <f>+G22-G21</f>
        <v>0</v>
      </c>
      <c r="H23" s="259">
        <f>+H22-H21</f>
        <v>0</v>
      </c>
      <c r="I23" s="124"/>
      <c r="J23" s="258">
        <f>+J22-J21</f>
        <v>0</v>
      </c>
      <c r="K23" s="122"/>
      <c r="L23" s="30"/>
    </row>
    <row r="24" spans="1:12" ht="11.25" customHeight="1">
      <c r="A24" s="243" t="s">
        <v>246</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43" t="str">
        <f>"Gráfico N° 5: Comparación de la producción de energía eléctrica (GWh) por tipo de recurso energético acumulado a "&amp;'1. Resumen'!Q4&amp;"."</f>
        <v>Gráfico N° 5: Comparación de la producción de energía eléctrica (GWh) por tipo de recurso energético acumulado a enero.</v>
      </c>
    </row>
  </sheetData>
  <mergeCells count="5">
    <mergeCell ref="A2:K2"/>
    <mergeCell ref="B4:D4"/>
    <mergeCell ref="E4:F4"/>
    <mergeCell ref="G4:K4"/>
    <mergeCell ref="A4:A5"/>
  </mergeCells>
  <pageMargins left="0.70866141732283472" right="0.70866141732283472" top="1.4311417322834645" bottom="0.62992125984251968" header="0.31496062992125984" footer="0.31496062992125984"/>
  <pageSetup paperSize="9" scale="95" orientation="portrait" r:id="rId1"/>
  <headerFooter>
    <oddHeader>&amp;R&amp;7Informe de la Operación Mensual - Enero 2019
INFSGI-MES-01-2019
13/02/2019
Versión: 01</oddHeader>
    <oddFooter>&amp;L&amp;7COES, 2019&amp;C4&amp;R&amp;7Dirección Ejecutiva
Sub Dirección de Gestión de Información</oddFooter>
  </headerFooter>
  <ignoredErrors>
    <ignoredError sqref="K19 G19:H19 B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P61"/>
  <sheetViews>
    <sheetView showGridLines="0" view="pageBreakPreview" topLeftCell="A16" zoomScale="115" zoomScaleNormal="100" zoomScaleSheetLayoutView="115" zoomScalePageLayoutView="160" workbookViewId="0">
      <selection activeCell="M24" sqref="M24"/>
    </sheetView>
  </sheetViews>
  <sheetFormatPr defaultColWidth="9.33203125" defaultRowHeight="11.25"/>
  <cols>
    <col min="1" max="1" width="21.6640625" customWidth="1"/>
    <col min="2" max="2" width="10" customWidth="1"/>
    <col min="3" max="8" width="9.1640625" customWidth="1"/>
    <col min="9" max="9" width="9.83203125" customWidth="1"/>
    <col min="10" max="10" width="9.1640625" customWidth="1"/>
    <col min="11" max="11" width="9.6640625" customWidth="1"/>
  </cols>
  <sheetData>
    <row r="1" spans="1:12" ht="11.25" customHeight="1"/>
    <row r="2" spans="1:12" ht="11.25" customHeight="1">
      <c r="A2" s="841" t="s">
        <v>254</v>
      </c>
      <c r="B2" s="841"/>
      <c r="C2" s="841"/>
      <c r="D2" s="841"/>
      <c r="E2" s="841"/>
      <c r="F2" s="841"/>
      <c r="G2" s="841"/>
      <c r="H2" s="841"/>
      <c r="I2" s="841"/>
      <c r="J2" s="841"/>
      <c r="K2" s="841"/>
      <c r="L2" s="36"/>
    </row>
    <row r="3" spans="1:12" ht="11.25" customHeight="1">
      <c r="A3" s="74"/>
      <c r="B3" s="73"/>
      <c r="C3" s="73"/>
      <c r="D3" s="73"/>
      <c r="E3" s="73"/>
      <c r="F3" s="73"/>
      <c r="G3" s="73"/>
      <c r="H3" s="73"/>
      <c r="I3" s="73"/>
      <c r="J3" s="73"/>
      <c r="K3" s="73"/>
      <c r="L3" s="36"/>
    </row>
    <row r="4" spans="1:12" ht="15.75" customHeight="1">
      <c r="A4" s="839" t="s">
        <v>250</v>
      </c>
      <c r="B4" s="836" t="s">
        <v>33</v>
      </c>
      <c r="C4" s="837"/>
      <c r="D4" s="837"/>
      <c r="E4" s="837" t="s">
        <v>34</v>
      </c>
      <c r="F4" s="837"/>
      <c r="G4" s="838" t="str">
        <f>+'4. Tipo Recurso'!G4:K4</f>
        <v>Generación Acumulada a enero</v>
      </c>
      <c r="H4" s="838"/>
      <c r="I4" s="838"/>
      <c r="J4" s="838"/>
      <c r="K4" s="838"/>
      <c r="L4" s="22"/>
    </row>
    <row r="5" spans="1:12" ht="29.25" customHeight="1">
      <c r="A5" s="839"/>
      <c r="B5" s="625">
        <f>+'4. Tipo Recurso'!B5</f>
        <v>43408</v>
      </c>
      <c r="C5" s="625">
        <f>+'4. Tipo Recurso'!C5</f>
        <v>43438</v>
      </c>
      <c r="D5" s="625">
        <f>+'4. Tipo Recurso'!D5</f>
        <v>43466</v>
      </c>
      <c r="E5" s="625">
        <f>+'4. Tipo Recurso'!E5</f>
        <v>43101</v>
      </c>
      <c r="F5" s="625" t="s">
        <v>35</v>
      </c>
      <c r="G5" s="627">
        <v>2019</v>
      </c>
      <c r="H5" s="627">
        <v>2018</v>
      </c>
      <c r="I5" s="626" t="s">
        <v>43</v>
      </c>
      <c r="J5" s="627">
        <v>2017</v>
      </c>
      <c r="K5" s="626" t="s">
        <v>36</v>
      </c>
      <c r="L5" s="24"/>
    </row>
    <row r="6" spans="1:12" ht="11.25" customHeight="1">
      <c r="A6" s="139" t="s">
        <v>46</v>
      </c>
      <c r="B6" s="337">
        <v>143.15945924499999</v>
      </c>
      <c r="C6" s="338">
        <v>138.42144508000001</v>
      </c>
      <c r="D6" s="339">
        <v>148.2323815675</v>
      </c>
      <c r="E6" s="337">
        <v>108.19996422</v>
      </c>
      <c r="F6" s="268">
        <f t="shared" ref="F6:F11" si="0">IF(E6=0,"",D6/E6-1)</f>
        <v>0.3699854952456656</v>
      </c>
      <c r="G6" s="337">
        <v>148.2323815675</v>
      </c>
      <c r="H6" s="338">
        <v>108.19996422</v>
      </c>
      <c r="I6" s="272">
        <f t="shared" ref="I6:I11" si="1">IF(H6=0,"",G6/H6-1)</f>
        <v>0.3699854952456656</v>
      </c>
      <c r="J6" s="337">
        <v>124.90405737228848</v>
      </c>
      <c r="K6" s="268">
        <f t="shared" ref="K6:K11" si="2">IF(J6=0,"",H6/J6-1)</f>
        <v>-0.13373539261819445</v>
      </c>
      <c r="L6" s="264"/>
    </row>
    <row r="7" spans="1:12" ht="11.25" customHeight="1">
      <c r="A7" s="140" t="s">
        <v>39</v>
      </c>
      <c r="B7" s="340">
        <v>139.23549507999999</v>
      </c>
      <c r="C7" s="260">
        <v>139.86001345999998</v>
      </c>
      <c r="D7" s="341">
        <v>110.11578868249998</v>
      </c>
      <c r="E7" s="340">
        <v>87.37300737999999</v>
      </c>
      <c r="F7" s="269">
        <f t="shared" si="0"/>
        <v>0.26029527865039359</v>
      </c>
      <c r="G7" s="340">
        <v>110.11578868249998</v>
      </c>
      <c r="H7" s="260">
        <v>87.37300737999999</v>
      </c>
      <c r="I7" s="255">
        <f t="shared" si="1"/>
        <v>0.26029527865039359</v>
      </c>
      <c r="J7" s="340">
        <v>60.372802024048376</v>
      </c>
      <c r="K7" s="269">
        <f t="shared" si="2"/>
        <v>0.44722465167670356</v>
      </c>
      <c r="L7" s="264"/>
    </row>
    <row r="8" spans="1:12" ht="11.25" customHeight="1">
      <c r="A8" s="266" t="s">
        <v>30</v>
      </c>
      <c r="B8" s="522">
        <v>76.693364965000001</v>
      </c>
      <c r="C8" s="348">
        <v>76.637353504999993</v>
      </c>
      <c r="D8" s="523">
        <v>56.281983437499996</v>
      </c>
      <c r="E8" s="522">
        <v>59.658878850000001</v>
      </c>
      <c r="F8" s="270">
        <f t="shared" si="0"/>
        <v>-5.6603400492833855E-2</v>
      </c>
      <c r="G8" s="522">
        <v>56.281983437499996</v>
      </c>
      <c r="H8" s="348">
        <v>59.658878850000001</v>
      </c>
      <c r="I8" s="265">
        <f t="shared" si="1"/>
        <v>-5.6603400492833855E-2</v>
      </c>
      <c r="J8" s="522">
        <v>17.646586911443002</v>
      </c>
      <c r="K8" s="270">
        <f t="shared" si="2"/>
        <v>2.3807602087242126</v>
      </c>
      <c r="L8" s="264"/>
    </row>
    <row r="9" spans="1:12" ht="11.25" customHeight="1">
      <c r="A9" s="140" t="s">
        <v>50</v>
      </c>
      <c r="B9" s="340">
        <v>8.245808672499999</v>
      </c>
      <c r="C9" s="260">
        <v>10.894679502499999</v>
      </c>
      <c r="D9" s="341">
        <v>7.1550470475000001</v>
      </c>
      <c r="E9" s="340">
        <v>6.8479127750000002</v>
      </c>
      <c r="F9" s="269">
        <f t="shared" si="0"/>
        <v>4.4850786304006407E-2</v>
      </c>
      <c r="G9" s="340">
        <v>7.1550470475000001</v>
      </c>
      <c r="H9" s="260">
        <v>6.8479127750000002</v>
      </c>
      <c r="I9" s="255">
        <f t="shared" si="1"/>
        <v>4.4850786304006407E-2</v>
      </c>
      <c r="J9" s="340">
        <v>7.1225864350709998</v>
      </c>
      <c r="K9" s="269">
        <f t="shared" si="2"/>
        <v>-3.8563752447921207E-2</v>
      </c>
      <c r="L9" s="35"/>
    </row>
    <row r="10" spans="1:12" ht="11.25" customHeight="1">
      <c r="A10" s="267" t="s">
        <v>51</v>
      </c>
      <c r="B10" s="524">
        <v>5.6764640524999992</v>
      </c>
      <c r="C10" s="525">
        <v>5.7141024249999992</v>
      </c>
      <c r="D10" s="526">
        <v>5.7492123750000008</v>
      </c>
      <c r="E10" s="524">
        <v>3.9291039749999999</v>
      </c>
      <c r="F10" s="271">
        <f t="shared" si="0"/>
        <v>0.46323752478451552</v>
      </c>
      <c r="G10" s="524">
        <v>5.7492123750000008</v>
      </c>
      <c r="H10" s="525">
        <v>3.9291039749999999</v>
      </c>
      <c r="I10" s="273">
        <f t="shared" si="1"/>
        <v>0.46323752478451552</v>
      </c>
      <c r="J10" s="524">
        <v>3.5038573999999998</v>
      </c>
      <c r="K10" s="271">
        <f t="shared" si="2"/>
        <v>0.12136526303838746</v>
      </c>
      <c r="L10" s="264"/>
    </row>
    <row r="11" spans="1:12" ht="11.25" customHeight="1">
      <c r="A11" s="274" t="s">
        <v>247</v>
      </c>
      <c r="B11" s="427">
        <f t="shared" ref="B11:E11" si="3">+SUM(B6:B10)</f>
        <v>373.01059201499999</v>
      </c>
      <c r="C11" s="428">
        <f t="shared" si="3"/>
        <v>371.52759397250003</v>
      </c>
      <c r="D11" s="429">
        <f t="shared" si="3"/>
        <v>327.53441310999995</v>
      </c>
      <c r="E11" s="430">
        <f t="shared" si="3"/>
        <v>266.0088672</v>
      </c>
      <c r="F11" s="275">
        <f t="shared" si="0"/>
        <v>0.23129133459954065</v>
      </c>
      <c r="G11" s="520">
        <f>+SUM(G6:G10)</f>
        <v>327.53441310999995</v>
      </c>
      <c r="H11" s="521">
        <f>+SUM(H6:H10)</f>
        <v>266.0088672</v>
      </c>
      <c r="I11" s="276">
        <f t="shared" si="1"/>
        <v>0.23129133459954065</v>
      </c>
      <c r="J11" s="520">
        <f>+SUM(J6:J10)</f>
        <v>213.54989014285084</v>
      </c>
      <c r="K11" s="275">
        <f t="shared" si="2"/>
        <v>0.2456520910502813</v>
      </c>
      <c r="L11" s="22"/>
    </row>
    <row r="12" spans="1:12" ht="24.75" customHeight="1">
      <c r="A12" s="277" t="s">
        <v>248</v>
      </c>
      <c r="B12" s="278">
        <f>B11/'4. Tipo Recurso'!B19</f>
        <v>8.7164018313300437E-2</v>
      </c>
      <c r="C12" s="276">
        <f>C11/'4. Tipo Recurso'!C19</f>
        <v>8.2633593168206843E-2</v>
      </c>
      <c r="D12" s="798">
        <f>D11/'4. Tipo Recurso'!D19</f>
        <v>7.283272924929754E-2</v>
      </c>
      <c r="E12" s="278">
        <f>E11/'4. Tipo Recurso'!E19</f>
        <v>6.2513146843730202E-2</v>
      </c>
      <c r="F12" s="279"/>
      <c r="G12" s="278">
        <f>G11/'4. Tipo Recurso'!G19</f>
        <v>7.283272924929754E-2</v>
      </c>
      <c r="H12" s="276">
        <f>H11/'4. Tipo Recurso'!H19</f>
        <v>6.2513146843730202E-2</v>
      </c>
      <c r="I12" s="276"/>
      <c r="J12" s="278">
        <f>J11/'4. Tipo Recurso'!J19</f>
        <v>4.99891250898402E-2</v>
      </c>
      <c r="K12" s="279"/>
      <c r="L12" s="22"/>
    </row>
    <row r="13" spans="1:12" ht="11.25" customHeight="1">
      <c r="A13" s="280" t="s">
        <v>249</v>
      </c>
      <c r="B13" s="134"/>
      <c r="C13" s="134"/>
      <c r="D13" s="134"/>
      <c r="E13" s="134"/>
      <c r="F13" s="134"/>
      <c r="G13" s="134"/>
      <c r="H13" s="134"/>
      <c r="I13" s="134"/>
      <c r="J13" s="134"/>
      <c r="K13" s="135"/>
      <c r="L13" s="22"/>
    </row>
    <row r="14" spans="1:12" ht="23.25" customHeight="1">
      <c r="A14" s="842" t="s">
        <v>571</v>
      </c>
      <c r="B14" s="842"/>
      <c r="C14" s="842"/>
      <c r="D14" s="842"/>
      <c r="E14" s="842"/>
      <c r="F14" s="842"/>
      <c r="G14" s="842"/>
      <c r="H14" s="842"/>
      <c r="I14" s="842"/>
      <c r="J14" s="842"/>
      <c r="K14" s="842"/>
      <c r="L14" s="22"/>
    </row>
    <row r="15" spans="1:12" ht="11.25" customHeight="1">
      <c r="A15" s="31"/>
      <c r="L15" s="22"/>
    </row>
    <row r="16" spans="1:12" ht="11.25" customHeight="1">
      <c r="A16" s="136"/>
      <c r="B16" s="147"/>
      <c r="C16" s="147"/>
      <c r="D16" s="147"/>
      <c r="E16" s="147"/>
      <c r="F16" s="147"/>
      <c r="G16" s="147"/>
      <c r="H16" s="147"/>
      <c r="I16" s="147"/>
      <c r="J16" s="147"/>
      <c r="K16" s="147"/>
      <c r="L16" s="22"/>
    </row>
    <row r="17" spans="1:12" ht="11.25" customHeight="1">
      <c r="A17" s="147"/>
      <c r="B17" s="147"/>
      <c r="C17" s="147"/>
      <c r="D17" s="147"/>
      <c r="E17" s="147"/>
      <c r="F17" s="147"/>
      <c r="G17" s="147"/>
      <c r="H17" s="147"/>
      <c r="I17" s="147"/>
      <c r="J17" s="147"/>
      <c r="K17" s="147"/>
      <c r="L17" s="22"/>
    </row>
    <row r="18" spans="1:12" ht="11.25" customHeight="1">
      <c r="A18" s="147"/>
      <c r="B18" s="147"/>
      <c r="C18" s="147"/>
      <c r="D18" s="147"/>
      <c r="E18" s="147"/>
      <c r="F18" s="147"/>
      <c r="G18" s="147"/>
      <c r="H18" s="147"/>
      <c r="I18" s="147"/>
      <c r="J18" s="147"/>
      <c r="K18" s="147"/>
      <c r="L18" s="30"/>
    </row>
    <row r="19" spans="1:12" ht="11.25" customHeight="1">
      <c r="A19" s="136"/>
      <c r="B19" s="138"/>
      <c r="C19" s="138"/>
      <c r="D19" s="138"/>
      <c r="E19" s="138"/>
      <c r="F19" s="138"/>
      <c r="G19" s="138"/>
      <c r="H19" s="138"/>
      <c r="I19" s="138"/>
      <c r="J19" s="138"/>
      <c r="K19" s="138"/>
      <c r="L19" s="22"/>
    </row>
    <row r="20" spans="1:12" ht="11.25" customHeight="1">
      <c r="A20" s="136"/>
      <c r="B20" s="138"/>
      <c r="C20" s="138"/>
      <c r="D20" s="138"/>
      <c r="E20" s="138"/>
      <c r="F20" s="138"/>
      <c r="G20" s="138"/>
      <c r="H20" s="138"/>
      <c r="I20" s="138"/>
      <c r="J20" s="138"/>
      <c r="K20" s="138"/>
      <c r="L20" s="22"/>
    </row>
    <row r="21" spans="1:12" ht="11.25" customHeight="1">
      <c r="A21" s="136"/>
      <c r="B21" s="138"/>
      <c r="C21" s="138"/>
      <c r="D21" s="138"/>
      <c r="E21" s="138"/>
      <c r="F21" s="138"/>
      <c r="G21" s="138"/>
      <c r="H21" s="138"/>
      <c r="I21" s="138"/>
      <c r="J21" s="138"/>
      <c r="K21" s="138"/>
      <c r="L21" s="22"/>
    </row>
    <row r="22" spans="1:12" ht="11.25" customHeight="1">
      <c r="A22" s="136"/>
      <c r="B22" s="138"/>
      <c r="C22" s="138"/>
      <c r="D22" s="138"/>
      <c r="E22" s="138"/>
      <c r="F22" s="138"/>
      <c r="G22" s="138"/>
      <c r="H22" s="138"/>
      <c r="I22" s="138"/>
      <c r="J22" s="138"/>
      <c r="K22" s="138"/>
      <c r="L22" s="30"/>
    </row>
    <row r="23" spans="1:12" ht="11.25" customHeight="1">
      <c r="A23" s="136"/>
      <c r="B23" s="138"/>
      <c r="C23" s="138"/>
      <c r="D23" s="138"/>
      <c r="E23" s="138"/>
      <c r="F23" s="138"/>
      <c r="G23" s="138"/>
      <c r="H23" s="138"/>
      <c r="I23" s="138"/>
      <c r="J23" s="138"/>
      <c r="K23" s="138"/>
      <c r="L23" s="22"/>
    </row>
    <row r="24" spans="1:12" ht="11.25" customHeight="1">
      <c r="A24" s="136"/>
      <c r="B24" s="138"/>
      <c r="C24" s="138"/>
      <c r="D24" s="138"/>
      <c r="E24" s="138"/>
      <c r="F24" s="138"/>
      <c r="G24" s="138"/>
      <c r="H24" s="138"/>
      <c r="I24" s="138"/>
      <c r="J24" s="138"/>
      <c r="K24" s="138"/>
      <c r="L24" s="22"/>
    </row>
    <row r="25" spans="1:12" ht="11.25" customHeight="1">
      <c r="A25" s="136"/>
      <c r="B25" s="138"/>
      <c r="C25" s="138"/>
      <c r="D25" s="138"/>
      <c r="E25" s="138"/>
      <c r="F25" s="138"/>
      <c r="G25" s="138"/>
      <c r="H25" s="138"/>
      <c r="I25" s="138"/>
      <c r="J25" s="138"/>
      <c r="K25" s="138"/>
      <c r="L25" s="22"/>
    </row>
    <row r="26" spans="1:12" ht="11.25" customHeight="1">
      <c r="A26" s="136"/>
      <c r="B26" s="138"/>
      <c r="C26" s="138"/>
      <c r="D26" s="138"/>
      <c r="E26" s="138"/>
      <c r="F26" s="138"/>
      <c r="G26" s="138"/>
      <c r="H26" s="138"/>
      <c r="I26" s="138"/>
      <c r="J26" s="138"/>
      <c r="K26" s="138"/>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6" ht="11.25" customHeight="1">
      <c r="A33" s="136"/>
      <c r="B33" s="138"/>
      <c r="C33" s="138"/>
      <c r="D33" s="138"/>
      <c r="E33" s="138"/>
      <c r="F33" s="138"/>
      <c r="G33" s="138"/>
      <c r="H33" s="138"/>
      <c r="I33" s="138"/>
      <c r="J33" s="138"/>
      <c r="K33" s="138"/>
      <c r="L33" s="22"/>
    </row>
    <row r="34" spans="1:16" ht="11.25" customHeight="1">
      <c r="A34" s="840" t="str">
        <f>"Gráfico N° 6: Comparación de la producción de energía eléctrica acumulada (GWh) con recursos energéticos renovables en "&amp;'1. Resumen'!Q4&amp;"."</f>
        <v>Gráfico N° 6: Comparación de la producción de energía eléctrica acumulada (GWh) con recursos energéticos renovables en enero.</v>
      </c>
      <c r="B34" s="840"/>
      <c r="C34" s="840"/>
      <c r="D34" s="840"/>
      <c r="E34" s="840"/>
      <c r="F34" s="840"/>
      <c r="G34" s="840"/>
      <c r="H34" s="840"/>
      <c r="I34" s="840"/>
      <c r="J34" s="840"/>
      <c r="K34" s="840"/>
      <c r="L34" s="22"/>
    </row>
    <row r="35" spans="1:16" ht="11.25" customHeight="1">
      <c r="L35" s="38"/>
    </row>
    <row r="36" spans="1:16" ht="11.25" customHeight="1">
      <c r="A36" s="136"/>
      <c r="B36" s="138"/>
      <c r="C36" s="138"/>
      <c r="D36" s="138"/>
      <c r="E36" s="138"/>
      <c r="F36" s="138"/>
      <c r="G36" s="138"/>
      <c r="H36" s="138"/>
      <c r="I36" s="138"/>
      <c r="J36" s="138"/>
      <c r="K36" s="138"/>
      <c r="L36" s="22"/>
    </row>
    <row r="37" spans="1:16" ht="11.25" customHeight="1">
      <c r="A37" s="136"/>
      <c r="B37" s="138"/>
      <c r="C37" s="138"/>
      <c r="D37" s="138"/>
      <c r="E37" s="138"/>
      <c r="F37" s="138"/>
      <c r="G37" s="138"/>
      <c r="H37" s="138"/>
      <c r="I37" s="138"/>
      <c r="J37" s="138"/>
      <c r="K37" s="138"/>
      <c r="L37" s="22"/>
    </row>
    <row r="38" spans="1:16" ht="11.25" customHeight="1">
      <c r="A38" s="136"/>
      <c r="B38" s="138"/>
      <c r="C38" s="138"/>
      <c r="D38" s="138"/>
      <c r="E38" s="138"/>
      <c r="F38" s="138"/>
      <c r="G38" s="138"/>
      <c r="H38" s="138"/>
      <c r="I38" s="138"/>
      <c r="J38" s="138"/>
      <c r="K38" s="138"/>
      <c r="L38" s="22"/>
    </row>
    <row r="39" spans="1:16" ht="11.25" customHeight="1">
      <c r="A39" s="136"/>
      <c r="B39" s="138"/>
      <c r="C39" s="281" t="s">
        <v>252</v>
      </c>
      <c r="D39" s="163"/>
      <c r="E39" s="163"/>
      <c r="F39" s="519">
        <f>+'4. Tipo Recurso'!D19</f>
        <v>4497.077295962501</v>
      </c>
      <c r="G39" s="281" t="s">
        <v>251</v>
      </c>
      <c r="H39" s="138"/>
      <c r="I39" s="138"/>
      <c r="J39" s="138"/>
      <c r="K39" s="138"/>
      <c r="L39" s="22"/>
      <c r="M39" s="282">
        <f>+F39-F40</f>
        <v>4169.5472959625013</v>
      </c>
      <c r="P39" s="431"/>
    </row>
    <row r="40" spans="1:16" ht="11.25" customHeight="1">
      <c r="A40" s="136"/>
      <c r="B40" s="138"/>
      <c r="C40" s="281" t="s">
        <v>253</v>
      </c>
      <c r="D40" s="163"/>
      <c r="E40" s="163"/>
      <c r="F40" s="519">
        <f>ROUND(D11,2)</f>
        <v>327.52999999999997</v>
      </c>
      <c r="G40" s="281" t="s">
        <v>251</v>
      </c>
      <c r="H40" s="138"/>
      <c r="I40" s="138"/>
      <c r="J40" s="138"/>
      <c r="K40" s="138"/>
      <c r="L40" s="22"/>
      <c r="M40" s="431"/>
      <c r="P40" s="431"/>
    </row>
    <row r="41" spans="1:16" ht="11.25" customHeight="1">
      <c r="A41" s="136"/>
      <c r="B41" s="138"/>
      <c r="C41" s="138"/>
      <c r="D41" s="138"/>
      <c r="E41" s="138"/>
      <c r="F41" s="138"/>
      <c r="G41" s="138"/>
      <c r="H41" s="138"/>
      <c r="I41" s="138"/>
      <c r="J41" s="138"/>
      <c r="K41" s="138"/>
      <c r="L41" s="22"/>
      <c r="P41" s="431"/>
    </row>
    <row r="42" spans="1:16" ht="11.25" customHeight="1">
      <c r="A42" s="136"/>
      <c r="B42" s="138"/>
      <c r="C42" s="138"/>
      <c r="D42" s="138"/>
      <c r="E42" s="138"/>
      <c r="F42" s="138"/>
      <c r="G42" s="138"/>
      <c r="H42" s="138"/>
      <c r="I42" s="138"/>
      <c r="J42" s="138"/>
      <c r="K42" s="138"/>
      <c r="L42" s="22"/>
      <c r="P42" s="431"/>
    </row>
    <row r="43" spans="1:16" ht="11.25" customHeight="1">
      <c r="A43" s="136"/>
      <c r="B43" s="138"/>
      <c r="C43" s="138"/>
      <c r="D43" s="138"/>
      <c r="E43" s="138"/>
      <c r="F43" s="138"/>
      <c r="G43" s="138"/>
      <c r="H43" s="138"/>
      <c r="I43" s="138"/>
      <c r="J43" s="138"/>
      <c r="K43" s="138"/>
      <c r="L43" s="22"/>
      <c r="P43" s="431"/>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43" t="str">
        <f>"Gráfico N° 7: Participación de las RER en la Matriz de Generación del SEIN en "&amp;'1. Resumen'!Q4&amp;" "&amp;'1. Resumen'!Q5&amp;"."</f>
        <v>Gráfico N° 7: Participación de las RER en la Matriz de Generación del SEIN en enero 2019.</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4311417322834645" bottom="0.62992125984251968" header="0.31496062992125984" footer="0.31496062992125984"/>
  <pageSetup paperSize="9" scale="95" orientation="portrait" r:id="rId1"/>
  <headerFooter>
    <oddHeader>&amp;R&amp;7Informe de la Operación Mensual - Enero 2019
INFSGI-MES-01-2019
13/02/2019
Versión: 01</oddHeader>
    <oddFooter>&amp;L&amp;7COES, 2019&amp;C5&amp;R&amp;7Dirección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2:Y64"/>
  <sheetViews>
    <sheetView showGridLines="0" view="pageBreakPreview" topLeftCell="D1" zoomScale="130" zoomScaleNormal="100" zoomScaleSheetLayoutView="130" zoomScalePageLayoutView="160" workbookViewId="0">
      <selection activeCell="M24" sqref="M24"/>
    </sheetView>
  </sheetViews>
  <sheetFormatPr defaultColWidth="9.33203125" defaultRowHeight="11.25"/>
  <cols>
    <col min="1" max="11" width="10.33203125" customWidth="1"/>
    <col min="12" max="12" width="21.1640625" style="527" bestFit="1" customWidth="1"/>
    <col min="13" max="14" width="9.33203125" style="527"/>
    <col min="15" max="15" width="11.83203125" style="527" customWidth="1"/>
    <col min="16" max="19" width="9.33203125" style="527"/>
    <col min="20" max="20" width="15" style="527" customWidth="1"/>
    <col min="21" max="22" width="9.33203125" style="527"/>
  </cols>
  <sheetData>
    <row r="2" spans="1:25" ht="11.25" customHeight="1">
      <c r="A2" s="843" t="s">
        <v>259</v>
      </c>
      <c r="B2" s="843"/>
      <c r="C2" s="843"/>
      <c r="D2" s="843"/>
      <c r="E2" s="843"/>
      <c r="F2" s="843"/>
      <c r="G2" s="843"/>
      <c r="H2" s="843"/>
      <c r="I2" s="843"/>
      <c r="J2" s="843"/>
      <c r="K2" s="843"/>
    </row>
    <row r="3" spans="1:25" ht="11.25" customHeight="1"/>
    <row r="4" spans="1:25" ht="11.25" customHeight="1">
      <c r="L4" s="528" t="s">
        <v>56</v>
      </c>
      <c r="M4" s="529" t="s">
        <v>31</v>
      </c>
      <c r="N4" s="528"/>
      <c r="O4" s="530"/>
      <c r="P4" s="531"/>
      <c r="Q4" s="531"/>
    </row>
    <row r="5" spans="1:25" ht="11.25" customHeight="1">
      <c r="A5" s="149"/>
      <c r="B5" s="138"/>
      <c r="C5" s="138"/>
      <c r="D5" s="138"/>
      <c r="E5" s="138"/>
      <c r="F5" s="138"/>
      <c r="G5" s="138"/>
      <c r="H5" s="138"/>
      <c r="I5" s="138"/>
      <c r="J5" s="138"/>
      <c r="K5" s="138"/>
      <c r="L5" s="528"/>
      <c r="M5" s="529"/>
      <c r="N5" s="528"/>
      <c r="O5" s="528" t="s">
        <v>57</v>
      </c>
      <c r="P5" s="528" t="s">
        <v>58</v>
      </c>
      <c r="Q5" s="528"/>
      <c r="U5" s="527">
        <v>2019</v>
      </c>
      <c r="V5" s="527">
        <v>2018</v>
      </c>
    </row>
    <row r="6" spans="1:25" ht="11.25" customHeight="1">
      <c r="A6" s="111"/>
      <c r="B6" s="138"/>
      <c r="C6" s="138"/>
      <c r="D6" s="138"/>
      <c r="E6" s="138"/>
      <c r="F6" s="138"/>
      <c r="G6" s="138"/>
      <c r="H6" s="138"/>
      <c r="I6" s="138"/>
      <c r="J6" s="138"/>
      <c r="K6" s="138"/>
      <c r="L6" s="532" t="s">
        <v>59</v>
      </c>
      <c r="M6" s="532" t="s">
        <v>60</v>
      </c>
      <c r="N6" s="534">
        <v>19.966000000000001</v>
      </c>
      <c r="O6" s="533">
        <v>14.528373985</v>
      </c>
      <c r="P6" s="533">
        <v>0.97803187360717514</v>
      </c>
      <c r="Q6" s="533"/>
      <c r="S6" s="527" t="s">
        <v>60</v>
      </c>
      <c r="T6" s="527" t="s">
        <v>61</v>
      </c>
      <c r="U6" s="535">
        <v>1</v>
      </c>
      <c r="V6" s="535">
        <v>1</v>
      </c>
      <c r="X6" s="527"/>
      <c r="Y6" s="527"/>
    </row>
    <row r="7" spans="1:25" ht="11.25" customHeight="1">
      <c r="A7" s="136"/>
      <c r="B7" s="138"/>
      <c r="C7" s="138"/>
      <c r="D7" s="138"/>
      <c r="E7" s="138"/>
      <c r="F7" s="138"/>
      <c r="G7" s="138"/>
      <c r="H7" s="138"/>
      <c r="I7" s="138"/>
      <c r="J7" s="138"/>
      <c r="K7" s="138"/>
      <c r="L7" s="532" t="s">
        <v>62</v>
      </c>
      <c r="M7" s="532" t="s">
        <v>60</v>
      </c>
      <c r="N7" s="534">
        <v>19.966999999999999</v>
      </c>
      <c r="O7" s="533">
        <v>12.857864144999999</v>
      </c>
      <c r="P7" s="533">
        <v>0.86553190082183995</v>
      </c>
      <c r="Q7" s="533"/>
      <c r="T7" s="527" t="s">
        <v>59</v>
      </c>
      <c r="U7" s="535">
        <v>0.97803187360717514</v>
      </c>
      <c r="V7" s="535">
        <v>0.98981343520657294</v>
      </c>
      <c r="X7" s="527"/>
      <c r="Y7" s="527"/>
    </row>
    <row r="8" spans="1:25" ht="11.25" customHeight="1">
      <c r="A8" s="136"/>
      <c r="B8" s="138"/>
      <c r="C8" s="138"/>
      <c r="D8" s="138"/>
      <c r="E8" s="138"/>
      <c r="F8" s="138"/>
      <c r="G8" s="138"/>
      <c r="H8" s="138"/>
      <c r="I8" s="138"/>
      <c r="J8" s="138"/>
      <c r="K8" s="138"/>
      <c r="L8" s="532" t="s">
        <v>61</v>
      </c>
      <c r="M8" s="532" t="s">
        <v>60</v>
      </c>
      <c r="N8" s="534">
        <v>15</v>
      </c>
      <c r="O8" s="533">
        <v>12.711195619999998</v>
      </c>
      <c r="P8" s="533">
        <v>1.1389960232974909</v>
      </c>
      <c r="Q8" s="533"/>
      <c r="T8" s="527" t="s">
        <v>62</v>
      </c>
      <c r="U8" s="535">
        <v>0.86553190082183995</v>
      </c>
      <c r="V8" s="535">
        <v>0.84619365338330088</v>
      </c>
      <c r="X8" s="527"/>
      <c r="Y8" s="527"/>
    </row>
    <row r="9" spans="1:25" ht="11.25" customHeight="1">
      <c r="A9" s="136"/>
      <c r="B9" s="138"/>
      <c r="C9" s="138"/>
      <c r="D9" s="138"/>
      <c r="E9" s="138"/>
      <c r="F9" s="138"/>
      <c r="G9" s="138"/>
      <c r="H9" s="138"/>
      <c r="I9" s="138"/>
      <c r="J9" s="138"/>
      <c r="K9" s="138"/>
      <c r="L9" s="532" t="s">
        <v>65</v>
      </c>
      <c r="M9" s="693" t="s">
        <v>60</v>
      </c>
      <c r="N9" s="534">
        <v>19.899999999999999</v>
      </c>
      <c r="O9" s="533">
        <v>12.45674105</v>
      </c>
      <c r="P9" s="533">
        <v>0.84135334265413098</v>
      </c>
      <c r="Q9" s="533"/>
      <c r="T9" s="527" t="s">
        <v>64</v>
      </c>
      <c r="U9" s="535">
        <v>0.8420079090771514</v>
      </c>
      <c r="V9" s="535">
        <v>0.98919954829012868</v>
      </c>
      <c r="X9" s="527"/>
      <c r="Y9" s="527"/>
    </row>
    <row r="10" spans="1:25" ht="11.25" customHeight="1">
      <c r="A10" s="136"/>
      <c r="B10" s="138"/>
      <c r="C10" s="138"/>
      <c r="D10" s="138"/>
      <c r="E10" s="138"/>
      <c r="F10" s="138"/>
      <c r="G10" s="138"/>
      <c r="H10" s="138"/>
      <c r="I10" s="138"/>
      <c r="J10" s="138"/>
      <c r="K10" s="138"/>
      <c r="L10" s="532" t="s">
        <v>505</v>
      </c>
      <c r="M10" s="693" t="s">
        <v>60</v>
      </c>
      <c r="N10" s="534">
        <v>20</v>
      </c>
      <c r="O10" s="533">
        <v>11.887642335000001</v>
      </c>
      <c r="P10" s="533">
        <v>0.79890069455645163</v>
      </c>
      <c r="Q10" s="533"/>
      <c r="T10" s="527" t="s">
        <v>66</v>
      </c>
      <c r="U10" s="535">
        <v>0.84162179323323294</v>
      </c>
      <c r="V10" s="535">
        <v>0.87449363531868773</v>
      </c>
      <c r="X10" s="527"/>
      <c r="Y10" s="527"/>
    </row>
    <row r="11" spans="1:25" ht="11.25" customHeight="1">
      <c r="A11" s="136"/>
      <c r="B11" s="138"/>
      <c r="C11" s="138"/>
      <c r="D11" s="138"/>
      <c r="E11" s="138"/>
      <c r="F11" s="138"/>
      <c r="G11" s="138"/>
      <c r="H11" s="138"/>
      <c r="I11" s="138"/>
      <c r="J11" s="138"/>
      <c r="K11" s="138"/>
      <c r="L11" s="532" t="s">
        <v>586</v>
      </c>
      <c r="M11" s="693" t="s">
        <v>60</v>
      </c>
      <c r="N11" s="534">
        <v>20</v>
      </c>
      <c r="O11" s="533">
        <v>8.5214816824999993</v>
      </c>
      <c r="P11" s="533">
        <v>0.57268022059811829</v>
      </c>
      <c r="Q11" s="533"/>
      <c r="T11" s="527" t="s">
        <v>65</v>
      </c>
      <c r="U11" s="535">
        <v>0.84135334265413098</v>
      </c>
      <c r="V11" s="535">
        <v>0.47114445345004591</v>
      </c>
      <c r="X11" s="527"/>
      <c r="Y11" s="527"/>
    </row>
    <row r="12" spans="1:25" ht="11.25" customHeight="1">
      <c r="A12" s="136"/>
      <c r="B12" s="138"/>
      <c r="C12" s="138"/>
      <c r="D12" s="138"/>
      <c r="E12" s="138"/>
      <c r="F12" s="138"/>
      <c r="G12" s="138"/>
      <c r="H12" s="138"/>
      <c r="I12" s="138"/>
      <c r="J12" s="138"/>
      <c r="K12" s="138"/>
      <c r="L12" s="532" t="s">
        <v>63</v>
      </c>
      <c r="M12" s="532" t="s">
        <v>60</v>
      </c>
      <c r="N12" s="534">
        <v>19.1995</v>
      </c>
      <c r="O12" s="533">
        <v>8.5054386950000005</v>
      </c>
      <c r="P12" s="533">
        <v>0.59543432155631304</v>
      </c>
      <c r="Q12" s="533"/>
      <c r="T12" s="527" t="s">
        <v>67</v>
      </c>
      <c r="U12" s="535">
        <v>0.82893383310135915</v>
      </c>
      <c r="V12" s="535">
        <v>0.88438723015937992</v>
      </c>
      <c r="X12" s="527"/>
      <c r="Y12" s="527"/>
    </row>
    <row r="13" spans="1:25" ht="11.25" customHeight="1">
      <c r="A13" s="136"/>
      <c r="B13" s="138"/>
      <c r="C13" s="138"/>
      <c r="D13" s="138"/>
      <c r="E13" s="138"/>
      <c r="F13" s="138"/>
      <c r="G13" s="138"/>
      <c r="H13" s="138"/>
      <c r="I13" s="138"/>
      <c r="J13" s="138"/>
      <c r="K13" s="138"/>
      <c r="L13" s="532" t="s">
        <v>541</v>
      </c>
      <c r="M13" s="532" t="s">
        <v>60</v>
      </c>
      <c r="N13" s="534">
        <v>20.16</v>
      </c>
      <c r="O13" s="533">
        <v>6.499239675000001</v>
      </c>
      <c r="P13" s="533">
        <v>0.43331037686411933</v>
      </c>
      <c r="Q13" s="533"/>
      <c r="T13" s="527" t="s">
        <v>69</v>
      </c>
      <c r="U13" s="535">
        <v>0.82867517773292665</v>
      </c>
      <c r="V13" s="535">
        <v>0.79473984870880798</v>
      </c>
      <c r="X13" s="527"/>
      <c r="Y13" s="527"/>
    </row>
    <row r="14" spans="1:25" ht="11.25" customHeight="1">
      <c r="A14" s="136"/>
      <c r="B14" s="138"/>
      <c r="C14" s="138"/>
      <c r="D14" s="138"/>
      <c r="E14" s="138"/>
      <c r="F14" s="138"/>
      <c r="G14" s="138"/>
      <c r="H14" s="138"/>
      <c r="I14" s="138"/>
      <c r="J14" s="138"/>
      <c r="K14" s="138"/>
      <c r="L14" s="532" t="s">
        <v>539</v>
      </c>
      <c r="M14" s="532" t="s">
        <v>60</v>
      </c>
      <c r="N14" s="534">
        <v>20.16</v>
      </c>
      <c r="O14" s="533">
        <v>6.4023982275</v>
      </c>
      <c r="P14" s="533">
        <v>0.4268538671474974</v>
      </c>
      <c r="Q14" s="533"/>
      <c r="T14" s="527" t="s">
        <v>76</v>
      </c>
      <c r="U14" s="535">
        <v>0.82693163199982644</v>
      </c>
      <c r="V14" s="535">
        <v>0.41320462691430437</v>
      </c>
      <c r="X14" s="527"/>
      <c r="Y14" s="527"/>
    </row>
    <row r="15" spans="1:25" ht="11.25" customHeight="1">
      <c r="A15" s="136"/>
      <c r="B15" s="138"/>
      <c r="C15" s="138"/>
      <c r="D15" s="138"/>
      <c r="E15" s="138"/>
      <c r="F15" s="138"/>
      <c r="G15" s="138"/>
      <c r="H15" s="138"/>
      <c r="I15" s="138"/>
      <c r="J15" s="138"/>
      <c r="K15" s="138"/>
      <c r="L15" s="532" t="s">
        <v>66</v>
      </c>
      <c r="M15" s="532" t="s">
        <v>60</v>
      </c>
      <c r="N15" s="534">
        <v>10.222</v>
      </c>
      <c r="O15" s="533">
        <v>6.4006751299999998</v>
      </c>
      <c r="P15" s="533">
        <v>0.84162179323323294</v>
      </c>
      <c r="Q15" s="533"/>
      <c r="T15" s="527" t="s">
        <v>70</v>
      </c>
      <c r="U15" s="535">
        <v>0.819160836756329</v>
      </c>
      <c r="V15" s="535">
        <v>0.76255711593128173</v>
      </c>
      <c r="X15" s="527"/>
      <c r="Y15" s="527"/>
    </row>
    <row r="16" spans="1:25" ht="11.25" customHeight="1">
      <c r="A16" s="136"/>
      <c r="B16" s="138"/>
      <c r="C16" s="138"/>
      <c r="D16" s="138"/>
      <c r="E16" s="138"/>
      <c r="F16" s="138"/>
      <c r="G16" s="138"/>
      <c r="H16" s="138"/>
      <c r="I16" s="138"/>
      <c r="J16" s="138"/>
      <c r="K16" s="138"/>
      <c r="L16" s="532" t="s">
        <v>64</v>
      </c>
      <c r="M16" s="532" t="s">
        <v>60</v>
      </c>
      <c r="N16" s="534">
        <v>9.9830000000000005</v>
      </c>
      <c r="O16" s="533">
        <v>6.2538891274999999</v>
      </c>
      <c r="P16" s="533">
        <v>0.8420079090771514</v>
      </c>
      <c r="Q16" s="533"/>
      <c r="T16" s="527" t="s">
        <v>75</v>
      </c>
      <c r="U16" s="535">
        <v>0.79966531461471979</v>
      </c>
      <c r="V16" s="535">
        <v>0.80176324884792627</v>
      </c>
      <c r="X16" s="527"/>
      <c r="Y16" s="527"/>
    </row>
    <row r="17" spans="1:25" ht="11.25" customHeight="1">
      <c r="A17" s="136"/>
      <c r="B17" s="138"/>
      <c r="C17" s="138"/>
      <c r="D17" s="138"/>
      <c r="E17" s="138"/>
      <c r="F17" s="138"/>
      <c r="G17" s="138"/>
      <c r="H17" s="138"/>
      <c r="I17" s="138"/>
      <c r="J17" s="138"/>
      <c r="K17" s="138"/>
      <c r="L17" s="532" t="s">
        <v>540</v>
      </c>
      <c r="M17" s="532" t="s">
        <v>60</v>
      </c>
      <c r="N17" s="534">
        <v>20.16</v>
      </c>
      <c r="O17" s="533">
        <v>6.1684928875000002</v>
      </c>
      <c r="P17" s="533">
        <v>0.41125917975417092</v>
      </c>
      <c r="Q17" s="533"/>
      <c r="T17" s="527" t="s">
        <v>505</v>
      </c>
      <c r="U17" s="535">
        <v>0.79890069455645163</v>
      </c>
      <c r="V17" s="535"/>
      <c r="X17" s="527"/>
      <c r="Y17" s="527"/>
    </row>
    <row r="18" spans="1:25">
      <c r="A18" s="136"/>
      <c r="B18" s="138"/>
      <c r="C18" s="138"/>
      <c r="D18" s="138"/>
      <c r="E18" s="138"/>
      <c r="F18" s="138"/>
      <c r="G18" s="138"/>
      <c r="H18" s="138"/>
      <c r="I18" s="138"/>
      <c r="J18" s="138"/>
      <c r="K18" s="138"/>
      <c r="L18" s="532" t="s">
        <v>67</v>
      </c>
      <c r="M18" s="532" t="s">
        <v>60</v>
      </c>
      <c r="N18" s="534">
        <v>9.85</v>
      </c>
      <c r="O18" s="533">
        <v>6.0747587025000005</v>
      </c>
      <c r="P18" s="533">
        <v>0.82893383310135915</v>
      </c>
      <c r="Q18" s="533"/>
      <c r="T18" s="527" t="s">
        <v>73</v>
      </c>
      <c r="U18" s="535">
        <v>0.7686757872503841</v>
      </c>
      <c r="V18" s="535">
        <v>0.70594234297661729</v>
      </c>
      <c r="X18" s="527"/>
      <c r="Y18" s="527"/>
    </row>
    <row r="19" spans="1:25">
      <c r="A19" s="136"/>
      <c r="B19" s="138"/>
      <c r="C19" s="138"/>
      <c r="D19" s="138"/>
      <c r="E19" s="138"/>
      <c r="F19" s="138"/>
      <c r="G19" s="138"/>
      <c r="H19" s="138"/>
      <c r="I19" s="138"/>
      <c r="J19" s="138"/>
      <c r="K19" s="138"/>
      <c r="L19" s="532" t="s">
        <v>69</v>
      </c>
      <c r="M19" s="532" t="s">
        <v>60</v>
      </c>
      <c r="N19" s="534">
        <v>7.4240000000000004</v>
      </c>
      <c r="O19" s="533">
        <v>4.5771508824999998</v>
      </c>
      <c r="P19" s="533">
        <v>0.82867517773292665</v>
      </c>
      <c r="Q19" s="533"/>
      <c r="T19" s="527" t="s">
        <v>68</v>
      </c>
      <c r="U19" s="535">
        <v>0.76246089785640403</v>
      </c>
      <c r="V19" s="535">
        <v>0.79977283428720103</v>
      </c>
      <c r="X19" s="527"/>
      <c r="Y19" s="527"/>
    </row>
    <row r="20" spans="1:25">
      <c r="A20" s="136"/>
      <c r="B20" s="138"/>
      <c r="C20" s="138"/>
      <c r="D20" s="138"/>
      <c r="E20" s="138"/>
      <c r="F20" s="138"/>
      <c r="G20" s="138"/>
      <c r="H20" s="138"/>
      <c r="I20" s="138"/>
      <c r="J20" s="138"/>
      <c r="K20" s="138"/>
      <c r="L20" s="532" t="s">
        <v>68</v>
      </c>
      <c r="M20" s="532" t="s">
        <v>60</v>
      </c>
      <c r="N20" s="534">
        <v>7.7450000000000001</v>
      </c>
      <c r="O20" s="533">
        <v>4.3935131824999996</v>
      </c>
      <c r="P20" s="533">
        <v>0.76246089785640403</v>
      </c>
      <c r="Q20" s="533"/>
      <c r="T20" s="527" t="s">
        <v>74</v>
      </c>
      <c r="U20" s="535">
        <v>0.71884288870349777</v>
      </c>
      <c r="V20" s="535">
        <v>0.97516020887405752</v>
      </c>
      <c r="X20" s="527"/>
      <c r="Y20" s="527"/>
    </row>
    <row r="21" spans="1:25">
      <c r="A21" s="136"/>
      <c r="B21" s="138"/>
      <c r="C21" s="138"/>
      <c r="D21" s="138"/>
      <c r="E21" s="138"/>
      <c r="F21" s="138"/>
      <c r="G21" s="138"/>
      <c r="H21" s="138"/>
      <c r="I21" s="138"/>
      <c r="J21" s="138"/>
      <c r="K21" s="138"/>
      <c r="L21" s="532" t="s">
        <v>70</v>
      </c>
      <c r="M21" s="532" t="s">
        <v>60</v>
      </c>
      <c r="N21" s="534">
        <v>6.9580000000000002</v>
      </c>
      <c r="O21" s="533">
        <v>4.2405925</v>
      </c>
      <c r="P21" s="533">
        <v>0.819160836756329</v>
      </c>
      <c r="Q21" s="533"/>
      <c r="T21" s="527" t="s">
        <v>72</v>
      </c>
      <c r="U21" s="535">
        <v>0.67926484529929931</v>
      </c>
      <c r="V21" s="535">
        <v>0.79723141587419977</v>
      </c>
      <c r="X21" s="527"/>
      <c r="Y21" s="527"/>
    </row>
    <row r="22" spans="1:25">
      <c r="A22" s="136"/>
      <c r="B22" s="138"/>
      <c r="C22" s="138"/>
      <c r="D22" s="138"/>
      <c r="E22" s="138"/>
      <c r="F22" s="138"/>
      <c r="G22" s="138"/>
      <c r="H22" s="138"/>
      <c r="I22" s="138"/>
      <c r="J22" s="138"/>
      <c r="K22" s="138"/>
      <c r="L22" s="532" t="s">
        <v>73</v>
      </c>
      <c r="M22" s="532" t="s">
        <v>60</v>
      </c>
      <c r="N22" s="534">
        <v>5.67</v>
      </c>
      <c r="O22" s="533">
        <v>3.2426434349999997</v>
      </c>
      <c r="P22" s="533">
        <v>0.7686757872503841</v>
      </c>
      <c r="Q22" s="533"/>
      <c r="T22" s="527" t="s">
        <v>63</v>
      </c>
      <c r="U22" s="535">
        <v>0.59543432155631304</v>
      </c>
      <c r="V22" s="535">
        <v>0.7653847605496753</v>
      </c>
      <c r="X22" s="527"/>
      <c r="Y22" s="527"/>
    </row>
    <row r="23" spans="1:25">
      <c r="A23" s="136"/>
      <c r="B23" s="138"/>
      <c r="C23" s="138"/>
      <c r="D23" s="138"/>
      <c r="E23" s="138"/>
      <c r="F23" s="138"/>
      <c r="G23" s="138"/>
      <c r="H23" s="138"/>
      <c r="I23" s="138"/>
      <c r="J23" s="138"/>
      <c r="K23" s="138"/>
      <c r="L23" s="532" t="s">
        <v>72</v>
      </c>
      <c r="M23" s="532" t="s">
        <v>60</v>
      </c>
      <c r="N23" s="534">
        <v>5.1890000000000001</v>
      </c>
      <c r="O23" s="533">
        <v>2.6223807299999997</v>
      </c>
      <c r="P23" s="533">
        <v>0.67926484529929931</v>
      </c>
      <c r="Q23" s="533"/>
      <c r="T23" s="527" t="s">
        <v>586</v>
      </c>
      <c r="U23" s="535">
        <v>0.57268022059811829</v>
      </c>
      <c r="V23" s="535"/>
      <c r="X23" s="527"/>
      <c r="Y23" s="527"/>
    </row>
    <row r="24" spans="1:25">
      <c r="A24" s="136"/>
      <c r="B24" s="138"/>
      <c r="C24" s="138"/>
      <c r="D24" s="138"/>
      <c r="E24" s="138"/>
      <c r="F24" s="138"/>
      <c r="G24" s="138"/>
      <c r="H24" s="138"/>
      <c r="I24" s="138"/>
      <c r="J24" s="138"/>
      <c r="K24" s="138"/>
      <c r="L24" s="532" t="s">
        <v>71</v>
      </c>
      <c r="M24" s="532" t="s">
        <v>60</v>
      </c>
      <c r="N24" s="534">
        <v>9.5660000000000007</v>
      </c>
      <c r="O24" s="533">
        <v>2.5477262899999999</v>
      </c>
      <c r="P24" s="533">
        <v>0.35797232835153175</v>
      </c>
      <c r="Q24" s="533"/>
      <c r="T24" s="527" t="s">
        <v>541</v>
      </c>
      <c r="U24" s="535">
        <v>0.43331037686411933</v>
      </c>
      <c r="V24" s="535"/>
      <c r="X24" s="527"/>
      <c r="Y24" s="527"/>
    </row>
    <row r="25" spans="1:25">
      <c r="A25" s="136"/>
      <c r="B25" s="138"/>
      <c r="C25" s="138"/>
      <c r="D25" s="138"/>
      <c r="E25" s="138"/>
      <c r="F25" s="138"/>
      <c r="G25" s="138"/>
      <c r="H25" s="138"/>
      <c r="I25" s="138"/>
      <c r="J25" s="138"/>
      <c r="K25" s="138"/>
      <c r="L25" s="532" t="s">
        <v>76</v>
      </c>
      <c r="M25" s="532" t="s">
        <v>60</v>
      </c>
      <c r="N25" s="534">
        <v>3.964</v>
      </c>
      <c r="O25" s="533">
        <v>2.4388000000000001</v>
      </c>
      <c r="P25" s="533">
        <v>0.82693163199982644</v>
      </c>
      <c r="Q25" s="533"/>
      <c r="T25" s="527" t="s">
        <v>539</v>
      </c>
      <c r="U25" s="535">
        <v>0.4268538671474974</v>
      </c>
      <c r="V25" s="535"/>
      <c r="X25" s="527"/>
      <c r="Y25" s="527"/>
    </row>
    <row r="26" spans="1:25">
      <c r="A26" s="136"/>
      <c r="B26" s="138"/>
      <c r="C26" s="138"/>
      <c r="D26" s="138"/>
      <c r="E26" s="138"/>
      <c r="F26" s="138"/>
      <c r="G26" s="138"/>
      <c r="H26" s="138"/>
      <c r="I26" s="138"/>
      <c r="J26" s="138"/>
      <c r="K26" s="138"/>
      <c r="L26" s="532" t="s">
        <v>75</v>
      </c>
      <c r="M26" s="532" t="s">
        <v>60</v>
      </c>
      <c r="N26" s="534">
        <v>3.91621</v>
      </c>
      <c r="O26" s="533">
        <v>2.3299530325000002</v>
      </c>
      <c r="P26" s="533">
        <v>0.79966531461471979</v>
      </c>
      <c r="Q26" s="533"/>
      <c r="T26" s="527" t="s">
        <v>540</v>
      </c>
      <c r="U26" s="535">
        <v>0.41125917975417092</v>
      </c>
      <c r="V26" s="535"/>
      <c r="X26" s="527"/>
      <c r="Y26" s="527"/>
    </row>
    <row r="27" spans="1:25">
      <c r="A27" s="136"/>
      <c r="B27" s="138"/>
      <c r="C27" s="138"/>
      <c r="D27" s="138"/>
      <c r="E27" s="138"/>
      <c r="F27" s="138"/>
      <c r="G27" s="138"/>
      <c r="H27" s="138"/>
      <c r="I27" s="138"/>
      <c r="J27" s="138"/>
      <c r="K27" s="138"/>
      <c r="L27" s="532" t="s">
        <v>74</v>
      </c>
      <c r="M27" s="532" t="s">
        <v>60</v>
      </c>
      <c r="N27" s="534">
        <v>3.48</v>
      </c>
      <c r="O27" s="533">
        <v>1.8611704999999998</v>
      </c>
      <c r="P27" s="533">
        <v>0.71884288870349777</v>
      </c>
      <c r="Q27" s="533"/>
      <c r="T27" s="527" t="s">
        <v>71</v>
      </c>
      <c r="U27" s="535">
        <v>0.35797232835153175</v>
      </c>
      <c r="V27" s="535">
        <v>0.50772054667925082</v>
      </c>
      <c r="X27" s="527"/>
      <c r="Y27" s="527"/>
    </row>
    <row r="28" spans="1:25">
      <c r="A28" s="136"/>
      <c r="B28" s="138"/>
      <c r="C28" s="138"/>
      <c r="D28" s="138"/>
      <c r="E28" s="138"/>
      <c r="F28" s="138"/>
      <c r="G28" s="138"/>
      <c r="H28" s="138"/>
      <c r="I28" s="138"/>
      <c r="J28" s="138"/>
      <c r="K28" s="138"/>
      <c r="L28" s="532" t="s">
        <v>638</v>
      </c>
      <c r="M28" s="532" t="s">
        <v>60</v>
      </c>
      <c r="N28" s="534">
        <v>6.6</v>
      </c>
      <c r="O28" s="533">
        <v>0.3694605225</v>
      </c>
      <c r="P28" s="533">
        <v>7.5240412695503425E-2</v>
      </c>
      <c r="Q28" s="533"/>
      <c r="T28" s="527" t="s">
        <v>77</v>
      </c>
      <c r="U28" s="535">
        <v>0.21215425661221318</v>
      </c>
      <c r="V28" s="535">
        <v>0.2982518265303058</v>
      </c>
      <c r="X28" s="527"/>
      <c r="Y28" s="527"/>
    </row>
    <row r="29" spans="1:25">
      <c r="A29" s="136"/>
      <c r="B29" s="138"/>
      <c r="C29" s="138"/>
      <c r="D29" s="138"/>
      <c r="E29" s="138"/>
      <c r="F29" s="138"/>
      <c r="G29" s="138"/>
      <c r="H29" s="138"/>
      <c r="I29" s="138"/>
      <c r="J29" s="138"/>
      <c r="K29" s="138"/>
      <c r="L29" s="532" t="s">
        <v>77</v>
      </c>
      <c r="M29" s="532" t="s">
        <v>60</v>
      </c>
      <c r="N29" s="534">
        <v>1.714</v>
      </c>
      <c r="O29" s="533">
        <v>0.2705425025</v>
      </c>
      <c r="P29" s="533">
        <v>0.21215425661221318</v>
      </c>
      <c r="Q29" s="533"/>
      <c r="T29" s="527" t="s">
        <v>542</v>
      </c>
      <c r="U29" s="535">
        <v>0.13490155049923194</v>
      </c>
      <c r="V29" s="535"/>
      <c r="X29" s="527"/>
      <c r="Y29" s="527"/>
    </row>
    <row r="30" spans="1:25">
      <c r="A30" s="136"/>
      <c r="B30" s="138"/>
      <c r="C30" s="138"/>
      <c r="D30" s="138"/>
      <c r="E30" s="138"/>
      <c r="F30" s="138"/>
      <c r="G30" s="138"/>
      <c r="H30" s="138"/>
      <c r="I30" s="138"/>
      <c r="J30" s="138"/>
      <c r="K30" s="138"/>
      <c r="L30" s="532" t="s">
        <v>542</v>
      </c>
      <c r="M30" s="532" t="s">
        <v>60</v>
      </c>
      <c r="N30" s="534">
        <v>0.7</v>
      </c>
      <c r="O30" s="533">
        <v>7.0256727499999991E-2</v>
      </c>
      <c r="P30" s="533">
        <v>0.13490155049923194</v>
      </c>
      <c r="Q30" s="533"/>
      <c r="T30" s="527" t="s">
        <v>638</v>
      </c>
      <c r="U30" s="535">
        <v>7.5240412695503425E-2</v>
      </c>
      <c r="V30" s="535"/>
      <c r="X30" s="527"/>
      <c r="Y30" s="527"/>
    </row>
    <row r="31" spans="1:25">
      <c r="A31" s="136"/>
      <c r="B31" s="138"/>
      <c r="C31" s="138"/>
      <c r="D31" s="138"/>
      <c r="E31" s="138"/>
      <c r="F31" s="138"/>
      <c r="G31" s="138"/>
      <c r="H31" s="138"/>
      <c r="I31" s="138"/>
      <c r="J31" s="138"/>
      <c r="K31" s="138"/>
      <c r="L31" s="532" t="s">
        <v>639</v>
      </c>
      <c r="M31" s="532" t="s">
        <v>79</v>
      </c>
      <c r="N31" s="534">
        <v>132.30000000000001</v>
      </c>
      <c r="O31" s="533">
        <v>39.2697201075</v>
      </c>
      <c r="P31" s="533">
        <v>0.39895602316643497</v>
      </c>
      <c r="Q31" s="533"/>
      <c r="S31" s="527" t="s">
        <v>79</v>
      </c>
      <c r="T31" s="527" t="s">
        <v>78</v>
      </c>
      <c r="U31" s="535">
        <v>0.41343992084211861</v>
      </c>
      <c r="V31" s="535">
        <v>0.53754382339235141</v>
      </c>
      <c r="X31" s="527"/>
      <c r="Y31" s="527"/>
    </row>
    <row r="32" spans="1:25">
      <c r="A32" s="136"/>
      <c r="B32" s="138"/>
      <c r="C32" s="138"/>
      <c r="D32" s="138"/>
      <c r="E32" s="138"/>
      <c r="F32" s="138"/>
      <c r="G32" s="138"/>
      <c r="H32" s="138"/>
      <c r="I32" s="138"/>
      <c r="J32" s="138"/>
      <c r="K32" s="138"/>
      <c r="L32" s="532" t="s">
        <v>78</v>
      </c>
      <c r="M32" s="532" t="s">
        <v>79</v>
      </c>
      <c r="N32" s="534">
        <v>97.15</v>
      </c>
      <c r="O32" s="533">
        <v>29.883272102499998</v>
      </c>
      <c r="P32" s="533">
        <v>0.41343992084211861</v>
      </c>
      <c r="Q32" s="533"/>
      <c r="T32" s="527" t="s">
        <v>639</v>
      </c>
      <c r="U32" s="535">
        <v>0.39895602316643497</v>
      </c>
      <c r="V32" s="535"/>
      <c r="X32" s="527"/>
      <c r="Y32" s="527"/>
    </row>
    <row r="33" spans="1:25">
      <c r="A33" s="136"/>
      <c r="B33" s="138"/>
      <c r="C33" s="138"/>
      <c r="D33" s="138"/>
      <c r="E33" s="138"/>
      <c r="F33" s="138"/>
      <c r="G33" s="138"/>
      <c r="H33" s="138"/>
      <c r="I33" s="138"/>
      <c r="J33" s="138"/>
      <c r="K33" s="138"/>
      <c r="L33" s="532" t="s">
        <v>80</v>
      </c>
      <c r="M33" s="532" t="s">
        <v>79</v>
      </c>
      <c r="N33" s="534">
        <v>83.15</v>
      </c>
      <c r="O33" s="533">
        <v>24.544796729999998</v>
      </c>
      <c r="P33" s="533">
        <v>0.39675668292824851</v>
      </c>
      <c r="Q33" s="533"/>
      <c r="T33" s="527" t="s">
        <v>80</v>
      </c>
      <c r="U33" s="535">
        <v>0.39675668292824851</v>
      </c>
      <c r="V33" s="535">
        <v>0.43750069433674521</v>
      </c>
      <c r="X33" s="527"/>
      <c r="Y33" s="527"/>
    </row>
    <row r="34" spans="1:25">
      <c r="B34" s="138"/>
      <c r="C34" s="138"/>
      <c r="D34" s="138"/>
      <c r="E34" s="138"/>
      <c r="F34" s="138"/>
      <c r="G34" s="138"/>
      <c r="H34" s="138"/>
      <c r="I34" s="138"/>
      <c r="J34" s="138"/>
      <c r="K34" s="138"/>
      <c r="L34" s="532" t="s">
        <v>81</v>
      </c>
      <c r="M34" s="532" t="s">
        <v>79</v>
      </c>
      <c r="N34" s="534">
        <v>32</v>
      </c>
      <c r="O34" s="533">
        <v>9.4312920825000006</v>
      </c>
      <c r="P34" s="533">
        <v>0.39613962040070566</v>
      </c>
      <c r="Q34" s="533"/>
      <c r="T34" s="527" t="s">
        <v>81</v>
      </c>
      <c r="U34" s="535">
        <v>0.39613962040070566</v>
      </c>
      <c r="V34" s="535">
        <v>0.46171691322244618</v>
      </c>
      <c r="X34" s="527"/>
      <c r="Y34" s="527"/>
    </row>
    <row r="35" spans="1:25">
      <c r="A35" s="136"/>
      <c r="B35" s="138"/>
      <c r="C35" s="138"/>
      <c r="D35" s="138"/>
      <c r="E35" s="138"/>
      <c r="F35" s="138"/>
      <c r="G35" s="138"/>
      <c r="H35" s="138"/>
      <c r="I35" s="138"/>
      <c r="J35" s="138"/>
      <c r="K35" s="138"/>
      <c r="L35" s="532" t="s">
        <v>82</v>
      </c>
      <c r="M35" s="532" t="s">
        <v>79</v>
      </c>
      <c r="N35" s="534">
        <v>30.86</v>
      </c>
      <c r="O35" s="533">
        <v>6.9867076600000004</v>
      </c>
      <c r="P35" s="533">
        <v>0.30430123467759357</v>
      </c>
      <c r="Q35" s="533"/>
      <c r="T35" s="527" t="s">
        <v>82</v>
      </c>
      <c r="U35" s="535">
        <v>0.30430123467759357</v>
      </c>
      <c r="V35" s="535">
        <v>0.45348152914796258</v>
      </c>
      <c r="X35" s="527"/>
      <c r="Y35" s="527"/>
    </row>
    <row r="36" spans="1:25">
      <c r="A36" s="136"/>
      <c r="B36" s="138"/>
      <c r="C36" s="138"/>
      <c r="D36" s="138"/>
      <c r="E36" s="138"/>
      <c r="F36" s="138"/>
      <c r="G36" s="138"/>
      <c r="H36" s="138"/>
      <c r="I36" s="138"/>
      <c r="J36" s="138"/>
      <c r="K36" s="138"/>
      <c r="L36" s="532" t="s">
        <v>640</v>
      </c>
      <c r="M36" s="532" t="s">
        <v>83</v>
      </c>
      <c r="N36" s="534">
        <v>144.47999999999999</v>
      </c>
      <c r="O36" s="533">
        <v>30.815854310000002</v>
      </c>
      <c r="P36" s="533">
        <v>0.28667745721772708</v>
      </c>
      <c r="Q36" s="533"/>
      <c r="S36" s="527" t="s">
        <v>83</v>
      </c>
      <c r="T36" s="527" t="s">
        <v>640</v>
      </c>
      <c r="U36" s="535">
        <v>0.28667745721772708</v>
      </c>
      <c r="V36" s="535">
        <v>0.35774847729789594</v>
      </c>
      <c r="X36" s="527"/>
      <c r="Y36" s="527"/>
    </row>
    <row r="37" spans="1:25">
      <c r="A37" s="136"/>
      <c r="B37" s="138"/>
      <c r="C37" s="138"/>
      <c r="D37" s="138"/>
      <c r="E37" s="138"/>
      <c r="F37" s="138"/>
      <c r="G37" s="138"/>
      <c r="H37" s="138"/>
      <c r="I37" s="138"/>
      <c r="J37" s="138"/>
      <c r="K37" s="138"/>
      <c r="L37" s="532" t="s">
        <v>641</v>
      </c>
      <c r="M37" s="532" t="s">
        <v>83</v>
      </c>
      <c r="N37" s="534">
        <v>44.54</v>
      </c>
      <c r="O37" s="533">
        <v>7.2850010625000001</v>
      </c>
      <c r="P37" s="533">
        <v>0.21983987639780117</v>
      </c>
      <c r="Q37" s="533"/>
      <c r="T37" s="527" t="s">
        <v>646</v>
      </c>
      <c r="U37" s="535">
        <v>0.28058667296706991</v>
      </c>
      <c r="V37" s="535">
        <v>0.34779832745295697</v>
      </c>
    </row>
    <row r="38" spans="1:25" ht="11.25" customHeight="1">
      <c r="A38" s="136"/>
      <c r="B38" s="138"/>
      <c r="C38" s="138"/>
      <c r="D38" s="138"/>
      <c r="E38" s="138"/>
      <c r="F38" s="138"/>
      <c r="G38" s="138"/>
      <c r="H38" s="138"/>
      <c r="I38" s="138"/>
      <c r="J38" s="138"/>
      <c r="K38" s="138"/>
      <c r="L38" s="536" t="s">
        <v>642</v>
      </c>
      <c r="M38" s="694" t="s">
        <v>83</v>
      </c>
      <c r="N38" s="534">
        <v>20</v>
      </c>
      <c r="O38" s="533">
        <v>4.15737194</v>
      </c>
      <c r="P38" s="533">
        <v>0.27939327553763443</v>
      </c>
      <c r="Q38" s="536"/>
      <c r="T38" s="527" t="s">
        <v>642</v>
      </c>
      <c r="U38" s="535">
        <v>0.27939327553763443</v>
      </c>
      <c r="V38" s="535">
        <v>0.32647578965053764</v>
      </c>
    </row>
    <row r="39" spans="1:25">
      <c r="A39" s="136"/>
      <c r="B39" s="138"/>
      <c r="C39" s="138"/>
      <c r="D39" s="138"/>
      <c r="E39" s="138"/>
      <c r="F39" s="138"/>
      <c r="G39" s="138"/>
      <c r="H39" s="138"/>
      <c r="I39" s="138"/>
      <c r="J39" s="138"/>
      <c r="K39" s="138"/>
      <c r="L39" s="527" t="s">
        <v>643</v>
      </c>
      <c r="M39" s="695" t="s">
        <v>83</v>
      </c>
      <c r="N39" s="534">
        <v>20</v>
      </c>
      <c r="O39" s="533">
        <v>3.6655805725000001</v>
      </c>
      <c r="P39" s="533">
        <v>0.24634278040994623</v>
      </c>
      <c r="T39" s="527" t="s">
        <v>643</v>
      </c>
      <c r="U39" s="535">
        <v>0.24634278040994623</v>
      </c>
      <c r="V39" s="535">
        <v>0.25962512852822583</v>
      </c>
    </row>
    <row r="40" spans="1:25">
      <c r="A40" s="136"/>
      <c r="B40" s="138"/>
      <c r="C40" s="138"/>
      <c r="D40" s="138"/>
      <c r="E40" s="138"/>
      <c r="F40" s="138"/>
      <c r="G40" s="138"/>
      <c r="H40" s="138"/>
      <c r="I40" s="138"/>
      <c r="J40" s="138"/>
      <c r="K40" s="138"/>
      <c r="L40" s="527" t="s">
        <v>644</v>
      </c>
      <c r="M40" s="695" t="s">
        <v>83</v>
      </c>
      <c r="N40" s="534">
        <v>20</v>
      </c>
      <c r="O40" s="533">
        <v>3.6369701074999998</v>
      </c>
      <c r="P40" s="533">
        <v>0.24442003410618279</v>
      </c>
      <c r="T40" s="527" t="s">
        <v>644</v>
      </c>
      <c r="U40" s="535">
        <v>0.24442003410618279</v>
      </c>
      <c r="V40" s="535">
        <v>0.30916024865591402</v>
      </c>
    </row>
    <row r="41" spans="1:25">
      <c r="A41" s="136"/>
      <c r="B41" s="138"/>
      <c r="C41" s="138"/>
      <c r="D41" s="138"/>
      <c r="E41" s="138"/>
      <c r="F41" s="138"/>
      <c r="G41" s="138"/>
      <c r="H41" s="138"/>
      <c r="I41" s="138"/>
      <c r="J41" s="138"/>
      <c r="K41" s="138"/>
      <c r="L41" s="527" t="s">
        <v>645</v>
      </c>
      <c r="M41" s="695" t="s">
        <v>83</v>
      </c>
      <c r="N41" s="534">
        <v>20</v>
      </c>
      <c r="O41" s="533">
        <v>3.3811016899999999</v>
      </c>
      <c r="P41" s="533">
        <v>0.22722457594086021</v>
      </c>
      <c r="T41" s="527" t="s">
        <v>645</v>
      </c>
      <c r="U41" s="535">
        <v>0.22722457594086021</v>
      </c>
      <c r="V41" s="535">
        <v>0.23000678763440863</v>
      </c>
    </row>
    <row r="42" spans="1:25">
      <c r="A42" s="136"/>
      <c r="B42" s="138"/>
      <c r="C42" s="138"/>
      <c r="D42" s="138"/>
      <c r="E42" s="138"/>
      <c r="F42" s="138"/>
      <c r="G42" s="138"/>
      <c r="H42" s="138"/>
      <c r="I42" s="138"/>
      <c r="J42" s="138"/>
      <c r="K42" s="138"/>
      <c r="L42" s="527" t="s">
        <v>646</v>
      </c>
      <c r="M42" s="527" t="s">
        <v>83</v>
      </c>
      <c r="N42" s="534">
        <v>16</v>
      </c>
      <c r="O42" s="533">
        <v>3.3401037549999999</v>
      </c>
      <c r="P42" s="533">
        <v>0.28058667296706991</v>
      </c>
      <c r="T42" s="527" t="s">
        <v>641</v>
      </c>
      <c r="U42" s="535">
        <v>0.21983987639780117</v>
      </c>
      <c r="V42" s="535"/>
    </row>
    <row r="43" spans="1:25" ht="26.25" customHeight="1">
      <c r="A43" s="840" t="str">
        <f>"Gráfico N° 8: Producción de energía eléctrica (GWh) y factor de planta de las centrales con recursos energético renovables por tipo de generación en "&amp;'1. Resumen'!Q4&amp;" "&amp;'1. Resumen'!Q5&amp;"."</f>
        <v>Gráfico N° 8: Producción de energía eléctrica (GWh) y factor de planta de las centrales con recursos energético renovables por tipo de generación en enero 2019.</v>
      </c>
      <c r="B43" s="840"/>
      <c r="C43" s="840"/>
      <c r="D43" s="840"/>
      <c r="E43" s="840"/>
      <c r="F43" s="840"/>
      <c r="G43" s="840"/>
      <c r="H43" s="840"/>
      <c r="I43" s="840"/>
      <c r="J43" s="840"/>
      <c r="K43" s="840"/>
      <c r="L43" s="527" t="s">
        <v>647</v>
      </c>
      <c r="M43" s="527" t="s">
        <v>494</v>
      </c>
      <c r="N43" s="534">
        <v>12.74105</v>
      </c>
      <c r="O43" s="533">
        <v>7.0158673500000006</v>
      </c>
      <c r="P43" s="533">
        <v>0.74012182935244497</v>
      </c>
      <c r="S43" s="527" t="s">
        <v>258</v>
      </c>
      <c r="T43" s="527" t="s">
        <v>87</v>
      </c>
      <c r="U43" s="535">
        <v>0.97499809699492312</v>
      </c>
      <c r="V43" s="535">
        <v>0.9419528528699076</v>
      </c>
    </row>
    <row r="44" spans="1:25">
      <c r="A44" s="136"/>
      <c r="B44" s="138"/>
      <c r="C44" s="138"/>
      <c r="D44" s="138"/>
      <c r="E44" s="138"/>
      <c r="F44" s="138"/>
      <c r="G44" s="138"/>
      <c r="H44" s="138"/>
      <c r="I44" s="138"/>
      <c r="J44" s="138"/>
      <c r="K44" s="138"/>
      <c r="L44" s="527" t="s">
        <v>87</v>
      </c>
      <c r="M44" s="527" t="s">
        <v>494</v>
      </c>
      <c r="N44" s="534">
        <v>4.2625000000000002</v>
      </c>
      <c r="O44" s="533">
        <v>3.0920114650000001</v>
      </c>
      <c r="P44" s="533">
        <v>0.97499809699492312</v>
      </c>
      <c r="T44" s="527" t="s">
        <v>88</v>
      </c>
      <c r="U44" s="535">
        <v>0.89670617242962258</v>
      </c>
      <c r="V44" s="535">
        <v>0.42419216609127197</v>
      </c>
    </row>
    <row r="45" spans="1:25" ht="12">
      <c r="A45" s="136"/>
      <c r="B45" s="138"/>
      <c r="C45" s="844" t="str">
        <f>"Factor de planta de las centrales RER  Acumulado al "&amp;'1. Resumen'!Q7&amp;" de "&amp;'1. Resumen'!Q4</f>
        <v>Factor de planta de las centrales RER  Acumulado al 31 de enero</v>
      </c>
      <c r="D45" s="844"/>
      <c r="E45" s="844"/>
      <c r="F45" s="844"/>
      <c r="G45" s="844"/>
      <c r="H45" s="844"/>
      <c r="I45" s="844"/>
      <c r="J45" s="138"/>
      <c r="K45" s="138"/>
      <c r="L45" s="527" t="s">
        <v>88</v>
      </c>
      <c r="M45" s="527" t="s">
        <v>494</v>
      </c>
      <c r="N45" s="527">
        <v>2.9537</v>
      </c>
      <c r="O45" s="527">
        <v>1.9705591599999999</v>
      </c>
      <c r="P45" s="527">
        <v>0.89670617242962258</v>
      </c>
      <c r="T45" s="527" t="s">
        <v>647</v>
      </c>
      <c r="U45" s="535">
        <v>0.74012182935244497</v>
      </c>
      <c r="V45" s="535">
        <v>0.7270287391284036</v>
      </c>
    </row>
    <row r="46" spans="1:25">
      <c r="A46" s="136"/>
      <c r="B46" s="138"/>
      <c r="C46" s="138"/>
      <c r="D46" s="138"/>
      <c r="E46" s="138"/>
      <c r="F46" s="138"/>
      <c r="G46" s="138"/>
      <c r="H46" s="138"/>
      <c r="I46" s="138"/>
      <c r="J46" s="138"/>
      <c r="K46" s="138"/>
      <c r="L46" s="527" t="s">
        <v>648</v>
      </c>
      <c r="M46" s="527" t="s">
        <v>494</v>
      </c>
      <c r="N46" s="527">
        <v>2.4</v>
      </c>
      <c r="O46" s="527">
        <v>0.68664175000000005</v>
      </c>
      <c r="P46" s="527">
        <v>0.38454399081541218</v>
      </c>
      <c r="T46" s="527" t="s">
        <v>648</v>
      </c>
      <c r="U46" s="527">
        <v>0.38454399081541218</v>
      </c>
    </row>
    <row r="47" spans="1:25">
      <c r="A47" s="136"/>
      <c r="B47" s="138"/>
      <c r="C47" s="138"/>
      <c r="D47" s="138"/>
      <c r="E47" s="138"/>
      <c r="F47" s="138"/>
      <c r="G47" s="138"/>
      <c r="H47" s="138"/>
      <c r="I47" s="138"/>
      <c r="J47" s="138"/>
      <c r="K47" s="138"/>
    </row>
    <row r="48" spans="1:25">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B53" s="138"/>
      <c r="C53" s="138"/>
      <c r="D53" s="138"/>
      <c r="E53" s="138"/>
      <c r="F53" s="138"/>
      <c r="G53" s="138"/>
      <c r="H53" s="138"/>
      <c r="I53" s="138"/>
      <c r="J53" s="138"/>
      <c r="K53" s="138"/>
    </row>
    <row r="64" spans="1:11">
      <c r="A64" s="243" t="str">
        <f>"Gráfico N° 9: factor de planta de las centrales con recursos energético renovables en el SEIN en "&amp;'1. Resumen'!Q4&amp;"."</f>
        <v>Gráfico N° 9: factor de planta de las centrales con recursos energético renovables en el SEIN en enero.</v>
      </c>
    </row>
  </sheetData>
  <mergeCells count="3">
    <mergeCell ref="A43:K43"/>
    <mergeCell ref="A2:K2"/>
    <mergeCell ref="C45:I45"/>
  </mergeCells>
  <pageMargins left="0.70866141732283472" right="0.59055118110236227" top="1.4311417322834645" bottom="0.62992125984251968" header="0.31496062992125984" footer="0.31496062992125984"/>
  <pageSetup paperSize="9" scale="95" orientation="portrait" r:id="rId1"/>
  <headerFooter>
    <oddHeader>&amp;R&amp;7Informe de la Operación Mensual - Enero 2019
INFSGI-MES-01-2019
13/02/2019
Versión: 01</oddHeader>
    <oddFooter>&amp;L&amp;7COES, 2019&amp;C6&amp;R&amp;7Dirección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sheetPr>
  <dimension ref="A1:N72"/>
  <sheetViews>
    <sheetView showGridLines="0" view="pageBreakPreview" zoomScale="130" zoomScaleNormal="100" zoomScaleSheetLayoutView="130" zoomScalePageLayoutView="145" workbookViewId="0">
      <selection activeCell="M24" sqref="M24"/>
    </sheetView>
  </sheetViews>
  <sheetFormatPr defaultColWidth="9.33203125" defaultRowHeight="11.25"/>
  <cols>
    <col min="1" max="1" width="30.1640625" customWidth="1"/>
    <col min="2" max="3" width="9.5" bestFit="1" customWidth="1"/>
    <col min="4" max="4" width="10.1640625" bestFit="1" customWidth="1"/>
    <col min="10" max="10" width="9.33203125" customWidth="1"/>
    <col min="11" max="11" width="22.83203125" customWidth="1"/>
    <col min="12" max="12" width="19.1640625" customWidth="1"/>
    <col min="13" max="14" width="9.5" bestFit="1" customWidth="1"/>
  </cols>
  <sheetData>
    <row r="1" spans="1:14" ht="11.25" customHeight="1"/>
    <row r="2" spans="1:14" ht="11.25" customHeight="1">
      <c r="A2" s="841" t="s">
        <v>260</v>
      </c>
      <c r="B2" s="841"/>
      <c r="C2" s="841"/>
      <c r="D2" s="841"/>
      <c r="E2" s="841"/>
      <c r="F2" s="841"/>
      <c r="G2" s="841"/>
      <c r="H2" s="841"/>
      <c r="I2" s="841"/>
      <c r="J2" s="17"/>
    </row>
    <row r="3" spans="1:14" ht="6" customHeight="1">
      <c r="A3" s="17"/>
      <c r="B3" s="17"/>
      <c r="C3" s="17"/>
      <c r="D3" s="17"/>
      <c r="E3" s="17"/>
      <c r="F3" s="17"/>
      <c r="G3" s="17"/>
      <c r="H3" s="17"/>
      <c r="I3" s="17"/>
      <c r="J3" s="17"/>
      <c r="K3" s="398"/>
      <c r="L3" s="398"/>
    </row>
    <row r="4" spans="1:14" ht="11.25" customHeight="1">
      <c r="A4" s="847" t="s">
        <v>272</v>
      </c>
      <c r="B4" s="848" t="str">
        <f>+'1. Resumen'!Q4</f>
        <v>enero</v>
      </c>
      <c r="C4" s="849"/>
      <c r="D4" s="849"/>
      <c r="E4" s="138"/>
      <c r="F4" s="138"/>
      <c r="G4" s="850" t="s">
        <v>651</v>
      </c>
      <c r="H4" s="850"/>
      <c r="I4" s="850"/>
      <c r="J4" s="138"/>
      <c r="L4" s="399"/>
      <c r="M4" s="400">
        <v>2019</v>
      </c>
      <c r="N4" s="400">
        <v>2018</v>
      </c>
    </row>
    <row r="5" spans="1:14" ht="11.25" customHeight="1">
      <c r="A5" s="847"/>
      <c r="B5" s="628">
        <f>+'1. Resumen'!Q5</f>
        <v>2019</v>
      </c>
      <c r="C5" s="629">
        <f>+B5-1</f>
        <v>2018</v>
      </c>
      <c r="D5" s="629" t="s">
        <v>35</v>
      </c>
      <c r="E5" s="138"/>
      <c r="F5" s="138"/>
      <c r="G5" s="138"/>
      <c r="H5" s="138"/>
      <c r="I5" s="138"/>
      <c r="J5" s="138"/>
      <c r="K5" s="401"/>
      <c r="L5" s="405" t="s">
        <v>261</v>
      </c>
      <c r="M5" s="403">
        <v>0</v>
      </c>
      <c r="N5" s="403">
        <v>0</v>
      </c>
    </row>
    <row r="6" spans="1:14" ht="10.5" customHeight="1">
      <c r="A6" s="471" t="s">
        <v>90</v>
      </c>
      <c r="B6" s="508">
        <v>605.16255939999996</v>
      </c>
      <c r="C6" s="509">
        <v>303.47931530749997</v>
      </c>
      <c r="D6" s="472">
        <f>IF(C6=0,"",B6/C6-1)</f>
        <v>0.99408173432452851</v>
      </c>
      <c r="E6" s="138"/>
      <c r="F6" s="138"/>
      <c r="G6" s="138"/>
      <c r="H6" s="138"/>
      <c r="I6" s="138"/>
      <c r="J6" s="138"/>
      <c r="K6" s="404"/>
      <c r="L6" s="405" t="s">
        <v>270</v>
      </c>
      <c r="M6" s="403">
        <v>0</v>
      </c>
      <c r="N6" s="403">
        <v>0.19523792000000001</v>
      </c>
    </row>
    <row r="7" spans="1:14" ht="10.5" customHeight="1">
      <c r="A7" s="473" t="s">
        <v>92</v>
      </c>
      <c r="B7" s="510">
        <v>567.71311607999996</v>
      </c>
      <c r="C7" s="510">
        <v>622.8710371200001</v>
      </c>
      <c r="D7" s="474">
        <f t="shared" ref="D7:D63" si="0">IF(C7=0,"",B7/C7-1)</f>
        <v>-8.8554319839683981E-2</v>
      </c>
      <c r="E7" s="500"/>
      <c r="F7" s="138"/>
      <c r="G7" s="138"/>
      <c r="H7" s="138"/>
      <c r="I7" s="138"/>
      <c r="J7" s="138"/>
      <c r="L7" s="403" t="s">
        <v>269</v>
      </c>
      <c r="M7" s="403">
        <v>1.68776975E-2</v>
      </c>
      <c r="N7" s="403">
        <v>0</v>
      </c>
    </row>
    <row r="8" spans="1:14" ht="10.5" customHeight="1">
      <c r="A8" s="471" t="s">
        <v>531</v>
      </c>
      <c r="B8" s="509">
        <v>484.898259865</v>
      </c>
      <c r="C8" s="509">
        <v>698.81803256249998</v>
      </c>
      <c r="D8" s="472">
        <f t="shared" si="0"/>
        <v>-0.30611656072050164</v>
      </c>
      <c r="E8" s="138"/>
      <c r="F8" s="138"/>
      <c r="G8" s="138"/>
      <c r="H8" s="138"/>
      <c r="I8" s="138"/>
      <c r="J8" s="138"/>
      <c r="L8" s="405" t="s">
        <v>125</v>
      </c>
      <c r="M8" s="403">
        <v>0.1391796975</v>
      </c>
      <c r="N8" s="403">
        <v>0</v>
      </c>
    </row>
    <row r="9" spans="1:14" ht="10.5" customHeight="1">
      <c r="A9" s="473" t="s">
        <v>91</v>
      </c>
      <c r="B9" s="510">
        <v>478.62440351499998</v>
      </c>
      <c r="C9" s="510">
        <v>590.98279837500002</v>
      </c>
      <c r="D9" s="474">
        <f t="shared" si="0"/>
        <v>-0.1901212610061529</v>
      </c>
      <c r="E9" s="138"/>
      <c r="F9" s="138"/>
      <c r="G9" s="138"/>
      <c r="H9" s="138"/>
      <c r="I9" s="138"/>
      <c r="J9" s="138"/>
      <c r="L9" s="405" t="s">
        <v>121</v>
      </c>
      <c r="M9" s="403">
        <v>0.252235345</v>
      </c>
      <c r="N9" s="403">
        <v>0.37441814499999998</v>
      </c>
    </row>
    <row r="10" spans="1:14" ht="10.5" customHeight="1">
      <c r="A10" s="471" t="s">
        <v>265</v>
      </c>
      <c r="B10" s="509">
        <v>374.35760818749998</v>
      </c>
      <c r="C10" s="509">
        <v>192.78223901500002</v>
      </c>
      <c r="D10" s="472">
        <f t="shared" si="0"/>
        <v>0.94186772650966</v>
      </c>
      <c r="E10" s="138"/>
      <c r="F10" s="138"/>
      <c r="G10" s="138"/>
      <c r="H10" s="138"/>
      <c r="I10" s="138"/>
      <c r="J10" s="138"/>
      <c r="K10" s="401"/>
      <c r="L10" s="403" t="s">
        <v>122</v>
      </c>
      <c r="M10" s="403">
        <v>0.2705425025</v>
      </c>
      <c r="N10" s="403">
        <v>0.39719985250000001</v>
      </c>
    </row>
    <row r="11" spans="1:14" ht="10.5" customHeight="1">
      <c r="A11" s="473" t="s">
        <v>262</v>
      </c>
      <c r="B11" s="510">
        <v>305.90335036750002</v>
      </c>
      <c r="C11" s="510">
        <v>292.20980053249997</v>
      </c>
      <c r="D11" s="474">
        <f t="shared" si="0"/>
        <v>4.6862048466704387E-2</v>
      </c>
      <c r="E11" s="138"/>
      <c r="F11" s="138"/>
      <c r="G11" s="138"/>
      <c r="H11" s="138"/>
      <c r="I11" s="138"/>
      <c r="J11" s="138"/>
      <c r="K11" s="404"/>
      <c r="L11" s="403" t="s">
        <v>593</v>
      </c>
      <c r="M11" s="403">
        <v>0.3694605225</v>
      </c>
      <c r="N11" s="403"/>
    </row>
    <row r="12" spans="1:14" ht="10.5" customHeight="1">
      <c r="A12" s="471" t="s">
        <v>93</v>
      </c>
      <c r="B12" s="509">
        <v>236.50086725749998</v>
      </c>
      <c r="C12" s="509">
        <v>228.42805499250005</v>
      </c>
      <c r="D12" s="472">
        <f t="shared" si="0"/>
        <v>3.5340721459389046E-2</v>
      </c>
      <c r="E12" s="138"/>
      <c r="F12" s="138"/>
      <c r="G12" s="138"/>
      <c r="H12" s="138"/>
      <c r="I12" s="138"/>
      <c r="J12" s="138"/>
      <c r="K12" s="404"/>
      <c r="L12" s="403" t="s">
        <v>538</v>
      </c>
      <c r="M12" s="403">
        <v>0.69537625000000003</v>
      </c>
      <c r="N12" s="403"/>
    </row>
    <row r="13" spans="1:14" ht="10.5" customHeight="1">
      <c r="A13" s="473" t="s">
        <v>267</v>
      </c>
      <c r="B13" s="510">
        <v>235.39860886999998</v>
      </c>
      <c r="C13" s="510">
        <v>238.84287622500003</v>
      </c>
      <c r="D13" s="475">
        <f t="shared" si="0"/>
        <v>-1.4420640922760519E-2</v>
      </c>
      <c r="E13" s="138"/>
      <c r="F13" s="138"/>
      <c r="G13" s="138"/>
      <c r="H13" s="138"/>
      <c r="I13" s="138"/>
      <c r="J13" s="138"/>
      <c r="K13" s="404"/>
      <c r="L13" s="405" t="s">
        <v>120</v>
      </c>
      <c r="M13" s="403">
        <v>1.8611705000000001</v>
      </c>
      <c r="N13" s="403">
        <v>2.5248067999999999</v>
      </c>
    </row>
    <row r="14" spans="1:14" ht="10.5" customHeight="1">
      <c r="A14" s="471" t="s">
        <v>103</v>
      </c>
      <c r="B14" s="509">
        <v>143.7736293225</v>
      </c>
      <c r="C14" s="509">
        <v>19.479587904999999</v>
      </c>
      <c r="D14" s="472">
        <f t="shared" si="0"/>
        <v>6.380732591657976</v>
      </c>
      <c r="E14" s="138"/>
      <c r="F14" s="138"/>
      <c r="G14" s="138"/>
      <c r="H14" s="138"/>
      <c r="I14" s="138"/>
      <c r="J14" s="138"/>
      <c r="K14" s="404"/>
      <c r="L14" s="405" t="s">
        <v>118</v>
      </c>
      <c r="M14" s="403">
        <v>2.3299530325000002</v>
      </c>
      <c r="N14" s="403">
        <v>2.3383264800000001</v>
      </c>
    </row>
    <row r="15" spans="1:14" ht="10.5" customHeight="1">
      <c r="A15" s="473" t="s">
        <v>95</v>
      </c>
      <c r="B15" s="510">
        <v>123.21893545750001</v>
      </c>
      <c r="C15" s="510">
        <v>122.2529884825</v>
      </c>
      <c r="D15" s="474">
        <f t="shared" si="0"/>
        <v>7.9012135980485176E-3</v>
      </c>
      <c r="E15" s="138"/>
      <c r="F15" s="138"/>
      <c r="G15" s="138"/>
      <c r="H15" s="138"/>
      <c r="I15" s="138"/>
      <c r="J15" s="138"/>
      <c r="K15" s="404"/>
      <c r="L15" s="403" t="s">
        <v>119</v>
      </c>
      <c r="M15" s="403">
        <v>2.4388000000000001</v>
      </c>
      <c r="N15" s="403">
        <v>1.2174</v>
      </c>
    </row>
    <row r="16" spans="1:14" ht="10.5" customHeight="1">
      <c r="A16" s="471" t="s">
        <v>96</v>
      </c>
      <c r="B16" s="509">
        <v>110.51030453749999</v>
      </c>
      <c r="C16" s="509">
        <v>133.97797825750001</v>
      </c>
      <c r="D16" s="472">
        <f t="shared" si="0"/>
        <v>-0.17516067957747616</v>
      </c>
      <c r="E16" s="138"/>
      <c r="F16" s="138"/>
      <c r="G16" s="138"/>
      <c r="H16" s="138"/>
      <c r="I16" s="138"/>
      <c r="J16" s="138" t="s">
        <v>8</v>
      </c>
      <c r="K16" s="404"/>
      <c r="L16" s="403" t="s">
        <v>116</v>
      </c>
      <c r="M16" s="403">
        <v>2.5477262899999999</v>
      </c>
      <c r="N16" s="403">
        <v>3.6150109100000001</v>
      </c>
    </row>
    <row r="17" spans="1:14" ht="10.5" customHeight="1">
      <c r="A17" s="473" t="s">
        <v>97</v>
      </c>
      <c r="B17" s="510">
        <v>104.6003016775</v>
      </c>
      <c r="C17" s="510">
        <v>146.80964184499999</v>
      </c>
      <c r="D17" s="474">
        <f t="shared" si="0"/>
        <v>-0.28751068143102032</v>
      </c>
      <c r="E17" s="138"/>
      <c r="F17" s="138"/>
      <c r="G17" s="138"/>
      <c r="H17" s="138"/>
      <c r="I17" s="138"/>
      <c r="J17" s="138"/>
      <c r="K17" s="404"/>
      <c r="L17" s="403" t="s">
        <v>117</v>
      </c>
      <c r="M17" s="403">
        <v>2.6223807299999997</v>
      </c>
      <c r="N17" s="403">
        <v>3.0783974999999999</v>
      </c>
    </row>
    <row r="18" spans="1:14" ht="10.5" customHeight="1">
      <c r="A18" s="471" t="s">
        <v>94</v>
      </c>
      <c r="B18" s="509">
        <v>84.554597614999977</v>
      </c>
      <c r="C18" s="509">
        <v>116.5903401875</v>
      </c>
      <c r="D18" s="472">
        <f t="shared" si="0"/>
        <v>-0.27477184234114338</v>
      </c>
      <c r="E18" s="138"/>
      <c r="F18" s="138"/>
      <c r="G18" s="138"/>
      <c r="H18" s="138"/>
      <c r="I18" s="138"/>
      <c r="J18" s="138"/>
      <c r="K18" s="407"/>
      <c r="L18" s="403" t="s">
        <v>113</v>
      </c>
      <c r="M18" s="403">
        <v>3.3401037549999999</v>
      </c>
      <c r="N18" s="403">
        <v>4.1401912899999997</v>
      </c>
    </row>
    <row r="19" spans="1:14" ht="10.5" customHeight="1">
      <c r="A19" s="473" t="s">
        <v>98</v>
      </c>
      <c r="B19" s="510">
        <v>81.888166395000013</v>
      </c>
      <c r="C19" s="510">
        <v>81.534289124999987</v>
      </c>
      <c r="D19" s="474">
        <f t="shared" si="0"/>
        <v>4.3402263489107362E-3</v>
      </c>
      <c r="E19" s="138"/>
      <c r="F19" s="138"/>
      <c r="G19" s="138"/>
      <c r="H19" s="138"/>
      <c r="I19" s="138"/>
      <c r="J19" s="138"/>
      <c r="K19" s="404"/>
      <c r="L19" s="405" t="s">
        <v>115</v>
      </c>
      <c r="M19" s="403">
        <v>3.3811016899999999</v>
      </c>
      <c r="N19" s="403">
        <v>3.422501</v>
      </c>
    </row>
    <row r="20" spans="1:14" ht="10.5" customHeight="1">
      <c r="A20" s="471" t="s">
        <v>101</v>
      </c>
      <c r="B20" s="509">
        <v>70.085574417499998</v>
      </c>
      <c r="C20" s="509">
        <v>38.774700397499998</v>
      </c>
      <c r="D20" s="472">
        <f t="shared" si="0"/>
        <v>0.80750782595392456</v>
      </c>
      <c r="E20" s="138"/>
      <c r="F20" s="138"/>
      <c r="G20" s="138"/>
      <c r="H20" s="138"/>
      <c r="I20" s="138"/>
      <c r="J20" s="138"/>
      <c r="K20" s="404"/>
      <c r="L20" s="403" t="s">
        <v>110</v>
      </c>
      <c r="M20" s="403">
        <v>3.6369701074999998</v>
      </c>
      <c r="N20" s="403">
        <v>4.6003045</v>
      </c>
    </row>
    <row r="21" spans="1:14" ht="10.5" customHeight="1">
      <c r="A21" s="473" t="s">
        <v>650</v>
      </c>
      <c r="B21" s="510">
        <v>66.598914512499988</v>
      </c>
      <c r="C21" s="510">
        <v>66.417597075000003</v>
      </c>
      <c r="D21" s="474">
        <f t="shared" si="0"/>
        <v>2.7299608158848354E-3</v>
      </c>
      <c r="E21" s="138"/>
      <c r="F21" s="138"/>
      <c r="G21" s="138"/>
      <c r="H21" s="138"/>
      <c r="I21" s="138"/>
      <c r="J21" s="138"/>
      <c r="K21" s="404"/>
      <c r="L21" s="405" t="s">
        <v>114</v>
      </c>
      <c r="M21" s="403">
        <v>3.6655805725000001</v>
      </c>
      <c r="N21" s="403">
        <v>3.8632219125000002</v>
      </c>
    </row>
    <row r="22" spans="1:14" ht="10.5" customHeight="1">
      <c r="A22" s="471" t="s">
        <v>99</v>
      </c>
      <c r="B22" s="509">
        <v>55.561611379999995</v>
      </c>
      <c r="C22" s="509">
        <v>44.653600332499998</v>
      </c>
      <c r="D22" s="472">
        <f t="shared" si="0"/>
        <v>0.24428066194610687</v>
      </c>
      <c r="E22" s="138"/>
      <c r="F22" s="138"/>
      <c r="G22" s="138"/>
      <c r="H22" s="138"/>
      <c r="I22" s="138"/>
      <c r="J22" s="138"/>
      <c r="K22" s="407"/>
      <c r="L22" s="403" t="s">
        <v>112</v>
      </c>
      <c r="M22" s="403">
        <v>4.15737194</v>
      </c>
      <c r="N22" s="403">
        <v>4.85795975</v>
      </c>
    </row>
    <row r="23" spans="1:14" ht="10.5" customHeight="1">
      <c r="A23" s="473" t="s">
        <v>100</v>
      </c>
      <c r="B23" s="510">
        <v>31.531504389999998</v>
      </c>
      <c r="C23" s="510">
        <v>37.507001942500004</v>
      </c>
      <c r="D23" s="474">
        <f t="shared" si="0"/>
        <v>-0.1593168540013068</v>
      </c>
      <c r="E23" s="138"/>
      <c r="F23" s="138"/>
      <c r="G23" s="138"/>
      <c r="H23" s="138"/>
      <c r="I23" s="138"/>
      <c r="J23" s="138"/>
      <c r="K23" s="404"/>
      <c r="L23" s="405" t="s">
        <v>532</v>
      </c>
      <c r="M23" s="403">
        <v>5.7492123749999999</v>
      </c>
      <c r="N23" s="403">
        <v>3.9291039749999999</v>
      </c>
    </row>
    <row r="24" spans="1:14" ht="10.5" customHeight="1">
      <c r="A24" s="471" t="s">
        <v>102</v>
      </c>
      <c r="B24" s="509">
        <v>29.883272102499998</v>
      </c>
      <c r="C24" s="509">
        <v>38.873449167500006</v>
      </c>
      <c r="D24" s="472">
        <f t="shared" si="0"/>
        <v>-0.23126779993878732</v>
      </c>
      <c r="E24" s="138"/>
      <c r="F24" s="138"/>
      <c r="G24" s="138"/>
      <c r="H24" s="138"/>
      <c r="I24" s="138"/>
      <c r="J24" s="138"/>
      <c r="K24" s="404"/>
      <c r="L24" s="405" t="s">
        <v>123</v>
      </c>
      <c r="M24" s="403">
        <v>5.8344011274999996</v>
      </c>
      <c r="N24" s="403">
        <v>7.7565499999999996E-2</v>
      </c>
    </row>
    <row r="25" spans="1:14" ht="10.5" customHeight="1">
      <c r="A25" s="473" t="s">
        <v>263</v>
      </c>
      <c r="B25" s="510">
        <v>28.551412292499997</v>
      </c>
      <c r="C25" s="510">
        <v>19.410717460000001</v>
      </c>
      <c r="D25" s="474">
        <f t="shared" si="0"/>
        <v>0.4709096843708318</v>
      </c>
      <c r="E25" s="138"/>
      <c r="F25" s="138"/>
      <c r="G25" s="138"/>
      <c r="H25" s="138"/>
      <c r="I25" s="138"/>
      <c r="J25" s="138"/>
      <c r="K25" s="404"/>
      <c r="L25" s="405" t="s">
        <v>109</v>
      </c>
      <c r="M25" s="403">
        <v>7.0158673500000006</v>
      </c>
      <c r="N25" s="403">
        <v>6.8479127750000002</v>
      </c>
    </row>
    <row r="26" spans="1:14" ht="10.5" customHeight="1">
      <c r="A26" s="471" t="s">
        <v>264</v>
      </c>
      <c r="B26" s="509">
        <v>27.386238129999999</v>
      </c>
      <c r="C26" s="509">
        <v>27.278805800000001</v>
      </c>
      <c r="D26" s="472">
        <f t="shared" si="0"/>
        <v>3.9383076659462724E-3</v>
      </c>
      <c r="E26" s="138"/>
      <c r="F26" s="138"/>
      <c r="G26" s="138"/>
      <c r="H26" s="138"/>
      <c r="I26" s="138"/>
      <c r="J26" s="138"/>
      <c r="K26" s="404"/>
      <c r="L26" s="403" t="s">
        <v>107</v>
      </c>
      <c r="M26" s="403">
        <v>8.5054386950000005</v>
      </c>
      <c r="N26" s="403">
        <v>10.933368227500001</v>
      </c>
    </row>
    <row r="27" spans="1:14" ht="10.5" customHeight="1">
      <c r="A27" s="473" t="s">
        <v>111</v>
      </c>
      <c r="B27" s="510">
        <v>23.463643972499998</v>
      </c>
      <c r="C27" s="510">
        <v>4.6114901625000009</v>
      </c>
      <c r="D27" s="474">
        <f t="shared" si="0"/>
        <v>4.0880828421370383</v>
      </c>
      <c r="E27" s="138"/>
      <c r="F27" s="138"/>
      <c r="G27" s="138"/>
      <c r="H27" s="138"/>
      <c r="I27" s="138"/>
      <c r="J27" s="138"/>
      <c r="K27" s="404"/>
      <c r="L27" s="405" t="s">
        <v>566</v>
      </c>
      <c r="M27" s="403">
        <v>8.5214816824999993</v>
      </c>
      <c r="N27" s="403"/>
    </row>
    <row r="28" spans="1:14" ht="10.5" customHeight="1">
      <c r="A28" s="476" t="s">
        <v>104</v>
      </c>
      <c r="B28" s="509">
        <v>22.224515292499998</v>
      </c>
      <c r="C28" s="509">
        <v>21.308025810000004</v>
      </c>
      <c r="D28" s="472">
        <f t="shared" si="0"/>
        <v>4.301146857396243E-2</v>
      </c>
      <c r="E28" s="138"/>
      <c r="F28" s="138"/>
      <c r="G28" s="138"/>
      <c r="H28" s="138"/>
      <c r="I28" s="138"/>
      <c r="J28" s="138"/>
      <c r="K28" s="404"/>
      <c r="L28" s="405" t="s">
        <v>268</v>
      </c>
      <c r="M28" s="403">
        <v>9.4312920825000006</v>
      </c>
      <c r="N28" s="403">
        <v>10.99255627</v>
      </c>
    </row>
    <row r="29" spans="1:14" ht="10.5" customHeight="1">
      <c r="A29" s="477" t="s">
        <v>108</v>
      </c>
      <c r="B29" s="510">
        <v>21.820522857500002</v>
      </c>
      <c r="C29" s="510">
        <v>9.3588819924999989</v>
      </c>
      <c r="D29" s="474">
        <f t="shared" si="0"/>
        <v>1.3315309323257294</v>
      </c>
      <c r="E29" s="138"/>
      <c r="F29" s="138"/>
      <c r="G29" s="138"/>
      <c r="H29" s="138"/>
      <c r="I29" s="138"/>
      <c r="J29" s="138"/>
      <c r="K29" s="404"/>
      <c r="L29" s="405" t="s">
        <v>493</v>
      </c>
      <c r="M29" s="403">
        <v>11.887642335000001</v>
      </c>
      <c r="N29" s="403"/>
    </row>
    <row r="30" spans="1:14" ht="10.5" customHeight="1">
      <c r="A30" s="478" t="s">
        <v>271</v>
      </c>
      <c r="B30" s="509">
        <v>21.293177215</v>
      </c>
      <c r="C30" s="509">
        <v>21.466562342500001</v>
      </c>
      <c r="D30" s="472">
        <f t="shared" si="0"/>
        <v>-8.0769861859404379E-3</v>
      </c>
      <c r="E30" s="138"/>
      <c r="F30" s="138"/>
      <c r="G30" s="138"/>
      <c r="H30" s="138"/>
      <c r="I30" s="138"/>
      <c r="J30" s="138"/>
      <c r="K30" s="404"/>
      <c r="L30" s="403" t="s">
        <v>124</v>
      </c>
      <c r="M30" s="403">
        <v>12.456741050000002</v>
      </c>
      <c r="N30" s="403">
        <v>6.9755763199999992</v>
      </c>
    </row>
    <row r="31" spans="1:14" ht="10.5" customHeight="1">
      <c r="A31" s="477" t="s">
        <v>105</v>
      </c>
      <c r="B31" s="510">
        <v>20.175364079999998</v>
      </c>
      <c r="C31" s="510">
        <v>20.3106219925</v>
      </c>
      <c r="D31" s="474">
        <f t="shared" si="0"/>
        <v>-6.6594667829448229E-3</v>
      </c>
      <c r="E31" s="138"/>
      <c r="F31" s="138"/>
      <c r="G31" s="138"/>
      <c r="H31" s="138"/>
      <c r="I31" s="138"/>
      <c r="J31" s="138"/>
      <c r="K31" s="404"/>
      <c r="L31" s="403" t="s">
        <v>266</v>
      </c>
      <c r="M31" s="403">
        <v>12.71119562</v>
      </c>
      <c r="N31" s="403">
        <v>13.44009082</v>
      </c>
    </row>
    <row r="32" spans="1:14" ht="10.5" customHeight="1">
      <c r="A32" s="478" t="s">
        <v>106</v>
      </c>
      <c r="B32" s="509">
        <v>13.781912999999999</v>
      </c>
      <c r="C32" s="509">
        <v>13.997768000000001</v>
      </c>
      <c r="D32" s="472">
        <f t="shared" si="0"/>
        <v>-1.5420672781546352E-2</v>
      </c>
      <c r="E32" s="138"/>
      <c r="F32" s="138"/>
      <c r="G32" s="138"/>
      <c r="H32" s="138"/>
      <c r="I32" s="138"/>
      <c r="J32" s="138"/>
      <c r="K32" s="404"/>
      <c r="L32" s="403" t="s">
        <v>649</v>
      </c>
      <c r="M32" s="403">
        <v>13.7768208225</v>
      </c>
      <c r="N32" s="403"/>
    </row>
    <row r="33" spans="1:14" ht="10.5" customHeight="1">
      <c r="A33" s="477" t="s">
        <v>649</v>
      </c>
      <c r="B33" s="510">
        <v>13.7768208225</v>
      </c>
      <c r="C33" s="510">
        <v>14.397433812500001</v>
      </c>
      <c r="D33" s="474">
        <f t="shared" si="0"/>
        <v>-4.3105806081996323E-2</v>
      </c>
      <c r="E33" s="138"/>
      <c r="F33" s="138"/>
      <c r="G33" s="138"/>
      <c r="H33" s="138"/>
      <c r="I33" s="138"/>
      <c r="J33" s="138"/>
      <c r="K33" s="404"/>
      <c r="L33" s="405" t="s">
        <v>106</v>
      </c>
      <c r="M33" s="403">
        <v>13.781912999999999</v>
      </c>
      <c r="N33" s="403">
        <v>13.997768000000001</v>
      </c>
    </row>
    <row r="34" spans="1:14" ht="18" customHeight="1">
      <c r="A34" s="743" t="s">
        <v>266</v>
      </c>
      <c r="B34" s="509">
        <v>12.71119562</v>
      </c>
      <c r="C34" s="509">
        <v>13.44009082</v>
      </c>
      <c r="D34" s="472">
        <f t="shared" si="0"/>
        <v>-5.4232907333880642E-2</v>
      </c>
      <c r="E34" s="138"/>
      <c r="F34" s="138"/>
      <c r="G34" s="138"/>
      <c r="H34" s="138"/>
      <c r="I34" s="138"/>
      <c r="J34" s="138"/>
      <c r="K34" s="408"/>
      <c r="L34" s="405" t="s">
        <v>105</v>
      </c>
      <c r="M34" s="403">
        <v>20.175364079999998</v>
      </c>
      <c r="N34" s="403">
        <v>20.3106219925</v>
      </c>
    </row>
    <row r="35" spans="1:14" ht="10.5" customHeight="1">
      <c r="A35" s="477" t="s">
        <v>124</v>
      </c>
      <c r="B35" s="510">
        <v>12.456741050000002</v>
      </c>
      <c r="C35" s="510">
        <v>6.9755763199999992</v>
      </c>
      <c r="D35" s="474">
        <f t="shared" si="0"/>
        <v>0.7857651437752462</v>
      </c>
      <c r="E35" s="138"/>
      <c r="F35" s="138"/>
      <c r="G35" s="138"/>
      <c r="H35" s="138"/>
      <c r="I35" s="138"/>
      <c r="J35" s="138"/>
      <c r="K35" s="408"/>
      <c r="L35" s="405" t="s">
        <v>271</v>
      </c>
      <c r="M35" s="403">
        <v>21.293177215</v>
      </c>
      <c r="N35" s="403">
        <v>21.466562342500001</v>
      </c>
    </row>
    <row r="36" spans="1:14" ht="10.5" customHeight="1">
      <c r="A36" s="478" t="s">
        <v>493</v>
      </c>
      <c r="B36" s="509">
        <v>11.887642335000001</v>
      </c>
      <c r="C36" s="509"/>
      <c r="D36" s="472" t="str">
        <f t="shared" si="0"/>
        <v/>
      </c>
      <c r="E36" s="138"/>
      <c r="F36" s="138"/>
      <c r="G36" s="138"/>
      <c r="H36" s="138"/>
      <c r="I36" s="138"/>
      <c r="J36" s="138"/>
      <c r="K36" s="407"/>
      <c r="L36" s="405" t="s">
        <v>108</v>
      </c>
      <c r="M36" s="403">
        <v>21.820522857500002</v>
      </c>
      <c r="N36" s="403">
        <v>9.3588819924999989</v>
      </c>
    </row>
    <row r="37" spans="1:14" ht="10.5" customHeight="1">
      <c r="A37" s="477" t="s">
        <v>268</v>
      </c>
      <c r="B37" s="510">
        <v>9.4312920825000006</v>
      </c>
      <c r="C37" s="510">
        <v>10.99255627</v>
      </c>
      <c r="D37" s="474">
        <f t="shared" si="0"/>
        <v>-0.14202921951474345</v>
      </c>
      <c r="E37" s="138"/>
      <c r="F37" s="138"/>
      <c r="G37" s="138"/>
      <c r="H37" s="138"/>
      <c r="I37" s="138"/>
      <c r="J37" s="138"/>
      <c r="K37" s="407"/>
      <c r="L37" s="403" t="s">
        <v>104</v>
      </c>
      <c r="M37" s="403">
        <v>22.224515292499998</v>
      </c>
      <c r="N37" s="403">
        <v>21.308025810000004</v>
      </c>
    </row>
    <row r="38" spans="1:14" ht="10.5" customHeight="1">
      <c r="A38" s="478" t="s">
        <v>566</v>
      </c>
      <c r="B38" s="509">
        <v>8.5214816824999993</v>
      </c>
      <c r="C38" s="509"/>
      <c r="D38" s="472" t="str">
        <f t="shared" si="0"/>
        <v/>
      </c>
      <c r="E38" s="138"/>
      <c r="F38" s="138"/>
      <c r="G38" s="138"/>
      <c r="H38" s="138"/>
      <c r="I38" s="138"/>
      <c r="J38" s="138"/>
      <c r="K38" s="407"/>
      <c r="L38" s="405" t="s">
        <v>111</v>
      </c>
      <c r="M38" s="403">
        <v>23.463643972499998</v>
      </c>
      <c r="N38" s="403">
        <v>4.6114901625000009</v>
      </c>
    </row>
    <row r="39" spans="1:14" ht="10.5" customHeight="1">
      <c r="A39" s="477" t="s">
        <v>107</v>
      </c>
      <c r="B39" s="510">
        <v>8.5054386950000005</v>
      </c>
      <c r="C39" s="510">
        <v>10.933368227500001</v>
      </c>
      <c r="D39" s="474">
        <f t="shared" si="0"/>
        <v>-0.22206601680104254</v>
      </c>
      <c r="E39" s="138"/>
      <c r="F39" s="138"/>
      <c r="G39" s="138"/>
      <c r="H39" s="138"/>
      <c r="I39" s="138"/>
      <c r="J39" s="138"/>
      <c r="K39" s="408"/>
      <c r="L39" s="403" t="s">
        <v>264</v>
      </c>
      <c r="M39" s="403">
        <v>27.386238129999999</v>
      </c>
      <c r="N39" s="403">
        <v>27.278805800000001</v>
      </c>
    </row>
    <row r="40" spans="1:14" ht="10.5" customHeight="1">
      <c r="A40" s="478" t="s">
        <v>109</v>
      </c>
      <c r="B40" s="509">
        <v>7.0158673500000006</v>
      </c>
      <c r="C40" s="509">
        <v>6.8479127750000002</v>
      </c>
      <c r="D40" s="472">
        <f t="shared" si="0"/>
        <v>2.4526389356646083E-2</v>
      </c>
      <c r="E40" s="138"/>
      <c r="F40" s="138"/>
      <c r="G40" s="138"/>
      <c r="H40" s="138"/>
      <c r="I40" s="138"/>
      <c r="J40" s="138"/>
      <c r="K40" s="408"/>
      <c r="L40" s="405" t="s">
        <v>263</v>
      </c>
      <c r="M40" s="403">
        <v>28.551412292499997</v>
      </c>
      <c r="N40" s="403">
        <v>19.410717460000001</v>
      </c>
    </row>
    <row r="41" spans="1:14" ht="10.5" customHeight="1">
      <c r="A41" s="477" t="s">
        <v>123</v>
      </c>
      <c r="B41" s="510">
        <v>5.8344011274999996</v>
      </c>
      <c r="C41" s="510">
        <v>7.7565499999999996E-2</v>
      </c>
      <c r="D41" s="474">
        <f t="shared" si="0"/>
        <v>74.219022987023862</v>
      </c>
      <c r="E41" s="138"/>
      <c r="F41" s="138"/>
      <c r="G41" s="138"/>
      <c r="H41" s="138"/>
      <c r="I41" s="138"/>
      <c r="J41" s="138"/>
      <c r="K41" s="408"/>
      <c r="L41" s="403" t="s">
        <v>102</v>
      </c>
      <c r="M41" s="403">
        <v>29.883272102499998</v>
      </c>
      <c r="N41" s="403">
        <v>38.873449167500006</v>
      </c>
    </row>
    <row r="42" spans="1:14" ht="10.5" customHeight="1">
      <c r="A42" s="478" t="s">
        <v>532</v>
      </c>
      <c r="B42" s="509">
        <v>5.7492123749999999</v>
      </c>
      <c r="C42" s="509">
        <v>3.9291039749999999</v>
      </c>
      <c r="D42" s="472">
        <f t="shared" si="0"/>
        <v>0.4632375247845153</v>
      </c>
      <c r="E42" s="138"/>
      <c r="F42" s="138"/>
      <c r="G42" s="138"/>
      <c r="H42" s="138"/>
      <c r="I42" s="138"/>
      <c r="J42" s="138"/>
      <c r="L42" s="405" t="s">
        <v>100</v>
      </c>
      <c r="M42" s="403">
        <v>31.531504389999998</v>
      </c>
      <c r="N42" s="403">
        <v>37.507001942500004</v>
      </c>
    </row>
    <row r="43" spans="1:14" ht="10.5" customHeight="1">
      <c r="A43" s="477" t="s">
        <v>112</v>
      </c>
      <c r="B43" s="510">
        <v>4.15737194</v>
      </c>
      <c r="C43" s="510">
        <v>4.85795975</v>
      </c>
      <c r="D43" s="474">
        <f t="shared" si="0"/>
        <v>-0.14421441223344844</v>
      </c>
      <c r="E43" s="138"/>
      <c r="F43" s="138"/>
      <c r="G43" s="138"/>
      <c r="H43" s="138"/>
      <c r="I43" s="138"/>
      <c r="J43" s="138"/>
      <c r="L43" s="405" t="s">
        <v>99</v>
      </c>
      <c r="M43" s="403">
        <v>55.561611379999995</v>
      </c>
      <c r="N43" s="403">
        <v>44.653600332499998</v>
      </c>
    </row>
    <row r="44" spans="1:14" ht="10.5" customHeight="1">
      <c r="A44" s="478" t="s">
        <v>114</v>
      </c>
      <c r="B44" s="509">
        <v>3.6655805725000001</v>
      </c>
      <c r="C44" s="509">
        <v>3.8632219125000002</v>
      </c>
      <c r="D44" s="472">
        <f t="shared" si="0"/>
        <v>-5.1159717064273136E-2</v>
      </c>
      <c r="E44" s="138"/>
      <c r="F44" s="138"/>
      <c r="G44" s="138"/>
      <c r="H44" s="138"/>
      <c r="I44" s="138"/>
      <c r="J44" s="138"/>
      <c r="L44" s="406" t="s">
        <v>650</v>
      </c>
      <c r="M44" s="403">
        <v>66.598914512499988</v>
      </c>
      <c r="N44" s="403"/>
    </row>
    <row r="45" spans="1:14" ht="10.5" customHeight="1">
      <c r="A45" s="477" t="s">
        <v>110</v>
      </c>
      <c r="B45" s="510">
        <v>3.6369701074999998</v>
      </c>
      <c r="C45" s="510">
        <v>4.6003045</v>
      </c>
      <c r="D45" s="474">
        <f t="shared" si="0"/>
        <v>-0.20940665829838012</v>
      </c>
      <c r="E45" s="138"/>
      <c r="F45" s="138"/>
      <c r="G45" s="138"/>
      <c r="H45" s="138"/>
      <c r="I45" s="138"/>
      <c r="J45" s="138"/>
      <c r="L45" s="405" t="s">
        <v>101</v>
      </c>
      <c r="M45" s="403">
        <v>70.085574417499998</v>
      </c>
      <c r="N45" s="403">
        <v>38.774700397499998</v>
      </c>
    </row>
    <row r="46" spans="1:14" ht="10.5" customHeight="1">
      <c r="A46" s="478" t="s">
        <v>115</v>
      </c>
      <c r="B46" s="509">
        <v>3.3811016899999999</v>
      </c>
      <c r="C46" s="509">
        <v>3.422501</v>
      </c>
      <c r="D46" s="472">
        <f t="shared" si="0"/>
        <v>-1.2096215603735416E-2</v>
      </c>
      <c r="E46" s="138"/>
      <c r="F46" s="138"/>
      <c r="G46" s="138"/>
      <c r="H46" s="138"/>
      <c r="I46" s="138"/>
      <c r="J46" s="138"/>
      <c r="L46" s="405" t="s">
        <v>98</v>
      </c>
      <c r="M46" s="403">
        <v>81.888166395000013</v>
      </c>
      <c r="N46" s="403">
        <v>81.534289124999987</v>
      </c>
    </row>
    <row r="47" spans="1:14" ht="10.5" customHeight="1">
      <c r="A47" s="477" t="s">
        <v>113</v>
      </c>
      <c r="B47" s="510">
        <v>3.3401037549999999</v>
      </c>
      <c r="C47" s="510">
        <v>4.1401912899999997</v>
      </c>
      <c r="D47" s="474">
        <f t="shared" si="0"/>
        <v>-0.19324892956817941</v>
      </c>
      <c r="E47" s="138"/>
      <c r="F47" s="138"/>
      <c r="G47" s="138"/>
      <c r="H47" s="138"/>
      <c r="I47" s="138"/>
      <c r="J47" s="138"/>
      <c r="L47" s="405" t="s">
        <v>94</v>
      </c>
      <c r="M47" s="403">
        <v>84.554597614999977</v>
      </c>
      <c r="N47" s="403">
        <v>116.5903401875</v>
      </c>
    </row>
    <row r="48" spans="1:14" ht="10.5" customHeight="1">
      <c r="A48" s="478" t="s">
        <v>117</v>
      </c>
      <c r="B48" s="509">
        <v>2.6223807299999997</v>
      </c>
      <c r="C48" s="509">
        <v>3.0783974999999999</v>
      </c>
      <c r="D48" s="472">
        <f t="shared" si="0"/>
        <v>-0.14813446606554226</v>
      </c>
      <c r="E48" s="138"/>
      <c r="F48" s="138"/>
      <c r="G48" s="138"/>
      <c r="H48" s="138"/>
      <c r="I48" s="138"/>
      <c r="J48" s="138"/>
      <c r="L48" s="403" t="s">
        <v>97</v>
      </c>
      <c r="M48" s="403">
        <v>104.6003016775</v>
      </c>
      <c r="N48" s="403">
        <v>146.80964184499999</v>
      </c>
    </row>
    <row r="49" spans="1:14" ht="10.5" customHeight="1">
      <c r="A49" s="477" t="s">
        <v>116</v>
      </c>
      <c r="B49" s="510">
        <v>2.5477262899999999</v>
      </c>
      <c r="C49" s="510">
        <v>3.6150109100000001</v>
      </c>
      <c r="D49" s="474">
        <f t="shared" si="0"/>
        <v>-0.29523690151186854</v>
      </c>
      <c r="E49" s="138"/>
      <c r="F49" s="138"/>
      <c r="G49" s="138"/>
      <c r="H49" s="138"/>
      <c r="I49" s="138"/>
      <c r="J49" s="138"/>
      <c r="L49" s="402" t="s">
        <v>96</v>
      </c>
      <c r="M49" s="403">
        <v>110.51030453749999</v>
      </c>
      <c r="N49" s="403">
        <v>133.97797825750001</v>
      </c>
    </row>
    <row r="50" spans="1:14" ht="10.5" customHeight="1">
      <c r="A50" s="478" t="s">
        <v>119</v>
      </c>
      <c r="B50" s="509">
        <v>2.4388000000000001</v>
      </c>
      <c r="C50" s="509">
        <v>1.2174</v>
      </c>
      <c r="D50" s="472">
        <f t="shared" si="0"/>
        <v>1.0032856908164942</v>
      </c>
      <c r="E50" s="138"/>
      <c r="F50" s="138"/>
      <c r="G50" s="138"/>
      <c r="H50" s="138"/>
      <c r="I50" s="138"/>
      <c r="J50" s="138"/>
      <c r="L50" s="405" t="s">
        <v>95</v>
      </c>
      <c r="M50" s="403">
        <v>123.21893545750001</v>
      </c>
      <c r="N50" s="403">
        <v>122.2529884825</v>
      </c>
    </row>
    <row r="51" spans="1:14" ht="10.5" customHeight="1">
      <c r="A51" s="477" t="s">
        <v>118</v>
      </c>
      <c r="B51" s="510">
        <v>2.3299530325000002</v>
      </c>
      <c r="C51" s="510">
        <v>2.3383264800000001</v>
      </c>
      <c r="D51" s="474">
        <f t="shared" si="0"/>
        <v>-3.5809573947945816E-3</v>
      </c>
      <c r="E51" s="138"/>
      <c r="F51" s="138"/>
      <c r="G51" s="138"/>
      <c r="H51" s="138"/>
      <c r="I51" s="138"/>
      <c r="J51" s="138"/>
      <c r="L51" s="405" t="s">
        <v>103</v>
      </c>
      <c r="M51" s="403">
        <v>143.7736293225</v>
      </c>
      <c r="N51" s="403">
        <v>19.479587904999999</v>
      </c>
    </row>
    <row r="52" spans="1:14" ht="10.5" customHeight="1">
      <c r="A52" s="478" t="s">
        <v>120</v>
      </c>
      <c r="B52" s="509">
        <v>1.8611705000000001</v>
      </c>
      <c r="C52" s="509">
        <v>2.5248067999999999</v>
      </c>
      <c r="D52" s="472">
        <f t="shared" si="0"/>
        <v>-0.26284636907663583</v>
      </c>
      <c r="E52" s="138"/>
      <c r="F52" s="138"/>
      <c r="G52" s="138"/>
      <c r="H52" s="138"/>
      <c r="I52" s="138"/>
      <c r="J52" s="138"/>
      <c r="L52" s="405" t="s">
        <v>267</v>
      </c>
      <c r="M52" s="403">
        <v>235.39860886999998</v>
      </c>
      <c r="N52" s="403">
        <v>238.84287622500003</v>
      </c>
    </row>
    <row r="53" spans="1:14" ht="10.5" customHeight="1">
      <c r="A53" s="477" t="s">
        <v>538</v>
      </c>
      <c r="B53" s="510">
        <v>0.69537625000000003</v>
      </c>
      <c r="C53" s="510"/>
      <c r="D53" s="474" t="str">
        <f t="shared" si="0"/>
        <v/>
      </c>
      <c r="E53" s="138"/>
      <c r="F53" s="138"/>
      <c r="G53" s="138"/>
      <c r="H53" s="138"/>
      <c r="I53" s="138"/>
      <c r="J53" s="138"/>
      <c r="L53" s="405" t="s">
        <v>93</v>
      </c>
      <c r="M53" s="403">
        <v>236.50086725749998</v>
      </c>
      <c r="N53" s="403">
        <v>228.42805499250005</v>
      </c>
    </row>
    <row r="54" spans="1:14" ht="10.5" customHeight="1">
      <c r="A54" s="478" t="s">
        <v>593</v>
      </c>
      <c r="B54" s="509">
        <v>0.3694605225</v>
      </c>
      <c r="C54" s="509"/>
      <c r="D54" s="472" t="str">
        <f t="shared" si="0"/>
        <v/>
      </c>
      <c r="E54" s="138"/>
      <c r="F54" s="138"/>
      <c r="G54" s="138"/>
      <c r="H54" s="138"/>
      <c r="I54" s="138"/>
      <c r="J54" s="138"/>
      <c r="L54" s="405" t="s">
        <v>262</v>
      </c>
      <c r="M54" s="403">
        <v>305.90335036750002</v>
      </c>
      <c r="N54" s="403">
        <v>292.20980053249997</v>
      </c>
    </row>
    <row r="55" spans="1:14" ht="10.5" customHeight="1">
      <c r="A55" s="477" t="s">
        <v>122</v>
      </c>
      <c r="B55" s="510">
        <v>0.2705425025</v>
      </c>
      <c r="C55" s="510">
        <v>0.39719985250000001</v>
      </c>
      <c r="D55" s="474">
        <f t="shared" si="0"/>
        <v>-0.31887562193895835</v>
      </c>
      <c r="E55" s="138"/>
      <c r="F55" s="138"/>
      <c r="G55" s="138"/>
      <c r="H55" s="138"/>
      <c r="I55" s="138"/>
      <c r="J55" s="138"/>
      <c r="L55" s="405" t="s">
        <v>265</v>
      </c>
      <c r="M55" s="403">
        <v>374.35760818749998</v>
      </c>
      <c r="N55" s="403">
        <v>192.78223901500002</v>
      </c>
    </row>
    <row r="56" spans="1:14" ht="10.5" customHeight="1">
      <c r="A56" s="478" t="s">
        <v>121</v>
      </c>
      <c r="B56" s="509">
        <v>0.252235345</v>
      </c>
      <c r="C56" s="509">
        <v>0.37441814499999998</v>
      </c>
      <c r="D56" s="472">
        <f t="shared" si="0"/>
        <v>-0.32632713353141574</v>
      </c>
      <c r="E56" s="138"/>
      <c r="F56" s="138"/>
      <c r="G56" s="138"/>
      <c r="H56" s="138"/>
      <c r="I56" s="138"/>
      <c r="J56" s="138"/>
      <c r="L56" s="403" t="s">
        <v>91</v>
      </c>
      <c r="M56" s="403">
        <v>478.62440351499998</v>
      </c>
      <c r="N56" s="403">
        <v>590.98279837500002</v>
      </c>
    </row>
    <row r="57" spans="1:14" ht="10.5" customHeight="1">
      <c r="A57" s="477" t="s">
        <v>125</v>
      </c>
      <c r="B57" s="510">
        <v>0.1391796975</v>
      </c>
      <c r="C57" s="510">
        <v>0</v>
      </c>
      <c r="D57" s="474" t="str">
        <f t="shared" si="0"/>
        <v/>
      </c>
      <c r="E57" s="138"/>
      <c r="F57" s="138"/>
      <c r="G57" s="138"/>
      <c r="H57" s="138"/>
      <c r="I57" s="138"/>
      <c r="J57" s="138"/>
      <c r="L57" s="405" t="s">
        <v>531</v>
      </c>
      <c r="M57" s="403">
        <v>484.898259865</v>
      </c>
      <c r="N57" s="403">
        <v>698.81803256249998</v>
      </c>
    </row>
    <row r="58" spans="1:14" ht="10.5" customHeight="1">
      <c r="A58" s="478" t="s">
        <v>269</v>
      </c>
      <c r="B58" s="509">
        <v>1.68776975E-2</v>
      </c>
      <c r="C58" s="509">
        <v>0</v>
      </c>
      <c r="D58" s="472" t="str">
        <f t="shared" si="0"/>
        <v/>
      </c>
      <c r="E58" s="138"/>
      <c r="F58" s="138"/>
      <c r="G58" s="138"/>
      <c r="H58" s="138"/>
      <c r="I58" s="138"/>
      <c r="J58" s="138"/>
      <c r="L58" s="405" t="s">
        <v>92</v>
      </c>
      <c r="M58" s="403">
        <v>567.71311607999996</v>
      </c>
      <c r="N58" s="403">
        <v>622.8710371200001</v>
      </c>
    </row>
    <row r="59" spans="1:14" ht="10.5" customHeight="1">
      <c r="A59" s="477" t="s">
        <v>261</v>
      </c>
      <c r="B59" s="510">
        <v>0</v>
      </c>
      <c r="C59" s="510">
        <v>0</v>
      </c>
      <c r="D59" s="474" t="str">
        <f t="shared" si="0"/>
        <v/>
      </c>
      <c r="E59" s="138"/>
      <c r="F59" s="138"/>
      <c r="G59" s="138"/>
      <c r="H59" s="138"/>
      <c r="I59" s="138"/>
      <c r="J59" s="138"/>
      <c r="L59" s="403" t="s">
        <v>90</v>
      </c>
      <c r="M59" s="403">
        <v>605.16255939999996</v>
      </c>
      <c r="N59" s="403">
        <v>303.47931530749997</v>
      </c>
    </row>
    <row r="60" spans="1:14" ht="10.5" customHeight="1">
      <c r="A60" s="478" t="s">
        <v>270</v>
      </c>
      <c r="B60" s="511">
        <v>0</v>
      </c>
      <c r="C60" s="511">
        <v>0.19523792000000001</v>
      </c>
      <c r="D60" s="479">
        <f t="shared" si="0"/>
        <v>-1</v>
      </c>
      <c r="E60" s="138"/>
      <c r="F60" s="138"/>
      <c r="G60" s="138"/>
      <c r="H60" s="138"/>
      <c r="I60" s="138"/>
      <c r="J60" s="138"/>
      <c r="L60" s="405"/>
      <c r="M60" s="403"/>
      <c r="N60" s="403"/>
    </row>
    <row r="61" spans="1:14" ht="10.5" hidden="1" customHeight="1">
      <c r="A61" s="480"/>
      <c r="B61" s="510"/>
      <c r="C61" s="510"/>
      <c r="D61" s="474" t="str">
        <f t="shared" si="0"/>
        <v/>
      </c>
      <c r="E61" s="138"/>
      <c r="F61" s="138"/>
      <c r="G61" s="138"/>
      <c r="H61" s="138"/>
      <c r="I61" s="138"/>
      <c r="J61" s="138"/>
      <c r="L61" s="405"/>
      <c r="M61" s="403"/>
      <c r="N61" s="403"/>
    </row>
    <row r="62" spans="1:14" ht="10.5" hidden="1" customHeight="1">
      <c r="A62" s="478"/>
      <c r="B62" s="511"/>
      <c r="C62" s="511"/>
      <c r="D62" s="479" t="str">
        <f t="shared" si="0"/>
        <v/>
      </c>
      <c r="E62" s="138"/>
      <c r="F62" s="138"/>
      <c r="G62" s="138"/>
      <c r="H62" s="138"/>
      <c r="I62" s="138"/>
      <c r="J62" s="138"/>
      <c r="L62" s="405"/>
      <c r="M62" s="403"/>
      <c r="N62" s="403"/>
    </row>
    <row r="63" spans="1:14" ht="12" customHeight="1">
      <c r="A63" s="443" t="s">
        <v>44</v>
      </c>
      <c r="B63" s="797">
        <f>SUM(B6:B62)</f>
        <v>4497.0772959624983</v>
      </c>
      <c r="C63" s="507">
        <f>SUM(C6:C62)</f>
        <v>4255.2467861675013</v>
      </c>
      <c r="D63" s="444">
        <f t="shared" si="0"/>
        <v>5.6831136229539947E-2</v>
      </c>
      <c r="E63" s="138"/>
      <c r="F63" s="138"/>
      <c r="G63" s="138"/>
      <c r="H63" s="138"/>
      <c r="I63" s="138"/>
      <c r="J63" s="138"/>
    </row>
    <row r="64" spans="1:14" ht="36" customHeight="1">
      <c r="A64" s="852" t="str">
        <f>"Cuadro N° 6: Participación de las empresas generadoras del COES en la producción de energía eléctrica (GWh) en "&amp;'1. Resumen'!Q4</f>
        <v>Cuadro N° 6: Participación de las empresas generadoras del COES en la producción de energía eléctrica (GWh) en enero</v>
      </c>
      <c r="B64" s="852"/>
      <c r="C64" s="852"/>
      <c r="D64" s="150"/>
      <c r="E64" s="851" t="str">
        <f>"Gráfico N° 10: Comparación de producción energética (GWh) de las empresas generadoras del COES en "&amp;'1. Resumen'!Q4</f>
        <v>Gráfico N° 10: Comparación de producción energética (GWh) de las empresas generadoras del COES en enero</v>
      </c>
      <c r="F64" s="851"/>
      <c r="G64" s="851"/>
      <c r="H64" s="851"/>
      <c r="I64" s="851"/>
      <c r="J64" s="851"/>
    </row>
    <row r="65" spans="1:10" ht="12.75" customHeight="1">
      <c r="A65" s="853"/>
      <c r="B65" s="853"/>
      <c r="C65" s="853"/>
      <c r="D65" s="853"/>
      <c r="E65" s="853"/>
      <c r="F65" s="853"/>
      <c r="G65" s="853"/>
      <c r="H65" s="853"/>
      <c r="I65" s="853"/>
      <c r="J65" s="853"/>
    </row>
    <row r="66" spans="1:10" ht="12.75" customHeight="1">
      <c r="A66" s="853"/>
      <c r="B66" s="853"/>
      <c r="C66" s="853"/>
      <c r="D66" s="853"/>
      <c r="E66" s="853"/>
      <c r="F66" s="853"/>
      <c r="G66" s="853"/>
      <c r="H66" s="853"/>
      <c r="I66" s="853"/>
      <c r="J66" s="853"/>
    </row>
    <row r="67" spans="1:10" ht="12.75" customHeight="1">
      <c r="A67" s="853"/>
      <c r="B67" s="853"/>
      <c r="C67" s="853"/>
      <c r="D67" s="853"/>
      <c r="E67" s="853"/>
      <c r="F67" s="853"/>
      <c r="G67" s="853"/>
      <c r="H67" s="853"/>
      <c r="I67" s="853"/>
      <c r="J67" s="853"/>
    </row>
    <row r="68" spans="1:10">
      <c r="A68" s="853"/>
      <c r="B68" s="853"/>
      <c r="C68" s="853"/>
      <c r="D68" s="853"/>
      <c r="E68" s="853"/>
      <c r="F68" s="853"/>
      <c r="G68" s="853"/>
      <c r="H68" s="853"/>
      <c r="I68" s="853"/>
      <c r="J68" s="853"/>
    </row>
    <row r="69" spans="1:10">
      <c r="A69" s="845"/>
      <c r="B69" s="845"/>
      <c r="C69" s="845"/>
      <c r="D69" s="845"/>
      <c r="E69" s="845"/>
      <c r="F69" s="845"/>
      <c r="G69" s="845"/>
      <c r="H69" s="845"/>
      <c r="I69" s="845"/>
      <c r="J69" s="845"/>
    </row>
    <row r="70" spans="1:10">
      <c r="A70" s="846"/>
      <c r="B70" s="846"/>
      <c r="C70" s="846"/>
      <c r="D70" s="846"/>
      <c r="E70" s="846"/>
      <c r="F70" s="846"/>
      <c r="G70" s="846"/>
      <c r="H70" s="846"/>
      <c r="I70" s="846"/>
      <c r="J70" s="846"/>
    </row>
    <row r="71" spans="1:10">
      <c r="A71" s="845"/>
      <c r="B71" s="845"/>
      <c r="C71" s="845"/>
      <c r="D71" s="845"/>
      <c r="E71" s="845"/>
      <c r="F71" s="845"/>
      <c r="G71" s="845"/>
      <c r="H71" s="845"/>
      <c r="I71" s="845"/>
      <c r="J71" s="845"/>
    </row>
    <row r="72" spans="1:10">
      <c r="A72" s="846"/>
      <c r="B72" s="846"/>
      <c r="C72" s="846"/>
      <c r="D72" s="846"/>
      <c r="E72" s="846"/>
      <c r="F72" s="846"/>
      <c r="G72" s="846"/>
      <c r="H72" s="846"/>
      <c r="I72" s="846"/>
      <c r="J72" s="846"/>
    </row>
  </sheetData>
  <mergeCells count="14">
    <mergeCell ref="A69:J69"/>
    <mergeCell ref="A70:J70"/>
    <mergeCell ref="A71:J71"/>
    <mergeCell ref="A72:J72"/>
    <mergeCell ref="A2:I2"/>
    <mergeCell ref="A4:A5"/>
    <mergeCell ref="B4:D4"/>
    <mergeCell ref="G4:I4"/>
    <mergeCell ref="E64:J64"/>
    <mergeCell ref="A64:C64"/>
    <mergeCell ref="A67:J67"/>
    <mergeCell ref="A68:J68"/>
    <mergeCell ref="A65:J65"/>
    <mergeCell ref="A66:J66"/>
  </mergeCells>
  <pageMargins left="0.70866141732283472" right="0.59055118110236227" top="1.4311417322834645" bottom="0.62992125984251968" header="0.31496062992125984" footer="0.31496062992125984"/>
  <pageSetup paperSize="9" scale="95" orientation="portrait" r:id="rId1"/>
  <headerFooter>
    <oddHeader>&amp;R&amp;7Informe de la Operación Mensual - Enero 2019
INFSGI-MES-01-2019
13/02/2019
Versión: 01</oddHeader>
    <oddFooter>&amp;L&amp;7COES, 2019&amp;C7&amp;R&amp;7Dirección Ejecutiva
Sub Dirección de Gestión de Información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18</vt:i4>
      </vt:variant>
    </vt:vector>
  </HeadingPairs>
  <TitlesOfParts>
    <vt:vector size="53"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 -2</vt:lpstr>
      <vt:lpstr>27.ANEXO III - 3</vt:lpstr>
      <vt:lpstr>28.ANEXO III - 4</vt:lpstr>
      <vt:lpstr>29.ANEXO III - 5</vt:lpstr>
      <vt:lpstr>30.ANEXO III -6</vt:lpstr>
      <vt:lpstr>31.ANEXOIII - 7</vt:lpstr>
      <vt:lpstr>32.ANEXOIII - 8</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'26.ANEXO III -2'!Print_Area</vt:lpstr>
      <vt:lpstr>'29.ANEXO III - 5'!Print_Area</vt:lpstr>
      <vt:lpstr>'30.ANEXO III -6'!Print_Area</vt:lpstr>
      <vt:lpstr>'32.ANEXOIII - 8'!Print_Area</vt:lpstr>
      <vt:lpstr>'5. RER'!Print_Area</vt:lpstr>
      <vt:lpstr>'6. FP RER'!Print_Area</vt:lpstr>
      <vt:lpstr>'7. Generacion empresa'!Print_Area</vt:lpstr>
      <vt:lpstr>'9. Pot. Empresa'!Print_Area</vt:lpstr>
      <vt:lpstr>Índice!Print_Area</vt:lpstr>
      <vt:lpstr>'Portada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 Barrios </cp:lastModifiedBy>
  <cp:lastPrinted>2019-07-05T00:01:11Z</cp:lastPrinted>
  <dcterms:created xsi:type="dcterms:W3CDTF">2018-02-13T14:18:17Z</dcterms:created>
  <dcterms:modified xsi:type="dcterms:W3CDTF">2019-07-05T00:01:42Z</dcterms:modified>
</cp:coreProperties>
</file>