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85FDE4AD-3061-47E8-92F5-598EEA42B66B}" xr6:coauthVersionLast="43" xr6:coauthVersionMax="43" xr10:uidLastSave="{00000000-0000-0000-0000-000000000000}"/>
  <bookViews>
    <workbookView xWindow="-120" yWindow="-120" windowWidth="29040" windowHeight="15840" tabRatio="100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Contraportada" sheetId="59" r:id="rId34"/>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generación'!$A$1:$J$52</definedName>
    <definedName name="_xlnm.Print_Area" localSheetId="22">'21. ANEXOII-1'!$A$1:$F$71</definedName>
    <definedName name="_xlnm.Print_Area" localSheetId="26">'25.ANEXO III -1'!$A$1:$F$15</definedName>
    <definedName name="_xlnm.Print_Area" localSheetId="27">'26.ANEXO III -2'!$A$1:$F$13</definedName>
    <definedName name="_xlnm.Print_Area" localSheetId="28">'27.ANEXO III - 3'!$A$1:$F$14</definedName>
    <definedName name="_xlnm.Print_Area" localSheetId="29">'28.ANEXO III - 4'!$A$1:$F$13</definedName>
    <definedName name="_xlnm.Print_Area" localSheetId="30">'29.ANEXO III - 5'!$A$1:$F$13</definedName>
    <definedName name="_xlnm.Print_Area" localSheetId="31">'30.ANEXO III -6'!$A$1:$F$14</definedName>
    <definedName name="_xlnm.Print_Area" localSheetId="32">'31.ANEXOIII - 7'!$A$1:$F$8</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 i="6" l="1"/>
  <c r="H9" i="6"/>
  <c r="I9" i="6"/>
  <c r="F45" i="46" l="1"/>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I11" i="22"/>
  <c r="I10" i="22"/>
  <c r="I9" i="22"/>
  <c r="I8" i="22"/>
  <c r="I7" i="22"/>
  <c r="D12" i="9" l="1"/>
  <c r="F5" i="45" l="1"/>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H25" i="21" l="1"/>
  <c r="H24" i="21"/>
  <c r="H20" i="21"/>
  <c r="H19" i="21"/>
  <c r="H17" i="21"/>
  <c r="H12" i="21"/>
  <c r="H11" i="21"/>
  <c r="H10" i="21"/>
  <c r="G20" i="21"/>
  <c r="G17" i="21"/>
  <c r="G16" i="21"/>
  <c r="G15" i="21"/>
  <c r="G12" i="21"/>
  <c r="G9" i="21"/>
  <c r="G8" i="21"/>
  <c r="H8" i="12" l="1"/>
  <c r="F22" i="8" l="1"/>
  <c r="F14" i="8"/>
  <c r="B19" i="8"/>
  <c r="C19" i="8"/>
  <c r="D19" i="8"/>
  <c r="E19" i="8"/>
  <c r="J12" i="7"/>
  <c r="H12" i="7"/>
  <c r="G12" i="7"/>
  <c r="E12" i="7"/>
  <c r="D12" i="7"/>
  <c r="C12" i="7"/>
  <c r="B12" i="7"/>
  <c r="I12" i="22" l="1"/>
  <c r="I18" i="12" l="1"/>
  <c r="F18" i="12"/>
  <c r="J14" i="12"/>
  <c r="H14" i="12"/>
  <c r="I14" i="12" s="1"/>
  <c r="G14" i="12"/>
  <c r="E14" i="12"/>
  <c r="F14" i="12" s="1"/>
  <c r="D14" i="12"/>
  <c r="C14" i="12"/>
  <c r="B14" i="12"/>
  <c r="K14" i="12" l="1"/>
  <c r="G11" i="9"/>
  <c r="H11" i="9"/>
  <c r="F14" i="7" l="1"/>
  <c r="I14" i="7"/>
  <c r="K14" i="7"/>
  <c r="F15" i="7"/>
  <c r="I15" i="7"/>
  <c r="K15" i="7"/>
  <c r="C3" i="4"/>
  <c r="F46" i="36" l="1"/>
  <c r="F45" i="36"/>
  <c r="F46" i="4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4" i="36"/>
  <c r="F43" i="36"/>
  <c r="F42" i="36"/>
  <c r="F41" i="36"/>
  <c r="F40" i="36"/>
  <c r="F39" i="36"/>
  <c r="F38" i="36"/>
  <c r="F37" i="36"/>
  <c r="F36" i="36"/>
  <c r="F35" i="36"/>
  <c r="F34" i="36"/>
  <c r="F33" i="36"/>
  <c r="F32" i="36"/>
  <c r="F31" i="36"/>
  <c r="F30" i="36"/>
  <c r="F29" i="36"/>
  <c r="F28" i="36"/>
  <c r="F27" i="36"/>
  <c r="F26" i="36"/>
  <c r="F25" i="36"/>
  <c r="F24" i="36"/>
  <c r="F23" i="36"/>
  <c r="F20" i="36"/>
  <c r="F19" i="36"/>
  <c r="F18" i="36"/>
  <c r="F17" i="36"/>
  <c r="F16" i="36"/>
  <c r="F15" i="36"/>
  <c r="F14" i="36"/>
  <c r="F13" i="36"/>
  <c r="F12" i="36"/>
  <c r="F11" i="36"/>
  <c r="F10" i="36"/>
  <c r="F9" i="36"/>
  <c r="F8" i="36"/>
  <c r="F7" i="36"/>
  <c r="F6" i="36"/>
  <c r="F7" i="16" l="1"/>
  <c r="F8" i="16"/>
  <c r="F9" i="16"/>
  <c r="F10" i="16"/>
  <c r="F11" i="16"/>
  <c r="F12" i="16"/>
  <c r="F13" i="16"/>
  <c r="F14" i="16"/>
  <c r="F15" i="16"/>
  <c r="F16" i="16"/>
  <c r="F17" i="16"/>
  <c r="F18" i="16"/>
  <c r="F19" i="16"/>
  <c r="F20" i="16"/>
  <c r="F21" i="16"/>
  <c r="F22" i="16"/>
  <c r="F23" i="16"/>
  <c r="F24" i="16"/>
  <c r="F25" i="16"/>
  <c r="F26" i="16"/>
  <c r="F27" i="16"/>
  <c r="F28" i="16"/>
  <c r="F29" i="16"/>
  <c r="F30" i="16"/>
  <c r="C62" i="11"/>
  <c r="B62" i="11"/>
  <c r="F10" i="7"/>
  <c r="F12" i="7"/>
  <c r="J9" i="12" l="1"/>
  <c r="H9" i="12"/>
  <c r="G9" i="12"/>
  <c r="E9" i="12"/>
  <c r="D9" i="12"/>
  <c r="C9" i="12"/>
  <c r="B9" i="12"/>
  <c r="D61" i="13"/>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2" i="11" l="1"/>
  <c r="E11" i="9" l="1"/>
  <c r="D11" i="9"/>
  <c r="C11" i="9"/>
  <c r="B11" i="9"/>
  <c r="F19" i="8" l="1"/>
  <c r="B47" i="4" l="1"/>
  <c r="A9" i="4"/>
  <c r="A58" i="21" l="1"/>
  <c r="H12" i="22"/>
  <c r="A64" i="10" l="1"/>
  <c r="A43" i="10"/>
  <c r="A61" i="9"/>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E26" i="21" l="1"/>
  <c r="F26" i="21"/>
  <c r="D26" i="21"/>
  <c r="F2" i="38" l="1"/>
  <c r="J12" i="22" l="1"/>
  <c r="F9" i="8" l="1"/>
  <c r="C28" i="14" l="1"/>
  <c r="G26" i="21" l="1"/>
  <c r="C63" i="13"/>
  <c r="B63" i="13"/>
  <c r="D63" i="13" l="1"/>
  <c r="N29" i="18"/>
  <c r="N28" i="18"/>
  <c r="N27" i="18"/>
  <c r="N26" i="18"/>
  <c r="N25" i="18"/>
  <c r="N24" i="18"/>
  <c r="N23" i="18"/>
  <c r="N20" i="18"/>
  <c r="N19" i="18"/>
  <c r="N18" i="18"/>
  <c r="N17" i="18"/>
  <c r="N16" i="18"/>
  <c r="N15" i="18"/>
  <c r="N14" i="18"/>
  <c r="N12" i="18"/>
  <c r="N11" i="18"/>
  <c r="N10" i="18"/>
  <c r="N9" i="18"/>
  <c r="N8" i="18"/>
  <c r="B12" i="22" l="1"/>
  <c r="H47" i="4" l="1"/>
  <c r="B26" i="6" l="1"/>
  <c r="A53" i="22" l="1"/>
  <c r="B58" i="18"/>
  <c r="B40" i="18"/>
  <c r="B21" i="18"/>
  <c r="A58" i="12"/>
  <c r="F64" i="13"/>
  <c r="B18" i="12" l="1"/>
  <c r="B20" i="12" s="1"/>
  <c r="C18" i="12"/>
  <c r="D18" i="12"/>
  <c r="E18" i="12"/>
  <c r="G18" i="12"/>
  <c r="H18" i="12"/>
  <c r="J18" i="12"/>
  <c r="F33" i="6" l="1"/>
  <c r="F35" i="6"/>
  <c r="F11" i="14" l="1"/>
  <c r="F34" i="6" l="1"/>
  <c r="F32" i="6"/>
  <c r="A58" i="7" l="1"/>
  <c r="E31" i="6"/>
  <c r="E63" i="11" l="1"/>
  <c r="A63" i="11"/>
  <c r="C45" i="10"/>
  <c r="D3" i="36" l="1"/>
  <c r="D2" i="45" s="1"/>
  <c r="D2" i="46" s="1"/>
  <c r="C3" i="36"/>
  <c r="C2" i="45" s="1"/>
  <c r="C2" i="46" s="1"/>
  <c r="F2" i="37"/>
  <c r="F3" i="23"/>
  <c r="C2" i="23"/>
  <c r="C1" i="37" s="1"/>
  <c r="C1" i="38" s="1"/>
  <c r="A38" i="22"/>
  <c r="E17" i="22"/>
  <c r="A17" i="22"/>
  <c r="A13" i="22"/>
  <c r="A27" i="21"/>
  <c r="F6" i="21"/>
  <c r="E6" i="21"/>
  <c r="D6" i="21"/>
  <c r="B47" i="18"/>
  <c r="B28" i="18"/>
  <c r="B10" i="18"/>
  <c r="C31" i="16"/>
  <c r="E6" i="16"/>
  <c r="D6" i="16"/>
  <c r="A64" i="13"/>
  <c r="B3" i="13"/>
  <c r="B5" i="11"/>
  <c r="C5" i="11" s="1"/>
  <c r="B4" i="11"/>
  <c r="G6" i="7"/>
  <c r="G4" i="8" s="1"/>
  <c r="G4" i="9" s="1"/>
  <c r="D7" i="7"/>
  <c r="E7" i="7" s="1"/>
  <c r="A52" i="6"/>
  <c r="B37"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K21" i="8"/>
  <c r="I21" i="8"/>
  <c r="F21" i="8"/>
  <c r="F8" i="8"/>
  <c r="A2" i="8"/>
  <c r="A4" i="7"/>
  <c r="D31" i="6"/>
  <c r="E36" i="6"/>
  <c r="D36" i="6"/>
  <c r="F39" i="9" l="1"/>
  <c r="F36" i="6"/>
  <c r="B12" i="9"/>
  <c r="G23" i="8"/>
  <c r="H23" i="8"/>
  <c r="I22" i="8"/>
  <c r="I20" i="4" l="1"/>
  <c r="C20" i="4"/>
  <c r="G12" i="22"/>
  <c r="F12" i="22"/>
  <c r="E12" i="22"/>
  <c r="D12" i="22"/>
  <c r="C12" i="22"/>
  <c r="H26"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H20" i="12"/>
  <c r="J20" i="12"/>
  <c r="F10" i="12"/>
  <c r="K17" i="12"/>
  <c r="E12" i="9"/>
  <c r="C12" i="9"/>
  <c r="J11" i="9"/>
  <c r="K7" i="9"/>
  <c r="I6" i="9"/>
  <c r="G19" i="8"/>
  <c r="F7" i="8"/>
  <c r="H19" i="8"/>
  <c r="J19" i="8"/>
  <c r="I12" i="7"/>
  <c r="E5" i="8"/>
  <c r="E5" i="9" s="1"/>
  <c r="E7" i="12" s="1"/>
  <c r="I19" i="8" l="1"/>
  <c r="I20" i="12"/>
  <c r="K20" i="12"/>
  <c r="F40" i="9"/>
  <c r="M39" i="9" s="1"/>
  <c r="E20" i="12"/>
  <c r="F20" i="12" s="1"/>
  <c r="K19" i="8"/>
  <c r="J12" i="9"/>
  <c r="G12" i="9"/>
  <c r="K12" i="7"/>
  <c r="I11" i="9"/>
  <c r="H12" i="9"/>
  <c r="F11" i="9"/>
  <c r="K11" i="9"/>
</calcChain>
</file>

<file path=xl/sharedStrings.xml><?xml version="1.0" encoding="utf-8"?>
<sst xmlns="http://schemas.openxmlformats.org/spreadsheetml/2006/main" count="1712" uniqueCount="823">
  <si>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</si>
  <si>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</si>
  <si>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</si>
  <si>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</si>
  <si>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</si>
  <si>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</si>
  <si>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</si>
  <si>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</si>
  <si>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</si>
  <si>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</si>
  <si>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</si>
  <si>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</si>
  <si>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</si>
  <si>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</si>
  <si>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</si>
  <si>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</si>
  <si>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</si>
  <si>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</si>
  <si>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</si>
  <si>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</si>
  <si>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</si>
  <si>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</si>
  <si>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</si>
  <si>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</si>
  <si>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</si>
  <si>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</si>
  <si>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</si>
  <si>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</si>
  <si>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</si>
  <si>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</si>
  <si>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</si>
  <si>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</si>
  <si>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</si>
  <si>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</si>
  <si>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</si>
  <si>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</si>
  <si>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</si>
  <si>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</si>
  <si>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</si>
  <si>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</si>
  <si>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</si>
  <si>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</si>
  <si>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</si>
  <si>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</si>
  <si>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</si>
  <si>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</si>
  <si>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</si>
  <si>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</si>
  <si>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</si>
  <si>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</si>
  <si>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</si>
  <si>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</si>
  <si>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</si>
  <si>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</si>
  <si>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</si>
  <si>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</si>
  <si>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</si>
  <si>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</si>
  <si>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</si>
  <si>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</si>
  <si>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</si>
  <si>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</si>
  <si>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</si>
  <si>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</si>
  <si>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</si>
  <si>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</si>
  <si>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</si>
  <si>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</si>
  <si>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</si>
  <si>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</si>
  <si>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</si>
  <si>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</si>
  <si>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</si>
  <si>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</si>
  <si>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</si>
  <si>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</si>
  <si>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</si>
  <si>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</si>
  <si>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</si>
  <si>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</si>
  <si>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</si>
  <si>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</si>
  <si>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</si>
  <si>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</si>
  <si>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</si>
  <si>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</si>
  <si>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</si>
  <si>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</si>
  <si>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</si>
  <si>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</si>
  <si>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</si>
  <si>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</si>
  <si>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</si>
  <si>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</si>
  <si>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</si>
  <si>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</si>
  <si>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</si>
  <si>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</si>
  <si>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</si>
  <si>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</si>
  <si>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</si>
  <si>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</si>
  <si>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</si>
  <si>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</si>
  <si>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</si>
  <si>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</si>
  <si>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</si>
  <si>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</si>
  <si>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</si>
  <si>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</si>
  <si>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</si>
  <si>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</si>
  <si>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</si>
  <si>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</si>
  <si>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</si>
  <si>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</si>
  <si>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</si>
  <si>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</si>
  <si>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</si>
  <si>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</si>
  <si>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</si>
  <si>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</si>
  <si>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</si>
  <si>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</si>
  <si>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</si>
  <si>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</si>
  <si>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</si>
  <si>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</si>
  <si>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</si>
  <si>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</si>
  <si>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</si>
  <si>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</si>
  <si>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</si>
  <si>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</si>
  <si>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</si>
  <si>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</si>
  <si>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</si>
  <si>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</si>
  <si>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</si>
  <si>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</si>
  <si>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</si>
  <si>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</si>
  <si>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</si>
  <si>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</si>
  <si>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</si>
  <si>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</si>
  <si>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</si>
  <si>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</si>
  <si>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</si>
  <si>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</si>
  <si>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</si>
  <si>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</si>
  <si>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</si>
  <si>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</si>
  <si>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</si>
  <si>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</si>
  <si>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</si>
  <si>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</si>
  <si>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</si>
  <si>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</si>
  <si>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</si>
  <si>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</si>
  <si>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</si>
  <si>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</si>
  <si>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</si>
  <si>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</si>
  <si>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</si>
  <si>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</si>
  <si>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</si>
  <si>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</si>
  <si>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</si>
  <si>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</si>
  <si>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</si>
  <si>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</si>
  <si>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</si>
  <si>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</si>
  <si>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</si>
  <si>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</si>
  <si>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</si>
  <si>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</si>
  <si>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</si>
  <si>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</si>
  <si>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</si>
  <si>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</si>
  <si>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</si>
  <si>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</si>
  <si>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</si>
  <si>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</si>
  <si>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</si>
  <si>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</si>
  <si>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</si>
  <si>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</si>
  <si>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</si>
  <si>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</si>
  <si>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</si>
  <si>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</si>
  <si>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</si>
  <si>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</si>
  <si>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</si>
  <si>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</si>
  <si>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</si>
  <si>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</si>
  <si>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</si>
  <si>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</si>
  <si>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</si>
  <si>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</si>
  <si>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</si>
  <si>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</si>
  <si>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</si>
  <si>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</si>
  <si>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</si>
  <si>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</si>
  <si>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</si>
  <si>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</si>
  <si>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</si>
  <si>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</si>
  <si>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</si>
  <si>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</si>
  <si>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</si>
  <si>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</si>
  <si>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</si>
  <si>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</si>
  <si>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</si>
  <si>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</si>
  <si>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</si>
  <si>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</si>
  <si>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</si>
  <si>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HIDROELÉCTRICA</t>
  </si>
  <si>
    <t>TERMOELÉCTRICA</t>
  </si>
  <si>
    <t>EÓLICA</t>
  </si>
  <si>
    <t>Tensión  
(kV)</t>
  </si>
  <si>
    <t>Operación Comercial</t>
  </si>
  <si>
    <t>Central Solar</t>
  </si>
  <si>
    <t>POTENCIA INSTALADA (MW)</t>
  </si>
  <si>
    <t>Potencia Instalada (MW)</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</si>
  <si>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</si>
  <si>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</si>
  <si>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</si>
  <si>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</si>
  <si>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</si>
  <si>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</si>
  <si>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</si>
  <si>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</si>
  <si>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</si>
  <si>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</si>
  <si>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</si>
  <si>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</si>
  <si>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</si>
  <si>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</si>
  <si>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</si>
  <si>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</si>
  <si>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</si>
  <si>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</si>
  <si>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</si>
  <si>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</si>
  <si>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</si>
  <si>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</si>
  <si>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</si>
  <si>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</si>
  <si>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</si>
  <si>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</si>
  <si>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</si>
  <si>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</si>
  <si>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</si>
  <si>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</si>
  <si>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</si>
  <si>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</si>
  <si>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</si>
  <si>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</si>
  <si>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</si>
  <si>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</si>
  <si>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</si>
  <si>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</si>
  <si>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</si>
  <si>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</si>
  <si>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</si>
  <si>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</si>
  <si>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</si>
  <si>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</si>
  <si>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</si>
  <si>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</si>
  <si>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</si>
  <si>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</si>
  <si>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</si>
  <si>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</si>
  <si>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</si>
  <si>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</si>
  <si>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</si>
  <si>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</si>
  <si>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</si>
  <si>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</si>
  <si>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</si>
  <si>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</si>
  <si>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</si>
  <si>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</si>
  <si>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</si>
  <si>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</si>
  <si>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</si>
  <si>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</si>
  <si>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</si>
  <si>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</si>
  <si>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</si>
  <si>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</si>
  <si>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</si>
  <si>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</si>
  <si>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</si>
  <si>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</si>
  <si>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</si>
  <si>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</si>
  <si>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</si>
  <si>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</si>
  <si>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</si>
  <si>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</si>
  <si>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</si>
  <si>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</si>
  <si>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</si>
  <si>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</si>
  <si>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</si>
  <si>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</si>
  <si>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</si>
  <si>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</si>
  <si>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</si>
  <si>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</si>
  <si>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</si>
  <si>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</si>
  <si>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</si>
  <si>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</si>
  <si>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</si>
  <si>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</si>
  <si>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</si>
  <si>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</si>
  <si>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</si>
  <si>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</si>
  <si>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</si>
  <si>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</si>
  <si>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</si>
  <si>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</si>
  <si>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</si>
  <si>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</si>
  <si>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</si>
  <si>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</si>
  <si>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</si>
  <si>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</si>
  <si>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</si>
  <si>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</si>
  <si>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</si>
  <si>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</si>
  <si>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</si>
  <si>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</si>
  <si>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</si>
  <si>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</si>
  <si>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</si>
  <si>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</si>
  <si>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</si>
  <si>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</si>
  <si>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</si>
  <si>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</si>
  <si>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</si>
  <si>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</si>
  <si>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</si>
  <si>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</si>
  <si>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</si>
  <si>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</si>
  <si>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</si>
  <si>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</si>
  <si>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</si>
  <si>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</si>
  <si>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</si>
  <si>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</si>
  <si>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</si>
  <si>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</si>
  <si>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</si>
  <si>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</si>
  <si>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</si>
  <si>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</si>
  <si>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</si>
  <si>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</si>
  <si>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</si>
  <si>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</si>
  <si>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</si>
  <si>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</si>
  <si>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</si>
  <si>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</si>
  <si>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</si>
  <si>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</si>
  <si>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</si>
  <si>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</si>
  <si>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</si>
  <si>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</si>
  <si>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</si>
  <si>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</si>
  <si>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</si>
  <si>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</si>
  <si>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</si>
  <si>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</si>
  <si>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</si>
  <si>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</si>
  <si>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</si>
  <si>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</si>
  <si>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</si>
  <si>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</si>
  <si>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</si>
  <si>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</si>
  <si>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</si>
  <si>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</si>
  <si>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</si>
  <si>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</si>
  <si>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</si>
  <si>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</si>
  <si>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</si>
  <si>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</si>
  <si>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</si>
  <si>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</si>
  <si>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</si>
  <si>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</si>
  <si>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</si>
  <si>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</si>
  <si>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</si>
  <si>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</si>
  <si>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</si>
  <si>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</si>
  <si>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</si>
  <si>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</si>
  <si>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</si>
  <si>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</si>
  <si>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</si>
  <si>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</si>
  <si>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</si>
  <si>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</si>
  <si>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</si>
  <si>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</si>
  <si>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</si>
  <si>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</si>
  <si>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</si>
  <si>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</si>
  <si>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</si>
  <si>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</si>
  <si>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</si>
  <si>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</si>
  <si>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</si>
  <si>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</si>
  <si>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</si>
  <si>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</si>
  <si>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</si>
  <si>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</si>
  <si>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</si>
  <si>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</si>
  <si>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</si>
  <si>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</si>
  <si>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</si>
  <si>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</si>
  <si>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</si>
  <si>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</si>
  <si>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</si>
  <si>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</si>
  <si>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</si>
  <si>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</si>
  <si>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</si>
  <si>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</si>
  <si>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</si>
  <si>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</si>
  <si>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</si>
  <si>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</si>
  <si>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</si>
  <si>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</si>
  <si>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</si>
  <si>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</si>
  <si>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</si>
  <si>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</si>
  <si>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</si>
  <si>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</si>
  <si>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</si>
  <si>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</si>
  <si>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</si>
  <si>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</si>
  <si>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</si>
  <si>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</si>
  <si>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</si>
  <si>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</si>
  <si>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</si>
  <si>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</si>
  <si>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</si>
  <si>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</si>
  <si>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</si>
  <si>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19:30</t>
  </si>
  <si>
    <t>19:45</t>
  </si>
  <si>
    <t>11:45</t>
  </si>
  <si>
    <t>11:30</t>
  </si>
  <si>
    <t>C.H. RENOVANDES H1</t>
  </si>
  <si>
    <t>G1</t>
  </si>
  <si>
    <t>Central Hidroeléctrica</t>
  </si>
  <si>
    <t>Gráfico N°24: Porcentaje de participación por tipo de causa en el número de fallas.</t>
  </si>
  <si>
    <t>Gráfico N°25: Comparación en el número de fallas por tipo de equipo.</t>
  </si>
  <si>
    <t>4 eventos corresponde a rechazo manual de carga en la S.S.E.E. Pucallpa por deficit de generación (74,15 MWh)</t>
  </si>
  <si>
    <t xml:space="preserve">Potencia Efectiva  (MW) </t>
  </si>
  <si>
    <t>ENLACE CENTRO - SUR</t>
  </si>
  <si>
    <t>Central Eólica</t>
  </si>
  <si>
    <t>Máxima Demanda:</t>
  </si>
  <si>
    <t>KALLPA</t>
  </si>
  <si>
    <t>PETRAMAS</t>
  </si>
  <si>
    <t>12:00</t>
  </si>
  <si>
    <t>ELECTRO SUR ESTE</t>
  </si>
  <si>
    <t>20:15</t>
  </si>
  <si>
    <t>CELDA</t>
  </si>
  <si>
    <t>HYDRO PATAPO</t>
  </si>
  <si>
    <t>C.H. ÁNGEL II</t>
  </si>
  <si>
    <t>C.H. ÁNGEL III</t>
  </si>
  <si>
    <t>C.H. ÁNGEL I</t>
  </si>
  <si>
    <t>C.H. HER 1</t>
  </si>
  <si>
    <t>HYDRO PATAPO Total</t>
  </si>
  <si>
    <t>Lagunas Rajucolta (ORAZUL)</t>
  </si>
  <si>
    <t>Central a Biogás</t>
  </si>
  <si>
    <t>Turbina de Vapor (*)</t>
  </si>
  <si>
    <t>MINERA ARES</t>
  </si>
  <si>
    <t>TRANSMANTARO</t>
  </si>
  <si>
    <t>CONENHUA</t>
  </si>
  <si>
    <t>POMACOCHA - SAN JUAN</t>
  </si>
  <si>
    <t>ANDEAN POWER</t>
  </si>
  <si>
    <t>20:30</t>
  </si>
  <si>
    <t>15:30</t>
  </si>
  <si>
    <t>ANDEAN POWER Total</t>
  </si>
  <si>
    <t>(*) Se denomina RER a los Recursos Energéticos Renovables (biomasa, eólica, solar, geotérmica, mareomotriz), e hidroléctricas cuya capacidad instalada no sobrepase los 20 MW, según D.L. N° 1002. Son consideradas las centrales RER adjudicadas por susbasta.</t>
  </si>
  <si>
    <t>8. EVENTOS Y FALLAS QUE OCASIONARON INTERRUPCIÓN Y DISMINUCIÓN DE SUMINISTRO ELÉCTRICO</t>
  </si>
  <si>
    <t>8.1. FALLAS POR TIPO DE EQUIPO Y CAUSA SEGÚN CLASIFICACION CIER</t>
  </si>
  <si>
    <t>STATKRAFT S.A</t>
  </si>
  <si>
    <t>20:45</t>
  </si>
  <si>
    <t>20:00</t>
  </si>
  <si>
    <t>Turbina Francis</t>
  </si>
  <si>
    <t>L-2205  L-2206</t>
  </si>
  <si>
    <t>L-2259</t>
  </si>
  <si>
    <t>CARHUAMAYO - OROYA NUEVA</t>
  </si>
  <si>
    <t>MARCONA - SAN NICOLÁS</t>
  </si>
  <si>
    <t>C.H. CARHUAC</t>
  </si>
  <si>
    <t>ELECTRO ZAÑA</t>
  </si>
  <si>
    <t>ELECTRO ZAÑA Total</t>
  </si>
  <si>
    <t>HIDROMARAÑON/ CELEPSA RENOVABLES Total</t>
  </si>
  <si>
    <t>15:45</t>
  </si>
  <si>
    <t>C.H. Zaña</t>
  </si>
  <si>
    <t>TOTAL MWh</t>
  </si>
  <si>
    <t>Var (%)
2019/2018</t>
  </si>
  <si>
    <t>C.H. ZAÑA</t>
  </si>
  <si>
    <t>HIDROMARAÑON/ CELEPSA RENOVABLES</t>
  </si>
  <si>
    <t>Variación 2019/2018 (GWh)</t>
  </si>
  <si>
    <t>Variación 2019/2018 (MW)</t>
  </si>
  <si>
    <t>L. AZÁNGARO - PUTINA - LINEA L-6024</t>
  </si>
  <si>
    <t>L. KIMAN AYLLU - SIHUAS - LINEA L-1132</t>
  </si>
  <si>
    <t>L. CARHUAMAYO - HUARÓN - LINEA L-6514</t>
  </si>
  <si>
    <t>L. CALLALLI - SANTUARIO - LINEA L-1020</t>
  </si>
  <si>
    <t>L. ARES - HUANCARAMA - LINEA L-6017</t>
  </si>
  <si>
    <t>L. ARICOTA 1 - SARITA - LINEA L-6667</t>
  </si>
  <si>
    <t>L. CALLALLI - CAYLLOMA - LINEA L-6015</t>
  </si>
  <si>
    <t>L. INGENIO - CAUDALOSA - LINEA L-6644</t>
  </si>
  <si>
    <t>EMPRESA DE GENERACION HUALLAGA</t>
  </si>
  <si>
    <t>L. HUANCAVELICA - INGENIO - LINEA L-6643</t>
  </si>
  <si>
    <t>L-2018</t>
  </si>
  <si>
    <t>L-2003  L-2004</t>
  </si>
  <si>
    <t>L-2110</t>
  </si>
  <si>
    <t>L-2203  L-2204</t>
  </si>
  <si>
    <t>L-2222  L-2223</t>
  </si>
  <si>
    <t>L-2241</t>
  </si>
  <si>
    <t>L-3002  L-3003</t>
  </si>
  <si>
    <t>L-6627  L-6628</t>
  </si>
  <si>
    <t>T-30  T3-261  T4-261</t>
  </si>
  <si>
    <t>SAN JUAN - LOS INDUSTRIALES</t>
  </si>
  <si>
    <t>SANTA ROSA N. - CHAVARRÍA</t>
  </si>
  <si>
    <t>HUANZA-CARABAYLLO</t>
  </si>
  <si>
    <t>CAMPO ARMIÑO - HUANCAVELICA</t>
  </si>
  <si>
    <t>PACHACHACA - CALLAHUANCA (REP)</t>
  </si>
  <si>
    <t>LA NIÑA - PIURA OESTE</t>
  </si>
  <si>
    <t>CHILINA - CONVERTIDOR</t>
  </si>
  <si>
    <t>INDEPENDENCIA</t>
  </si>
  <si>
    <t>ENERO 2019</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</si>
  <si>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</si>
  <si>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</si>
  <si>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</si>
  <si>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</si>
  <si>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</si>
  <si>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</si>
  <si>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</si>
  <si>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</si>
  <si>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</si>
  <si>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Desconectó la línea L-6024 (Azángaro - Putina) de 60 kV, por falla. De acuerdo con lo informado por ELECTRO PUNO, titular de la línea, la falla se produjo por fuertes nevadas. El sistema de protección señalizó la activación de la función diferencial de línea (87). Como consecuencia se interrumpió el suministro de las subestaciones Ananea y Huancané con un total de 6,49 MW. A las 06:39 h, se conecta la línea y se inició la normalización del suministro interrumpido.</t>
  </si>
  <si>
    <t>Desconectó la línea L-6024 (Azángaro - Putina) de 60 kV, por falla. De acuerdo con lo informado por ELECTRO PUNO, titular de la línea, la falla se produjo por fuertes nevadas. El sistema de protección señalizó la activación de la función diferencial de línea (87). Como consecuencia se interrumpió el suministro de las subestaciones Ananea y Huancané con un total de 6,19 MW. A las 07:12 h, se conecta la línea y se inició la normalización del suministro interrumpido.</t>
  </si>
  <si>
    <t>Desconectó la línea L-6024 (Azángaro - Putina) de 60 kV, por falla. De acuerdo con lo informado por ELECTRO PUNO, titular de la línea, la falla se produjo por fuertes nevadas. El sistema de protección señalizó la activación de la función diferencial de línea (87). Como consecuencia se interrumpió el suministro de las subestaciones Ananea y Huancané con un total de 4,40 MW. A las 07:42 h, se conecta la línea y se inició la normalización del suministro interrumpido.</t>
  </si>
  <si>
    <t>Desconectó la línea L-6024 (Azángaro - Putina) de 60 kV, por falla. De acuerdo con lo informado por ELECTRO PUNO, titular de la línea, la falla se produjo por fuertes nevadas. El sistema de protección señalizó la activación de la función diferencial de línea (87). Como consecuencia se interrumpió el suministro de las subestaciones Ananea y Huancané con un total de 1,69 MW. A las 08:07 h, se conecta la línea y se inició la normalización del suministro interrumpido.</t>
  </si>
  <si>
    <t>Desconectó la línea L-6643 (Huancavelica – Ingenio) de 60 kV, cuya causa no fue informada por CONENHUA, titular de la línea. El sistema de protección señalizó la activación de la función de distancia (21) y ubicó la falla a 8,8 km de la S.E. Huancavelica. Como consecuencia se interrumpió el suministro de la S.E. Ingenio con un total de 9,82 MW. A las 17:10 h, se conectó la línea y se inició la normalización del suministro interrumpido.</t>
  </si>
  <si>
    <t xml:space="preserve">Desconectó la línea L-6015 (Callalli - Caylloma) de 66 kV, por falla. De acuerdo con lo informado por MINERA ARES, titular de la línea la falla se produjo por descargas atmosféricas. El sistema de protección señalizó la activación de la función diferencial de línea (87). Como consecuencia se interrumpió el suministro de la S.E. Caylloma y Ares con un total de 3,55 MW. Asimismo, desconectaron las CC.HH. San Antonio y San Ignacio cuando generaban 0,55 MW y 0,40 MW, respectivamente. A las 14:06 h, se conectó la línea y se inició la normalización del suministro interrumpido. </t>
  </si>
  <si>
    <t>L. COLCABAMBA - POROMA - LINEA L-5031</t>
  </si>
  <si>
    <t>Se produjo un recierre monofásico exitoso en la línea L-5031 (Colcabamba – Poroma) de 500 kV, por falla monofásica a tierra en la fase “T”. De acuerdo con lo informado por TRANSMANTARO, titular de la línea, la falla se produjo por descargas atmosféricas. El sistema de protección señalizó la activación de la función diferencial de línea (87). Como consecuencia el usuario libre MINERA CERRO VERDE redujo su carga de 235,00 MW a 140,00 MW. A las 19:20 h, el CCO-COES coordinó con el CC-MCV la normalización de sus suministros reducidos.</t>
  </si>
  <si>
    <t>L. LA NIÑA - FELAM - LINEA L-2164</t>
  </si>
  <si>
    <t>Desconectó la línea L-2164 (La Niña - Felam) de 220 kV, cuya causa no fue informada por REP, titular de la línea. El sistema de protección señalizó la activación de la función diferencial de línea. Como consecuencia, el usuario libre Minera Misky Mayo redujo su carga en 1,60 MW. A las 14:38 h, se conectó la línea.</t>
  </si>
  <si>
    <t>1.6</t>
  </si>
  <si>
    <t>S.E. MARCONA - TRAFO3D T6-261</t>
  </si>
  <si>
    <t>Desconectó el transformador T6-261 de 75 MVA y 220/60 kV S.E. Marcona, por actuación de su protección diferencial de transformador por falla en el sistema conmutador de taps, de acuerdo a lo informado por REP titular del equipo, como consecuencia, desconectó la línea L-6629 (Marcona-La Mina) de 60 kV, por actuación de su protección de disparo transferido, interrumpiendo una carga de 15,00 MW. La barra de 10 kV de la subestación y los reactores R3 y R4 quedaron indisponibles por indisponibilidad del interruptor IN-1488 del transformador T62-261. A las 21:09 h, se conectó la línea L-6629. El transformador T6-261 quedó fuera de servicio para su inspección.</t>
  </si>
  <si>
    <t>C.T. CHILCA 1 - GT TG3</t>
  </si>
  <si>
    <t>A las 08:54 h y 08:55 h, desconectaron los generadores TV y TG3 de la CT Chilca 1 respectivamente, cuando se encontraban en proceso de acoplamiento con el ciclo combinado TG1 + TV de la C.T. Chilca1 por actuación de su sistema de protección de alta temperatura de vapor de escape de la TV, de acuerdo a lo informado por ENGIE. A las 09:07 h se coordinó el rechazo de carga manual de 100,00 MW de Luz del Sur y Edelnor. A las 09:11 h y 09:18 h se coordinó el rechazo de carga de Hornos de Aceros Arequipa y Siderperu, respectivamente. La frecuencia disminuyó paulatinamente hasta 59.35 Hz, lo cual produjo la activación del ERACMF que rechazó 78.1 MW. A las 09:07 h, se inicio la recuperación de carga de los usuarios regulados. A las 09:31 h, se inicio la recuperación de carga de usuarios libres.</t>
  </si>
  <si>
    <t>Desconectó la línea L-6667 (Aricota I - Sarita) de 66 kV, De acuerdo con lo informado por EGESUR, titular de la línea, se presento descargas atmosféricas en la zona. Como consecuencia se interrumpió el suministro de la S.E. Sarita con 0,60 MW. A las 12:15 h, se conectó la línea y se inició la normalización del suministro interrumpido.</t>
  </si>
  <si>
    <t>Desconectó la línea L-1020 (Santuario - Callalli) de 138 kV, por falla bifásica en las fases “S” y “T”. De acuerdo a lo informado por REP, titular de la línea, se presentaron descargas atmosféricas en la zona. El sistema de protección señalizo la activación de la función de distancia (21). El sistema de protección detecto la falla a una distancia de 83,70 km de la S.E. Callalli. No se produjo interrupción de suministros en el SEIN. El usuario libre Minera Cerro Verde reporto la reducción de su carga en 19,00 MW. A las 12:50 h, el CCO-COES coordinó con el CC-MCV recuperar le total de su carga reducida. A las 13:05 h, se conectó la línea.</t>
  </si>
  <si>
    <t>S.E. MARCONA - TRAFO3D T62-161</t>
  </si>
  <si>
    <t>A las 05:04 h, el CCO-COES coordinó con el CC-MSH ejecutar el rechazo manual de carga de 5,00 MW en sus instalaciones, debido a la sobrecarga del transformador T62-261 de 220/60/10 kV de la S.E. Marcona. A las 06:41 h, el CCO-COES coordinó con el CC-MSH, la normalización de la carga.</t>
  </si>
  <si>
    <t>A las 14:19 h, el CCO-COES coordinó con el CC-MSH ejecutar el rechazo manual de carga de 3,00 MW en sus instalaciones, debido a la sobrecarga del transformador T62-261 de 220/60/10 kV de la S.E. Marcona. A las 18:01 h, el CCO-COES coordinó con el CC-MSH, la normalización de la carga.</t>
  </si>
  <si>
    <t>11.1</t>
  </si>
  <si>
    <t>SEAL</t>
  </si>
  <si>
    <t>S.E. JESÚS - BARRA BARRA 33kV</t>
  </si>
  <si>
    <t>Desconectó la barra de 33 kV de la S.E. Jesús por falla bifásica en la s fases “R” y “S”. De acuerdo a lo informado por SEAL, titular de la barra, la falla se produjo por perdida de aislamiento y presencia de humedad en la subestación. El sistema de protección señalizó la activación de la función de sobre corriente de fases (51). Como consecuencia se interrumpió el suministro de la S.E. Jesús con un total de 21,34 MW. A las 19:26 h, se conectó la barra y se inició la normalización del suministro interrumpido.</t>
  </si>
  <si>
    <t>L. REQUE - GUADALUPE - LINEA L-2236</t>
  </si>
  <si>
    <t>Desconectaron simultáneamente las líneas L-2236 y L-2237 (Guadalupe - Reque) de 220 kV, por falla monofásica a tierra en la fase “S”. De acuerdo a lo informado por REP, titular de la línea, la falla se produjo por caída de conductor en la línea L-2236 entre las estructuras T-143 a T-144. El sistema de protección señalizo la activación de la función de distancia (21). El sistema de protección detecto la falla a una distancia de 11,3 km de la S.E. Reque. No se produjo interrupción de suministros en el SEIN. El usuario libre Cementos Pacasmayo reporto la reducción de su en 1,00 MW. A las 18:26 h, el CCO-COES coordinó con el CC-CNP recuperar su carga reducida. Las líneas quedaron fuera de servicio para su inspección. A las 01:15 h del 07.02.2019, se conectó la línea L-2237.</t>
  </si>
  <si>
    <t>S.E. AYAVIRI - BARRA BARRA-22.9kV</t>
  </si>
  <si>
    <t>Desconectó la barra de 22,9 kV de la S.E. Ayaviri. De acuerdo a lo informado por REP, titular de la barra, la falla se produjo en el alimentador L-0240 (Ayaviri – Umachiri) de 22,9 kV de titularidad de ELECTRO PUNO. El sistema de protección señalizo la activación de la función de sobre corriente a tierra (51N). Como consecuencia se interrumpió un total de 1,93 MW. A las 18:51 h, se conectó la barra y se inicio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</si>
  <si>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9,74 MW. A las 15:45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</si>
  <si>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4,46 MW. A las 16:12 h, se conectó la línea y se inició la normalización del suministro interrumpido.</t>
  </si>
  <si>
    <t>Desconectó la línea L-6667 (Aricota I - Sarita) de 66 kV, cuya causa no fue informada por EGESUR, titular de la línea. Como consecuencia se interrumpió el suministro de la S.E. Sarita con 0,50 MW. A las 06:56 h, se conectó y se inició la normalización del suministro interrumpido.</t>
  </si>
  <si>
    <t>Desconectó la línea L-6644 (Ingenio - Caudalosa) de 60 kV por falla bifásica a tierra en las fases “S” y “T”. De acuerdo a lo informado por CONENHUA, titular de la línea, se presento nevadas en la zona. Como consecuencia se interrumpió el suministro de la S.E. Caudalosa con 0,46 MW. A las 09:30 h, se conectó la línea y se inicio la normalización del suministro interrumpido.</t>
  </si>
  <si>
    <t>ENEL DISTRIBUCION PERU</t>
  </si>
  <si>
    <t>S.E. SANTA ROSA N. - TRAFO3D TR-2</t>
  </si>
  <si>
    <t>Desconectó el transformador TR-2 220/60 kV de la S.E. Santa Rosa, cuya causa no fue informada por ENEL DISTRIBUCIÓN, titular del transformador. El sistema de protección señalizo la activación de la función diferencial (87) en la fase “S”. Asimismo, desconectó el transformador TR-1 220/60 kV de la S.E. Mirador por sobrecarga. Como consecuencia se interrumpió un total de 170,00 MW de carga, aproximadamente. A las 19:41 h y 19:58 h, se conecto el transformador TR-2 de la S.E. Santa Rosa y TR-1 en la S.E. Mirador, respectivamente, y se inicio la normalización del suministro interrumpido.</t>
  </si>
  <si>
    <t>L. INTIPAMPA - MILLSITE - LINEA L-1394</t>
  </si>
  <si>
    <t>Desconectó la línea L-1394 (Mill Site - Intipampa) de 138 kV por falla monofásica a tierra en la fase “T”. De acuerdo a lo informado por ENGIE, titular de la línea, la falla se produjo por descargas atmosféricas. El sistema de protección señalizo la activación de la función de distancia (21). El sistema de protección detecto la falla a una distancia de 5,60 km de la S.E. Mill Site. No se produjo interrupción de suministros en el SEIN. El usuario libre Minera Southern reporto la reducción de su carga en 50,70 MW. A las 14:59 h, el CCO-COES coordinó con el CC-SOU recuperar el total de su carga reducida. A las 15:22 h, se conectó la línea.</t>
  </si>
  <si>
    <t>50.7</t>
  </si>
  <si>
    <t>L. ARICOTA 2 - TOMASIRI - LINEA L-6620</t>
  </si>
  <si>
    <t>Desconectó las líneas L-6620 (Aricota II - Tomasiri) y L-6637 (Tomasiri - Los Héroes) de 66 kV, por falla monofásica a tierra en la fase “R”, cuya causa no fue informada por EGESUR, titular de la línea. El sistema de protección detecto la falla a una distancia de 52,20 km de la S.E. Aricota 2. Como consecuencia se interrumpió el suministro de la S.E. Tomasiri con un total de 0,80 MW. A las 21:53 h, se conectó la línea L-6637 y se inició la normalización del suministro interrumpido. La línea L-6620 quedó indisponible para su inspección.</t>
  </si>
  <si>
    <t>Desconectó la línea L-6644 (Ingenio - Caudalosa) de 60 kV, por falla monofásica a tierra en la fase “S” por falla cuya causa no fue informada por CONENHUA, titular de la línea. Como consecuencia se interrumpió el suministro de la S.E. Caudalosa con 0,50 MW. A las 08:56 h, se conectó la línea y se inició la normalización del suministro interrumpido.</t>
  </si>
  <si>
    <t>L. MARCONA - BELLA UNIÓN - LINEA L-6672</t>
  </si>
  <si>
    <t>Desconectó la línea L-6672 (Marcona - Bella Unión) de 60 kV, cuya causa no fue informada por SEAL, titular de la línea. Como consecuencia, se interrumpieron los suministros de las subestaciones Bella Unión, Chala y Jahuay con un total de 8,26 MW. A las 13:10 h, se conectó la línea y se inició la normalización del suministro interrumpido.</t>
  </si>
  <si>
    <t>L. CAJAMARCA - SAN MARCOS - LINEA L-6047</t>
  </si>
  <si>
    <t>Desconectó la línea L-6047 (Cajamarca – San Marcos) de 60 kV por falla monofásica a tierra en la fase “T”. De acuerdo a lo informado por Hidrandina, titular de la línea, la falla se produjo por descargas atmosféricas. El sistema de protección señalizo la activación de la función de distancia (21). El sistema de protección detecto la falla a una distancia de 43,10 km de la S.E. Cajamarca. Como consecuencia se interrumpió el suministro de las subestaciones suministro de las subestaciones San Marcos, Cajabamba y La Morena con un total de 12,55 MW, aproximadamente. Asimismo, desconectó la C.H. Potrero con 20,00 MW. A las 15:08 h, se conectó la línea y se inicio la normalización del suministro interrumpido.</t>
  </si>
  <si>
    <t>L. MARCONA - MINA - LINEA L-6629</t>
  </si>
  <si>
    <t>Desconectó la línea L-6629 (Marcona – Mina) de 60 kV, por activación del esquema de rechazo automático de carga para evitar la sobrecarga del transformador T62-261 de 220/60 kV de la S.E. Marcona, de acuerdo con lo informado por REP, titular de la línea. Cabe resaltar que el transformador paralelo T6-261 se encuentra fuera de servicio por falla. Como consecuencia se interrumpió el suministro de la S.E. Mina con un total de 5,80 MW. A las 04:59 h, se conectó la línea y se inició la normalización del suministro interrumpido.</t>
  </si>
  <si>
    <t>Desconectó la línea L-6629 (Marcona – Mina) de 60 kV, por activación del esquema de rechazo automático de carga para evitar la sobrecarga del transformador T62-261 de 220/60 kV de la S.E. Marcona, de acuerdo con lo informado por REP, titular de la línea. Cabe resaltar que el transformador paralelo T6-261 se encuentra fuera de servicio por falla. Como consecuencia se interrumpió el suministro de la S.E. Mina con un total de 3,30 MW. A las 09:35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</si>
  <si>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11,10 MW. A las 17:35 h, se conectó la línea y se inició la normalización del suministro interrumpido.</t>
  </si>
  <si>
    <t>L. SAN GABÁN II - MAZUCO - LINEA L-1014</t>
  </si>
  <si>
    <t>Desconectó la celda de la línea L-1014 (San Gabán - Mazuko) de 138 kV en la S.E. San Gabán,  por falla monofásica a tierra en la fase “T”. De acuerdo con lo informado por ELECTRO SUR ESTE, titular de la línea, la falla se produjo por descargas atmosféricas. El sistema de protección ubicó la falla a una distancia de 17,14 km de la S.E. San Gabán. Como consecuencia se interrumpió el suministro de las subestaciones Mazuko y Puerto Maldonado con un total de 18,29 MW. Asimismo, desconectaron las CC.HH. Ángel I, II y III cuando generaban 29,50 MW. A las 19:57 h, se conectó la línea y se inició la normalización del suministro interrumpido.</t>
  </si>
  <si>
    <t>L. COMBAPATA - SICUANI - LINEA L-6001</t>
  </si>
  <si>
    <t>Desconectó la línea L-6001 (Combapata - Sicuani) de 66 kV, cuya causa no fue informada por ELECTRO SUR ESTE, titular de la línea. El sistema de protección señalizó la activación de la función de distancia (21). Como consecuencia se interrumpió el suministro de la S.E. Sicuani con un total de 2,09 MW. A las 16:38 h, se conectó la línea y se inició la normalización del suministro interrumpido.</t>
  </si>
  <si>
    <t>L. AZÁNGARO - ANTAUTA - LINEA L-6021</t>
  </si>
  <si>
    <t xml:space="preserve">Desconectó la línea L-6021 (Azángaro - Antauta) de 60 kV, por falla. De acuerdo con lo informado por ELETROPUNO, titular de la línea, la falla se produjo por descargas atmosféricas. El sistema de protección señalizó la activación de la función de sobre corriente a tierra (51N). Como consecuencia se interrumpió el suministro de la subestación Antauta con un total de 0,95 MW. A las 16:50 h, se conectó la línea y se inició la normalización del suministro interrumpido. </t>
  </si>
  <si>
    <t>Desconectó la línea L-6629 (Marcona – Mina) de 60 kV, por activación del esquema de rechazo automático de carga para evitar la sobrecarga del transformador T62-261 de 220/60 kV de la S.E. Marcona, de acuerdo con lo informado por REP, titular de la línea. Cabe resaltar que el transformador paralelo T6-261 se encuentra fuera de servicio por falla. Como consecuencia se interrumpió el suministro de la S.E. Mina con un total de 12,23 MW. A las 18:29 h, se conectó la línea y se inició la normalización del suministro interrumpido.</t>
  </si>
  <si>
    <t>ADINELSA ADN</t>
  </si>
  <si>
    <t>L. HUACHO - ANDAHUASI - LINEA L-6670</t>
  </si>
  <si>
    <t>Desconectó la línea L-6670 (Huacho - Andahuasi) de 66 kV, cuya causa no fue informada por ADINELSA, titular de la línea. El sistema de protección señalizó la activación de la función de distancia (21). Como consecuencia se interrumpió el suministro de la S.E. Andahuasi con un total de 5,00 MW. Asimismo, desconectó la C.H. Yarucaya cuando generaba 16,31 MW. A las 23:30 h, se conectó la línea y se inició la normalización del suministro interrumpido. A las 23:42 h, la C.H. Yarucaya sincronizó con el SEIN.</t>
  </si>
  <si>
    <t>Desconectó la línea L-6629 (Marcona – Mina) de 60 kV, por activación del esquema de rechazo automático de carga para evitar la sobrecarga del transformador T62-261 de 220/60 kV de la S.E. Marcona, de acuerdo con lo informado por REP, titular de la línea. Cabe resaltar que el transformador paralelo T6-261 se encuentra fuera de servicio por falla. Como consecuencia se interrumpió el suministro de la S.E. Mina con un total de 14,82 MW. A las 10:17 h, se conectó la línea y se inició la normalización del suministro interrumpido.</t>
  </si>
  <si>
    <t>Desconectó la línea L-6015 (Callalli - Caylloma) de 66 kV, por falla. De acuerdo con lo informado por MINERA ARES, titular de la línea, la falla se produjo por descargas atmosféricas. El sistema de protección señalizó la activación de la función de distancia (21). Como consecuencia se interrumpió el suministro de las subestaciones Caylloma y Ares con un total de 6,46 MW. A las 15:43 h, se conectó la línea y se inició la normalización del suministro interrumpido.</t>
  </si>
  <si>
    <t>L. COTARUSE - ABANCAY NUEVA - LINEA L-2060</t>
  </si>
  <si>
    <t>Desconectó la línea L-2060 (Cotaruse - Abancay Nueva) de 220 kV, por falla bifásica a tierra entre las fases “R” y “T”. Simultáneamente, se produjo un recierre monofásico exitoso en la línea L-2059 (Cotaruse - Suriray) de 220 kV, por falla monofásica a tierra en la fase “R”. De acuerdo con lo informado por TRANSMANTARO, titular de la línea, la falla se produjo por descargas atmosféricas. Como consecuencia la empresa MINERA LAS BAMBAS e INDUSTRIAS CACHIMAYO redujeron su carga en 24,35 MW y 0,40 MW, respectivamente. A las 20:10 h y 20:14 h, el CCO-COES coordinó con los CC-MBA y CC-CAC normalizar el total de sus suministros reducidos, respectivamente. las 20:23 h, se conectó la línea.</t>
  </si>
  <si>
    <t>24.75</t>
  </si>
  <si>
    <t>ETESELVA</t>
  </si>
  <si>
    <t>L. CONOCOCHA - VIZCARRA - LINEA L-2253</t>
  </si>
  <si>
    <t>Desconectó la línea L-2253 (Vizcarra – Conococha) de 220 kV por falla monofásica a tierra en la fase "S". De acuerdo con lo informado por ETESELVA, titular de la línea, el motivo de la falla se encuentra en investigación. Como consecuencia la empresa Minera Antamina redujo su carga en 45,95 MW. A las 14:32 h, el CCO-COES coordinó con el CC-CMA normalizar el total de sus suministros reducidos. A las 15:01 h, se conectó la línea.</t>
  </si>
  <si>
    <t>45.95</t>
  </si>
  <si>
    <t>Desconectaron las líneas L-6514 y L-6516 (Carhuamayo - Shelby - Excelsior) de 50 kV, por falla. De acuerdo con lo informado por STATKRAFT, titular de las líneas, la falla se produjo por descargas atmosféricas. El sistema de protección señalizó la activación de la función de sobre corriente direccional (67/67N). Como consecuencia se interrumpió el suministro de las subestaciones Santander y Shelby con un total de 8,67 MW. A las 19:14 h, se conectaron las líneas y se inició la normalización del suministro interrumpido.</t>
  </si>
  <si>
    <t>L. CHAGLLA - PARAGSHA - LINEA L-2150</t>
  </si>
  <si>
    <t xml:space="preserve">Desconectaron las líneas L-2150 y L-2151 (Paragsha 2 - Chaglla) de 220 kV, cuya causa no fue informada por EMPRESA DE GENERACIÓN HUALLAGA, titular de las líneas. Como consecuencia desconectó la C.H. Chaglla cuando generaba 449,12 MW con lo cual la frecuencia del SEIN disminuyó hasta 59,10 Hz activándose el Esquema de Rechazo Automático de Carga por Mínima Frecuencia (ERACMF) con lo cual se interrumpió un total de 126,73 MW, aproximadamente. A las 19:58 h, se inició la normalización del suministro interrumpido. </t>
  </si>
  <si>
    <t>Desconectó la línea L-1132 (Kiman Ayllu - Sihuas) de 138 kV, por falla monofásica a tierra en la fase “S”. De acuerdo con lo informado por HIDRANDINA, titular de la línea, la falla se produjo por descargas atmosféricas. El sistema de protección señalizó la activación de la función de distancia (21) y ubicó la falla a 22,2 km de la S.E. Sihuas. Como consecuencia se interrumpió el suministro de las subestaciones Sihuas, Pomabamba, Huari y Tayabamba con un total de 9,36 MW. A las 19:54 h, se conectó la línea y se inició la normalización del suministro interrumpido.</t>
  </si>
  <si>
    <t>Desconectó la línea L-6644 (Ingenio - Caudalosa) de 60 kV, por falla bifásica a tierra entre las fases “R” y “S”. De acuerdo con lo informado por CONENHUA, titular de la línea, el motivo de la falla se encuentra en investigación. El sistema de protección señalizó la activación de la función de distancia (21). Como consecuencia se interrumpió el suministro de la S.E. Caudalosa con un total de 0,68 MW. A las 15:41 h, se conectó la línea y se inició la normalización del suministro interrumpido.</t>
  </si>
  <si>
    <t>Desconectó la línea L-6017 (Ares – Huancarama) de 66 kV, por falla bifásica a tierra entre las fases “R” y “T”. De acuerdo con lo informado por CONENHUA, titular de la línea, la falla se produjo por descargas atmosféricas. El sistema de protección señalizó la activación de la función de distancia (21) y ubicó la falla a 2,13 km de la S.E. Ares. Como consecuencia se interrumpió el suministro de la S.E. Huancarama con un total de 4,78 MW. A las 18:06 h, se conectó la línea y se inició la normalización del suministro interrumpido.</t>
  </si>
  <si>
    <t>L. AGUAYTÍA - TINGO MARÍA - LINEA L-2251</t>
  </si>
  <si>
    <t>Desconectaron las líneas L-2252 (Vizcarra - Tingo María) y L-2251 (Tingo María – Aguaytía) de 220 kV por falla monofásica a tierra fase “R” en la línea L-2252. De acuerdo con lo informado por ETESELVA, titular de las líneas, el motivo de la falla se encuentra en investigación. Como consecuencia se interrumpió el suministro de las subestaciones Aguaytía, Pucallpa EUC, Yarinacocha y Parque Industrial con un total de 47,42 MW. A las 10:32 h, se coordinó el arranque de la C.T. R.F. de Pucallpa. A las 10:41 h, se inició la normalización del suministro interrumpido en sistema aislado. A las 10:44 h, se conectó la línea L-2252. A las 11:12 h, se coordinó con el CC-EUC el rechazo manual de carga manual de 3,00 MW por déficit de generación en el sistema aislado. Asimismo, se conectó la línea L-2251. A las 11:16 h, se conectó la línea L-1125. A las 11:20 h, sincronizó el sistema aislado de la S.E. Pucallpa con el SEIN y se coordinó normalizar el total de suministros interrumpidos.</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</si>
  <si>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8,18 MW. A las 14:47 h, se conectó la línea y se inició la normalización del suministro interrumpido.</t>
  </si>
  <si>
    <t>MINERA VOLCAN</t>
  </si>
  <si>
    <t>L. POMACOCHA - SAN CRISTOBAL - LINEA L-6545</t>
  </si>
  <si>
    <t>Desconectaron las líneas L-6545 y L-6546 (Pomacocha - San Cristobal) de 50 KV, cuya causa no fue informada por MINERA VOLCAN, titular de las líneas. Como consecuencia, desconectaron las líneas L-6527 y L-6539 y con ello, se interrumpió el suministro de las subestaciones San Cristobal y Andaychagua con un total de 9,10 MW. A las 19:26 h se conectan las líneas L-6545 y L-6546 y se inició la normalización del suministro interrumpido.</t>
  </si>
  <si>
    <t>S.E. CHICLAYO OESTE - TRAFO3D T14-260</t>
  </si>
  <si>
    <t>Desconectó el transformador T14-260 220/60 kV de la S.E. Chiclayo Oeste, por falla. De acuerdo con lo informado por REP, titular del equipo, la falla se produjo debido a mala actuación de su sistema de protección. Como consecuencia desconectó el transformador paralelo T93-261 por sobrecarga y con ello, se interrumpió el suministro de la S.E. Chiclayo Oeste con un total de 142,02 MW. A las 19:36 h, se conectó el transformador T14-260 y se inició la normalización del suministro interrumpido. A las 19:38 h, se conectó el transformador T93-261.</t>
  </si>
  <si>
    <t>Desconectó la línea L-6629 (Marcona – La Mina) de 60 kV, por activación del esquema de rechazo automático de carga para evitar la sobrecarga del transformador T62-261 de 220/60 kV de la S.E. Marcona, de acuerdo con lo informado por REP, titular de la línea. Cabe resaltar que momentos antes del evento, se produjo la desconexión manual por emergencia de la unidad TV1 de la C.T. San Nicolas. Como consecuencia se interrumpió el suministro de la S.E. La Mina con un total de 11,50 MW. A las 00:52 h del 24.02.2019, se conectó la línea y se inició la normalización del suministro interrumpido.</t>
  </si>
  <si>
    <t>Desconectó la línea L-6629 (Marcona – La Mina) de 60 kV, por activación del esquema de rechazo automático de carga para evitar la sobrecarga del transformador T62-261 de 220/60 kV de la S.E. Marcona, de acuerdo con lo informado por REP, titular de la línea. Como consecuencia se interrumpió el suministro de la S.E. La Mina con un total de 13,55 MW. A las 14:45 h, se conectó la línea y se inició la normalización del suministro interrumpido.</t>
  </si>
  <si>
    <t>Desconectó la línea L-1014 (San Gabán - Mazuco) de 138 kV, por falla cuya causa no fue informada por ELECTRO SUR ESTE, titular de la línea. El sistema de protección ubicó la falla a una distancia de 13,06 MW de la S.E. San Gabán. Como consecuencia se interrumpió el suministro de las subestaciones Mazuco y Puerto Maldonado con un total de 11,05 MW. A las 14:13 h, se conectó la línea y se inició la normalización del suministro interrumpido.</t>
  </si>
  <si>
    <t>Desconectó línea L-6047 (Cajamarca - San Marcos) de 60 kV, por falla trifásica. De acuerdo con lo informado por HIDRANDINA, titular de la línea, la falla se produjo por descargas atmosféricas. Como consecuencia se interrumpió el suministro de San Marcos, Cajabamba y la Morena en total 13,65 MW y desconectó la C.H. Potrero cuando generaba 20,05 MW. A las 15:15 h, se conectó la línea y se inició la normalización del suministro interrumpido. A las 16:06 h, sincronizó la C.H. Potreros con el SEIN.</t>
  </si>
  <si>
    <t>Se produjo un recierre monofásico exitoso en la línea L-5031 (Aucayacu – Tocache) de 500 kV, por falla monofásica a tierra en la fase “R”. De acuerdo con lo informado por TRANSMANTARO, titular de la línea, la falla se produjo por descargas atmosféricas. El sistema de protección señalizó la activación de la función diferencial de línea (87). Como consecuencia el usuario libre MINERA CERRO VERDE redujo su carga de 270,00 MW a 240,00 MW. A las 18:13 h, el CCO-COES coordinó con el CC-MCV normalizar el total de sus suministros reducidos.</t>
  </si>
  <si>
    <t>L. MAZUCO - PTO MALDONADO - LINEA L-1015</t>
  </si>
  <si>
    <t>Desconectó la línea L-1015 (Mazuco - Puerto Maldonado) de 138 kV, por falla monofásica a tierra entre las fases “R” y “T”. De acuerdo con lo informado por ELECTRO SUR ESTE, la falla se produjo por descargas atmosféricas. El sistema de protección ubicó la falla a una distancia de 74,50 km d la S.E. Mazuco. Como consecuencia se interrumpió el suministro de la S.E. Puerto Maldonado con un total de 7,29 MW. A las 03:58 h, se conectó la línea y se inició la normalización del suministro interrumpido.</t>
  </si>
  <si>
    <t>Desconectó la línea L-6629 (Marcona – La Mina) de 60 kV, por activación del esquema de rechazo automático de carga para evitar la sobrecarga del transformador T62-261 de 220/60 kV de la S.E. Marcona, de acuerdo con lo informado por REP, titular de la línea. Cabe resaltar que momentos antes del evento, se produjo la desconexión manual por emergencia de la unidad TV1 de la C.T. San Nicolas. Como consecuencia se interrumpió el suministro de la S.E. La Mina con un total de 16,30 MW. A las 10:59 h, se conectó la línea y se inició la normalización del suministro interrumpido.</t>
  </si>
  <si>
    <t>12.23</t>
  </si>
  <si>
    <t>ENEL GENERACION PERU S.A.A.</t>
  </si>
  <si>
    <t>S.E. SANTA ROSA N. - TRAFO3D T 220/13.8/13.8</t>
  </si>
  <si>
    <t>Desconectó el transformador T 220/13.8/13.8 KV de la S.E. Santa Rosa, cuya causa no fue informada por ENEL DISTRIBUCIÓN PERÚ, titular del equipo. El sistema de protección señalizó la activación de la función diferencial del transformador (87T). Como consecuencia los usuarios libres Minera Chinalco y Refinería Cajamarquilla redujeron su carga en 70,00 MW y 56,00 MW, respectivamente. Asimismo, desconectó el transformador de 60/10 kV de la S.E. Mariátegui y con ello se interrumpió el suministro de la S.E. Mariátegui con un total de 14,00 MW. A las 12:23 h, el CCO-COES coordinó con los CC-CHN y CC-EDN normalizar el total de sus suministros interrumpidos. A las 13:30 h, el CCO-COES coordinó con el CC-VMC normalizar el total de sus suministros reducidos. El transformador quedó fuera de servicio para su inspección.</t>
  </si>
  <si>
    <t>L. TRUJILLO NORTE - MOTIL - LINEA L-1115</t>
  </si>
  <si>
    <t>Desconectó la línea L-1115 (Trujillo Norte - Motil) de 138 kV, cuya causa no fue informada por HIDRANDINA, titular de la línea. El sistema de protección señalizó la activación de la función de distancia (21) y ubicó la falla a una distancia de 17,30 km de la S.E. Trujillo Norte. Como consecuencia se interrumpió el suministro de la S.E. Motil con un total de 1,80 MW. A las 13:25 h, se conectó la línea y se inició la normalización del suministro interrumpido.</t>
  </si>
  <si>
    <t>L. PACHACHACA - MOROCOCHA - LINEA L-6529</t>
  </si>
  <si>
    <t>Desconectaron las líneas L-6529 (Pachachaca – Morococha) y L-6533 (Morococha – Carlos Francisco) de 50 kV, por falla. De acuerdo con lo informado por STATKRAFT, titular de las líneas, la falla se produjo por descargas atmosféricas. Como consecuencia se interrumpió el suministro de las subestaciones Ticlio, Morococha y Carlos Francisco con un total de 12,60 MW. A las 15:17 h, se conectaron las líneas y se inició la normalización del suministro interrumpido.</t>
  </si>
  <si>
    <t>Desconectaron simultáneamente las líneas L-2150 y L-2151 (Paragsha 2 – Chaglla) de 220 kV,  cuya causa no fue informada por EMPRESA DE GENERACIÓN HUALLAGA, titular de la línea. Como consecuencia desconectó la C.H. Chaglla cuando generaba 445,83 MW y con ello la frecuencia del SEIN descendió hasta 59,138 Hz activándose el Esquema de Rechazo Automático de Carga por Mínima Frecuencia (ERACMF), con lo cual se interrumpió un total de 145,00 MW, aproximadamente. A las 15:41 h, se inició la normalización de suministros interrumpidos. A las 15:50 h y 16:05 h, se conectaron las líneas L-2150 y L-2151, respectivamente.</t>
  </si>
  <si>
    <t>ELECTRO CENTRO</t>
  </si>
  <si>
    <t>L. COBRIZA I - PAMPAS - LINEA L-6066</t>
  </si>
  <si>
    <t>Desconectó de la línea L-6066 (Cobriza I - Pampas) de 69 kV, por falla bifásica a tierra entre las fases “R” y “S”. De acuerdo con lo informado por ELECTROCENTRO, titular de la línea, la falla se produjo por descargas atmosféricas. Como consecuencia se interrumpió el suministro de la S.E. Pampas con un total de 0,88 MW. A las 17:25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</si>
  <si>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9,80 MW. A las 14:20 h, se conectó la línea y se inició la normalización del suministro interrumpido.</t>
  </si>
  <si>
    <t>S.E. HUANCAVELICA - CELDA CL6643</t>
  </si>
  <si>
    <t>Desconectó la celda de la línea L-6643 (Huancavelica – Ingenio) de 60 kV en la S.E. Huancavelica, cuya causa no fue informada por REP, titular del equipo. Como consecuencia se interrumpió el suministro de las subestaciones Ingenio y Caudalosa con un total de 8,68 MW. A las 14:40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</si>
  <si>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9,09 MW. A las 13:48 h, se conectó la línea y se inició la normalización del suministro interrumpido.</t>
  </si>
  <si>
    <t>L. COBRIZA II - MACHAHUAY - LINEA L-6061</t>
  </si>
  <si>
    <t>Desconectó la línea L-6061 (Machahuay - Cobriza II) de 69 kV, por falla. De acuerdo con lo informado por ELECTROCENTRO, titular de la línea, la falla se produjo por descargas atmosféricas. Como consecuencia se interrumpió el suministro de la S.E. Machahuay con un total de 0,90 MW. A las 19:32 h, se conectó la línea y se inició la normalización del suministro interrumpido.</t>
  </si>
  <si>
    <t>L. TALTA - TAMBOMAYO - LINEA L-1048</t>
  </si>
  <si>
    <t>Desconectó la línea L-1048 (Talta - Tambomayo) de 138 kV, cuya causa no fue informada por EGESUR, titular de la línea. El sistema de protección señalizó la activación de la función diferencial de línea (87). Como consecuencia se interrumpió el suministro de la S.E. Tambomayo con un total de 4,90 MW. A las 13:30 h, se conectó la línea y se inició la normalización del suministro interrumpido.</t>
  </si>
  <si>
    <t>ELECTRO NORTE</t>
  </si>
  <si>
    <t>L. CHICLAYO OESTE - CHICLAYO NORTE - LINEA L-6022</t>
  </si>
  <si>
    <t>Desconectó la barra “A” de 60 kV de la S.E. Chiclayo Oeste, por falla en la línea L-6022 (Chiclayo Oeste – Chiclayo Norte) de 60 kV debido a error de maniobra al abrir el seccionador de barra bajo carga, de acuerdo con lo informado por ENSA, titular de la barra. Como consecuencia desconectaron las líneas L-2162 y L-2241 (La Niña – Piura Oeste) de 220 kV y con ello, se interrumpió el suministro de las subestaciones Piura Oeste, Talara y Zorritos con un total de 363,72 MW aproximadamente. Asimismo, los usuarios libres Cementos Pacasmayo y Minera Misky Mayo redujeron su carga en un total de 38,76 MW. A las 16:28 h, se conectó la línea y se inició la normalización del suministro interrumpido.</t>
  </si>
  <si>
    <t>29.23</t>
  </si>
  <si>
    <t>04/02/2019</t>
  </si>
  <si>
    <t>01/02/2019</t>
  </si>
  <si>
    <t>02/02/2019</t>
  </si>
  <si>
    <t>03/02/2019</t>
  </si>
  <si>
    <t>16:15</t>
  </si>
  <si>
    <t>05/02/2019</t>
  </si>
  <si>
    <t>06/02/2019</t>
  </si>
  <si>
    <t>07/02/2019</t>
  </si>
  <si>
    <t>08/02/2019</t>
  </si>
  <si>
    <t>09/02/2019</t>
  </si>
  <si>
    <t>10/02/2019</t>
  </si>
  <si>
    <t>11/02/2019</t>
  </si>
  <si>
    <t>12/02/2019</t>
  </si>
  <si>
    <t>15:15</t>
  </si>
  <si>
    <t>13/02/2019</t>
  </si>
  <si>
    <t>14/02/2019</t>
  </si>
  <si>
    <t>15/02/2019</t>
  </si>
  <si>
    <t>16/02/2019</t>
  </si>
  <si>
    <t>17/02/2019</t>
  </si>
  <si>
    <t>18/02/2019</t>
  </si>
  <si>
    <t>19/02/2019</t>
  </si>
  <si>
    <t>19:00</t>
  </si>
  <si>
    <t>20/02/2019</t>
  </si>
  <si>
    <t>21/02/2019</t>
  </si>
  <si>
    <t>22/02/2019</t>
  </si>
  <si>
    <t>19:15</t>
  </si>
  <si>
    <t>23/02/2019</t>
  </si>
  <si>
    <t>24/02/2019</t>
  </si>
  <si>
    <t>25/02/2019</t>
  </si>
  <si>
    <t>26/02/2019</t>
  </si>
  <si>
    <t>27/02/2019</t>
  </si>
  <si>
    <t>28/02/2019</t>
  </si>
  <si>
    <t>6.49</t>
  </si>
  <si>
    <t>6.19</t>
  </si>
  <si>
    <t>4.4</t>
  </si>
  <si>
    <t>1.69</t>
  </si>
  <si>
    <t>9.82</t>
  </si>
  <si>
    <t>3.55</t>
  </si>
  <si>
    <t>39.36</t>
  </si>
  <si>
    <t>0.6</t>
  </si>
  <si>
    <t>21.34</t>
  </si>
  <si>
    <t>1.93</t>
  </si>
  <si>
    <t>9.74</t>
  </si>
  <si>
    <t>4.46</t>
  </si>
  <si>
    <t>0.5</t>
  </si>
  <si>
    <t>0.46</t>
  </si>
  <si>
    <t>0.8</t>
  </si>
  <si>
    <t>8.26</t>
  </si>
  <si>
    <t>12.55</t>
  </si>
  <si>
    <t>5.8</t>
  </si>
  <si>
    <t>3.3</t>
  </si>
  <si>
    <t>18.29</t>
  </si>
  <si>
    <t>2.09</t>
  </si>
  <si>
    <t>0.95</t>
  </si>
  <si>
    <t>14.82</t>
  </si>
  <si>
    <t>6.46</t>
  </si>
  <si>
    <t>8.67</t>
  </si>
  <si>
    <t>126.73</t>
  </si>
  <si>
    <t>9.36</t>
  </si>
  <si>
    <t>0.68</t>
  </si>
  <si>
    <t>4.78</t>
  </si>
  <si>
    <t>47.42</t>
  </si>
  <si>
    <t>8.18</t>
  </si>
  <si>
    <t>9.1</t>
  </si>
  <si>
    <t>142.02</t>
  </si>
  <si>
    <t>11.5</t>
  </si>
  <si>
    <t>11.05</t>
  </si>
  <si>
    <t>13.65</t>
  </si>
  <si>
    <t>7.56</t>
  </si>
  <si>
    <t>16.3</t>
  </si>
  <si>
    <t>1.8</t>
  </si>
  <si>
    <t>12.6</t>
  </si>
  <si>
    <t>0.88</t>
  </si>
  <si>
    <t>9.8</t>
  </si>
  <si>
    <t>8.68</t>
  </si>
  <si>
    <t>9.09</t>
  </si>
  <si>
    <t>0.9</t>
  </si>
  <si>
    <t>4.9</t>
  </si>
  <si>
    <t>363.72</t>
  </si>
  <si>
    <t>GENERADOR TERMOELÉCTRICO</t>
  </si>
  <si>
    <t>TRANSFORMADOR 3D</t>
  </si>
  <si>
    <t>1.1. Producción de energía eléctrica en febrero 2019 en comparación al mismo mes del año anterior</t>
  </si>
  <si>
    <t>El total de la producción de energía eléctrica de la empresas generadoras integrantes del COES en el mes de febrero 2019 fue de 4 140,24  GWh, lo que representa un incremento de 220,70 GWh (5,63%) en comparación con el año 2018.</t>
  </si>
  <si>
    <t>La producción de electricidad con centrales hidroeléctricas durante el mes de febrero 2019 fue de 2 818,47 GWh (1,95% mayor al registrado durante febrero del año 2018).</t>
  </si>
  <si>
    <t>La producción de electricidad con centrales termoeléctricas durante el mes de febrero 2019 fue de 1 179,90 GWh, 12,78% mayor al registrado durante febrero del año 2018. La participación del gas natural de Camisea fue de 25,61%, mientras que las del gas que proviene de los yacimientos de Aguaytía y Malacas fue del 1,37%, la producción con diesel, residual, carbón, biogás y bagazo tuvieron una intervención del 0,52%, 0,31%, 0,34%, 0,14%, 0,20% respectivamente.</t>
  </si>
  <si>
    <t xml:space="preserve">La producción de energía eléctrica con centrales eólicas fue de 62,46 GWh y con centrales solares fue de 46,19 GWh, los cuales tuvieron una participación de 2,24% y 1,19% respectivamente.	</t>
  </si>
  <si>
    <t>febrero</t>
  </si>
  <si>
    <t>C.E. WAYRA I</t>
  </si>
  <si>
    <t>C.S. RUBI</t>
  </si>
  <si>
    <t>C.S. INTIPAMPA</t>
  </si>
  <si>
    <t>C.T. DOÑA CATALINA</t>
  </si>
  <si>
    <t>AGUA (RER)</t>
  </si>
  <si>
    <t>BIOGAS</t>
  </si>
  <si>
    <t>BAGAZO</t>
  </si>
  <si>
    <t>INLAND</t>
  </si>
  <si>
    <t>SAN JACINTO</t>
  </si>
  <si>
    <t>VOLUMEN UTIL
28-02-2019</t>
  </si>
  <si>
    <t>VOLUMEN UTIL
28-02-2018</t>
  </si>
  <si>
    <t>L-2011</t>
  </si>
  <si>
    <t>SAN JUAN - SANTA ROSA N.</t>
  </si>
  <si>
    <t>L-2242  L-2243</t>
  </si>
  <si>
    <t>VENTANILLA - ZAPALLAL</t>
  </si>
  <si>
    <t>T37-211</t>
  </si>
  <si>
    <t>PARAGSHA 2</t>
  </si>
  <si>
    <t>T62-161  T6-261</t>
  </si>
  <si>
    <t>MARCONA</t>
  </si>
  <si>
    <t>L-2240</t>
  </si>
  <si>
    <t>CARHUAQUERO - CHICLAYO OESTE</t>
  </si>
  <si>
    <t>L-2051 L-2052  L-5034  L-5036</t>
  </si>
  <si>
    <t>L-1001</t>
  </si>
  <si>
    <t>MACHUPICCHU - CACHIMAYO</t>
  </si>
  <si>
    <t>T70-9</t>
  </si>
  <si>
    <t>CHILINA</t>
  </si>
  <si>
    <t>NORTE</t>
  </si>
  <si>
    <t>C.H. CALLAHUANCA</t>
  </si>
  <si>
    <t>C.H. PATAPO</t>
  </si>
  <si>
    <t>C.H. CERRO DEL AGUILA</t>
  </si>
  <si>
    <t>C.T. OLLEROS</t>
  </si>
  <si>
    <t>C.H. SANTA TERESA</t>
  </si>
  <si>
    <t>INLAND Total</t>
  </si>
  <si>
    <t>C.T. SAN JACINTO</t>
  </si>
  <si>
    <t>SAN JACINTO Total</t>
  </si>
  <si>
    <t>(*) Se denomina RER a los Recursos Energéticos Renovables tales como biomasa, eólica, solar, geotérmica, mareomotriz e hidráulicas cuya capacidad instalada no sobrepasa de los 20 MW, según D.L. N° 1002, Se consideran RER a las centrales adjudicadas.</t>
  </si>
  <si>
    <t>Var. (2019/2018)</t>
  </si>
  <si>
    <t>2019 / 2018</t>
  </si>
  <si>
    <t>15.02.2019</t>
  </si>
  <si>
    <t>23:15</t>
  </si>
  <si>
    <t>17:15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</si>
</sst>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7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5351115451523"/>
      </right>
      <top/>
      <bottom style="thin">
        <color theme="3" tint="0.39994506668294322"/>
      </bottom>
      <diagonal/>
    </border>
    <border>
      <left style="hair">
        <color theme="3" tint="0.39985351115451523"/>
      </left>
      <right style="hair">
        <color theme="3" tint="0.39988402966399123"/>
      </right>
      <top/>
      <bottom style="thin">
        <color theme="3" tint="0.39994506668294322"/>
      </bottom>
      <diagonal/>
    </border>
    <border>
      <left/>
      <right style="thin">
        <color theme="3" tint="0.39991454817346722"/>
      </right>
      <top/>
      <bottom style="thin">
        <color theme="3" tint="0.39994506668294322"/>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theme="4"/>
      </bottom>
      <diagonal/>
    </border>
    <border>
      <left style="thin">
        <color theme="0"/>
      </left>
      <right style="thin">
        <color indexed="64"/>
      </right>
      <top style="thin">
        <color theme="0"/>
      </top>
      <bottom style="thin">
        <color theme="4"/>
      </bottom>
      <diagonal/>
    </border>
    <border>
      <left style="thin">
        <color indexed="64"/>
      </left>
      <right/>
      <top style="thin">
        <color theme="4"/>
      </top>
      <bottom/>
      <diagonal/>
    </border>
    <border>
      <left/>
      <right style="thin">
        <color indexed="64"/>
      </right>
      <top style="thin">
        <color theme="4"/>
      </top>
      <bottom/>
      <diagonal/>
    </border>
    <border>
      <left style="thin">
        <color indexed="64"/>
      </left>
      <right/>
      <top/>
      <bottom style="thin">
        <color theme="4"/>
      </bottom>
      <diagonal/>
    </border>
    <border>
      <left/>
      <right style="thin">
        <color indexed="64"/>
      </right>
      <top/>
      <bottom style="thin">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right>
      <top style="thin">
        <color theme="0"/>
      </top>
      <bottom/>
      <diagonal/>
    </border>
    <border>
      <left style="thin">
        <color indexed="64"/>
      </left>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0.14996795556505021"/>
      </right>
      <top style="thin">
        <color theme="4"/>
      </top>
      <bottom style="thin">
        <color theme="0" tint="-0.14996795556505021"/>
      </bottom>
      <diagonal/>
    </border>
    <border>
      <left style="thin">
        <color theme="0" tint="-0.14996795556505021"/>
      </left>
      <right style="thin">
        <color indexed="64"/>
      </right>
      <top style="thin">
        <color theme="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87">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13" fillId="2" borderId="0" xfId="0" applyNumberFormat="1" applyFont="1" applyFill="1" applyAlignment="1">
      <alignment horizontal="center"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4" fontId="13" fillId="0" borderId="78" xfId="0" applyNumberFormat="1" applyFont="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2" fontId="0" fillId="0" borderId="0" xfId="0" applyNumberFormat="1"/>
    <xf numFmtId="0" fontId="0" fillId="0" borderId="0" xfId="0" applyAlignment="1">
      <alignment horizontal="right"/>
    </xf>
    <xf numFmtId="2" fontId="0" fillId="0" borderId="0" xfId="0" applyNumberFormat="1" applyAlignment="1">
      <alignment horizontal="righ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167" fontId="13" fillId="0" borderId="78" xfId="2" applyNumberFormat="1" applyFont="1" applyBorder="1" applyAlignment="1">
      <alignment horizontal="center" vertical="center"/>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2" fontId="33" fillId="0" borderId="0" xfId="0" applyNumberFormat="1" applyFont="1" applyAlignment="1">
      <alignment vertical="center" wrapText="1"/>
    </xf>
    <xf numFmtId="4" fontId="27" fillId="0" borderId="104" xfId="0" applyNumberFormat="1" applyFont="1" applyBorder="1" applyAlignment="1">
      <alignment vertical="center"/>
    </xf>
    <xf numFmtId="4" fontId="27" fillId="0" borderId="104" xfId="0" applyNumberFormat="1" applyFont="1" applyBorder="1"/>
    <xf numFmtId="4" fontId="27" fillId="6" borderId="104"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3" fillId="0" borderId="0" xfId="0" applyFont="1"/>
    <xf numFmtId="0" fontId="44" fillId="0" borderId="0" xfId="0" applyFont="1" applyAlignment="1">
      <alignment vertical="center"/>
    </xf>
    <xf numFmtId="0" fontId="45" fillId="0" borderId="0" xfId="0" applyFont="1" applyAlignment="1">
      <alignment vertical="center"/>
    </xf>
    <xf numFmtId="0" fontId="46" fillId="0" borderId="0" xfId="0" applyFont="1" applyAlignment="1">
      <alignment vertical="center"/>
    </xf>
    <xf numFmtId="0" fontId="44" fillId="0" borderId="0" xfId="0" applyFont="1" applyAlignment="1">
      <alignment horizontal="center" vertical="center"/>
    </xf>
    <xf numFmtId="0" fontId="46" fillId="0" borderId="0" xfId="0" applyFont="1" applyAlignment="1">
      <alignment horizontal="justify" vertical="center"/>
    </xf>
    <xf numFmtId="0" fontId="47" fillId="0" borderId="0" xfId="0" applyFont="1" applyAlignment="1">
      <alignment vertical="center"/>
    </xf>
    <xf numFmtId="0" fontId="45"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8"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2" fillId="0" borderId="0" xfId="0" applyFont="1" applyAlignment="1">
      <alignment horizontal="right" vertical="center"/>
    </xf>
    <xf numFmtId="0" fontId="50" fillId="0" borderId="0" xfId="0" applyFont="1" applyAlignment="1">
      <alignment horizontal="center" vertical="center"/>
    </xf>
    <xf numFmtId="0" fontId="52" fillId="0" borderId="0" xfId="0" applyFont="1" applyAlignment="1">
      <alignment horizontal="justify" vertical="center"/>
    </xf>
    <xf numFmtId="17" fontId="53" fillId="0" borderId="0" xfId="0" applyNumberFormat="1" applyFont="1" applyAlignment="1">
      <alignment vertical="center"/>
    </xf>
    <xf numFmtId="2" fontId="53" fillId="0" borderId="0" xfId="0" applyNumberFormat="1" applyFont="1" applyAlignment="1">
      <alignment vertical="center"/>
    </xf>
    <xf numFmtId="0" fontId="53" fillId="0" borderId="0" xfId="0" quotePrefix="1" applyFont="1" applyAlignment="1">
      <alignment vertical="center" wrapText="1"/>
    </xf>
    <xf numFmtId="2" fontId="53" fillId="0" borderId="0" xfId="0" quotePrefix="1" applyNumberFormat="1" applyFont="1" applyAlignment="1">
      <alignment vertical="center" wrapText="1"/>
    </xf>
    <xf numFmtId="0" fontId="53" fillId="0" borderId="0" xfId="0" applyFont="1" applyAlignment="1">
      <alignment vertical="center"/>
    </xf>
    <xf numFmtId="14" fontId="50" fillId="0" borderId="0" xfId="0" applyNumberFormat="1" applyFont="1" applyAlignment="1">
      <alignment vertical="center"/>
    </xf>
    <xf numFmtId="0" fontId="49" fillId="0" borderId="0" xfId="0" applyFont="1" applyAlignment="1">
      <alignment vertical="center"/>
    </xf>
    <xf numFmtId="1" fontId="54" fillId="0" borderId="0" xfId="0" applyNumberFormat="1" applyFont="1" applyAlignment="1">
      <alignment horizontal="center" vertical="center"/>
    </xf>
    <xf numFmtId="171" fontId="55" fillId="7" borderId="0" xfId="3" applyFont="1" applyFill="1"/>
    <xf numFmtId="0" fontId="51" fillId="0" borderId="0" xfId="0" applyFont="1"/>
    <xf numFmtId="1" fontId="56" fillId="0" borderId="0" xfId="3" applyNumberFormat="1" applyFont="1" applyAlignment="1">
      <alignment horizontal="center"/>
    </xf>
    <xf numFmtId="172" fontId="56" fillId="0" borderId="0" xfId="3" applyNumberFormat="1" applyFont="1" applyAlignment="1">
      <alignment horizontal="center"/>
    </xf>
    <xf numFmtId="2" fontId="57" fillId="0" borderId="0" xfId="3" applyNumberFormat="1" applyFont="1"/>
    <xf numFmtId="165" fontId="54" fillId="0" borderId="0" xfId="0" applyNumberFormat="1" applyFont="1" applyAlignment="1">
      <alignment horizontal="right" vertical="center"/>
    </xf>
    <xf numFmtId="166" fontId="54" fillId="0" borderId="0" xfId="0" applyNumberFormat="1" applyFont="1" applyAlignment="1">
      <alignment horizontal="right" vertical="center"/>
    </xf>
    <xf numFmtId="167" fontId="54" fillId="0" borderId="0" xfId="2" applyNumberFormat="1" applyFont="1" applyAlignment="1">
      <alignment horizontal="right" vertical="center"/>
    </xf>
    <xf numFmtId="2" fontId="57" fillId="2" borderId="0" xfId="3" applyNumberFormat="1" applyFont="1" applyFill="1"/>
    <xf numFmtId="0" fontId="54" fillId="0" borderId="0" xfId="0" applyFont="1" applyAlignment="1">
      <alignment vertical="center"/>
    </xf>
    <xf numFmtId="2" fontId="58" fillId="0" borderId="0" xfId="0" applyNumberFormat="1" applyFont="1"/>
    <xf numFmtId="2" fontId="57" fillId="0" borderId="0" xfId="3" applyNumberFormat="1" applyFont="1" applyAlignment="1">
      <alignment horizontal="center"/>
    </xf>
    <xf numFmtId="0" fontId="59"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104" xfId="0" applyNumberFormat="1" applyFont="1" applyBorder="1"/>
    <xf numFmtId="0" fontId="60" fillId="0" borderId="0" xfId="0" applyFont="1" applyAlignment="1">
      <alignment vertical="center"/>
    </xf>
    <xf numFmtId="0" fontId="60"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1" fillId="0" borderId="0" xfId="0" applyNumberFormat="1" applyFont="1" applyAlignment="1">
      <alignment vertical="center"/>
    </xf>
    <xf numFmtId="2" fontId="52" fillId="0" borderId="0" xfId="0" applyNumberFormat="1" applyFont="1" applyAlignment="1">
      <alignment vertical="center"/>
    </xf>
    <xf numFmtId="22" fontId="61" fillId="0" borderId="72" xfId="0" applyNumberFormat="1" applyFont="1" applyBorder="1" applyAlignment="1">
      <alignment horizontal="center" vertical="center"/>
    </xf>
    <xf numFmtId="0" fontId="61" fillId="0" borderId="72" xfId="0" applyFont="1" applyBorder="1" applyAlignment="1">
      <alignment horizontal="justify" vertical="center"/>
    </xf>
    <xf numFmtId="0" fontId="61" fillId="0" borderId="72" xfId="0" applyFont="1" applyBorder="1" applyAlignment="1">
      <alignment horizontal="center" vertical="center"/>
    </xf>
    <xf numFmtId="22" fontId="61" fillId="0" borderId="72" xfId="0" applyNumberFormat="1" applyFont="1" applyBorder="1" applyAlignment="1">
      <alignment horizontal="center" vertical="center" wrapText="1"/>
    </xf>
    <xf numFmtId="0" fontId="61" fillId="0" borderId="72" xfId="0" applyFont="1" applyBorder="1" applyAlignment="1">
      <alignment horizontal="justify" vertical="center" wrapText="1"/>
    </xf>
    <xf numFmtId="0" fontId="61" fillId="0" borderId="72" xfId="0" applyFont="1" applyBorder="1" applyAlignment="1">
      <alignment horizontal="center" vertical="center" wrapText="1"/>
    </xf>
    <xf numFmtId="0" fontId="23" fillId="2" borderId="0" xfId="0" applyFont="1" applyFill="1" applyAlignment="1">
      <alignment horizontal="left" vertical="center" wrapText="1"/>
    </xf>
    <xf numFmtId="0" fontId="32" fillId="3" borderId="45" xfId="0" applyFont="1" applyFill="1" applyBorder="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9" xfId="0" applyFont="1" applyFill="1" applyBorder="1" applyAlignment="1">
      <alignment vertical="center"/>
    </xf>
    <xf numFmtId="170" fontId="27" fillId="4" borderId="109" xfId="0" applyNumberFormat="1" applyFont="1" applyFill="1" applyBorder="1" applyAlignment="1">
      <alignment vertical="center"/>
    </xf>
    <xf numFmtId="167" fontId="33" fillId="4" borderId="109"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63" fillId="2" borderId="82" xfId="0" applyFont="1" applyFill="1" applyBorder="1" applyAlignment="1">
      <alignment horizontal="center" vertical="center" wrapText="1"/>
    </xf>
    <xf numFmtId="0" fontId="63" fillId="2" borderId="82" xfId="0" applyFont="1" applyFill="1" applyBorder="1" applyAlignment="1">
      <alignment horizontal="center" vertical="center"/>
    </xf>
    <xf numFmtId="0" fontId="63" fillId="2" borderId="82" xfId="2" applyNumberFormat="1" applyFont="1" applyFill="1" applyBorder="1" applyAlignment="1">
      <alignment horizontal="center" vertical="center"/>
    </xf>
    <xf numFmtId="0" fontId="62" fillId="0" borderId="82" xfId="0" applyFont="1" applyBorder="1" applyAlignment="1">
      <alignment horizontal="center" vertical="center"/>
    </xf>
    <xf numFmtId="4" fontId="63" fillId="0" borderId="82" xfId="0" applyNumberFormat="1" applyFont="1" applyBorder="1" applyAlignment="1">
      <alignment horizontal="center" vertical="center"/>
    </xf>
    <xf numFmtId="0" fontId="62" fillId="4" borderId="82" xfId="0" applyFont="1" applyFill="1" applyBorder="1" applyAlignment="1">
      <alignment vertical="center"/>
    </xf>
    <xf numFmtId="0" fontId="63" fillId="4" borderId="82" xfId="0" applyFont="1" applyFill="1" applyBorder="1" applyAlignment="1">
      <alignment horizontal="center" vertical="center"/>
    </xf>
    <xf numFmtId="0" fontId="63" fillId="4" borderId="82" xfId="2" applyNumberFormat="1" applyFont="1" applyFill="1" applyBorder="1" applyAlignment="1">
      <alignment horizontal="center" vertical="center"/>
    </xf>
    <xf numFmtId="0" fontId="62" fillId="4" borderId="82" xfId="0" applyFont="1" applyFill="1" applyBorder="1" applyAlignment="1">
      <alignment horizontal="center" vertical="center"/>
    </xf>
    <xf numFmtId="4" fontId="63" fillId="4" borderId="82" xfId="0" applyNumberFormat="1" applyFont="1" applyFill="1" applyBorder="1" applyAlignment="1">
      <alignment horizontal="center" vertical="center"/>
    </xf>
    <xf numFmtId="0" fontId="31" fillId="0" borderId="0" xfId="0" applyFont="1" applyAlignment="1">
      <alignment vertical="center" wrapText="1"/>
    </xf>
    <xf numFmtId="22" fontId="31" fillId="0" borderId="0" xfId="0" applyNumberFormat="1" applyFont="1" applyAlignment="1">
      <alignment horizontal="center" vertical="center" wrapText="1"/>
    </xf>
    <xf numFmtId="0" fontId="61" fillId="0" borderId="0" xfId="0" applyFont="1" applyAlignment="1">
      <alignment horizontal="justify" vertical="center" wrapText="1"/>
    </xf>
    <xf numFmtId="0" fontId="31" fillId="0" borderId="0" xfId="0" applyFont="1" applyAlignment="1">
      <alignment horizontal="center" vertical="center" wrapText="1"/>
    </xf>
    <xf numFmtId="0" fontId="37" fillId="2" borderId="0" xfId="0" applyFont="1" applyFill="1" applyAlignment="1">
      <alignment horizontal="left" vertical="center"/>
    </xf>
    <xf numFmtId="170" fontId="0" fillId="0" borderId="0" xfId="0" applyNumberFormat="1" applyAlignment="1">
      <alignment horizontal="center" vertical="center"/>
    </xf>
    <xf numFmtId="0" fontId="63" fillId="2" borderId="0" xfId="0" quotePrefix="1" applyFont="1" applyFill="1" applyAlignment="1">
      <alignment horizontal="left" vertical="center"/>
    </xf>
    <xf numFmtId="0" fontId="62" fillId="2" borderId="82" xfId="0" applyFont="1" applyFill="1" applyBorder="1" applyAlignment="1">
      <alignment vertical="center" wrapText="1"/>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Alignment="1">
      <alignment horizontal="center"/>
    </xf>
    <xf numFmtId="0" fontId="64" fillId="0" borderId="0" xfId="0" applyFont="1"/>
    <xf numFmtId="2" fontId="21" fillId="4" borderId="16" xfId="0" applyNumberFormat="1" applyFont="1" applyFill="1" applyBorder="1" applyAlignment="1">
      <alignment horizontal="right" vertical="center"/>
    </xf>
    <xf numFmtId="0" fontId="63" fillId="0" borderId="78" xfId="0" applyFont="1" applyBorder="1" applyAlignment="1">
      <alignment vertical="center" wrapText="1"/>
    </xf>
    <xf numFmtId="4" fontId="32" fillId="3" borderId="45" xfId="0" applyNumberFormat="1" applyFont="1" applyFill="1" applyBorder="1" applyAlignment="1">
      <alignmen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Font="1" applyFill="1" applyAlignment="1">
      <alignment horizontal="left" vertical="center" wrapText="1"/>
    </xf>
    <xf numFmtId="0" fontId="65" fillId="0" borderId="0" xfId="0" applyFont="1" applyAlignment="1">
      <alignment vertical="center"/>
    </xf>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8" fillId="0" borderId="0" xfId="0" applyFont="1"/>
    <xf numFmtId="2" fontId="68" fillId="0" borderId="0" xfId="0" applyNumberFormat="1" applyFont="1" applyAlignment="1">
      <alignment horizontal="center" vertical="center" wrapText="1"/>
    </xf>
    <xf numFmtId="2" fontId="68" fillId="0" borderId="0" xfId="0" quotePrefix="1" applyNumberFormat="1" applyFont="1" applyAlignment="1">
      <alignment horizontal="center" vertical="center" wrapText="1"/>
    </xf>
    <xf numFmtId="17" fontId="68" fillId="0" borderId="0" xfId="0" quotePrefix="1" applyNumberFormat="1" applyFont="1" applyAlignment="1">
      <alignment horizontal="center" vertical="center" wrapText="1"/>
    </xf>
    <xf numFmtId="0" fontId="68" fillId="0" borderId="0" xfId="0" quotePrefix="1" applyFont="1" applyAlignment="1">
      <alignment horizontal="center" vertical="center" wrapText="1"/>
    </xf>
    <xf numFmtId="2" fontId="68" fillId="0" borderId="0" xfId="0" applyNumberFormat="1" applyFont="1" applyAlignment="1">
      <alignment horizontal="left"/>
    </xf>
    <xf numFmtId="2" fontId="68" fillId="0" borderId="0" xfId="0" applyNumberFormat="1" applyFont="1" applyAlignment="1">
      <alignment horizontal="center"/>
    </xf>
    <xf numFmtId="2" fontId="69" fillId="0" borderId="0" xfId="0" applyNumberFormat="1" applyFont="1" applyAlignment="1">
      <alignment horizontal="center"/>
    </xf>
    <xf numFmtId="175" fontId="68" fillId="0" borderId="0" xfId="0" applyNumberFormat="1" applyFont="1"/>
    <xf numFmtId="0" fontId="68" fillId="0" borderId="0" xfId="0" applyFont="1" applyAlignment="1">
      <alignment vertical="top" wrapText="1"/>
    </xf>
    <xf numFmtId="0" fontId="70" fillId="0" borderId="0" xfId="0" applyFont="1"/>
    <xf numFmtId="0" fontId="70" fillId="0" borderId="0" xfId="0" applyFont="1" applyAlignment="1">
      <alignment horizontal="center"/>
    </xf>
    <xf numFmtId="166" fontId="70" fillId="0" borderId="0" xfId="0" applyNumberFormat="1" applyFont="1"/>
    <xf numFmtId="171" fontId="71" fillId="7" borderId="0" xfId="3" applyFont="1" applyFill="1"/>
    <xf numFmtId="172" fontId="71" fillId="7" borderId="0" xfId="3" applyNumberFormat="1" applyFont="1" applyFill="1"/>
    <xf numFmtId="1" fontId="72" fillId="0" borderId="0" xfId="3" applyNumberFormat="1" applyFont="1" applyAlignment="1">
      <alignment horizontal="center"/>
    </xf>
    <xf numFmtId="172" fontId="72" fillId="0" borderId="0" xfId="3" applyNumberFormat="1" applyFont="1" applyAlignment="1">
      <alignment horizontal="center"/>
    </xf>
    <xf numFmtId="2" fontId="73" fillId="0" borderId="0" xfId="3" applyNumberFormat="1" applyFont="1"/>
    <xf numFmtId="2" fontId="73" fillId="0" borderId="0" xfId="3" applyNumberFormat="1" applyFont="1" applyAlignment="1">
      <alignment horizontal="center"/>
    </xf>
    <xf numFmtId="0" fontId="70" fillId="0" borderId="0" xfId="0" applyFont="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78" xfId="1" applyFont="1" applyBorder="1" applyAlignment="1">
      <alignment vertical="center" wrapText="1"/>
    </xf>
    <xf numFmtId="0" fontId="31" fillId="0" borderId="95" xfId="0" applyFont="1" applyBorder="1"/>
    <xf numFmtId="43" fontId="31" fillId="0" borderId="95" xfId="1" applyFont="1" applyBorder="1"/>
    <xf numFmtId="43" fontId="31" fillId="0" borderId="0" xfId="1" applyFont="1"/>
    <xf numFmtId="43" fontId="31" fillId="0" borderId="0" xfId="0" applyNumberFormat="1" applyFont="1"/>
    <xf numFmtId="0" fontId="62" fillId="0" borderId="0" xfId="0" applyFont="1" applyAlignment="1">
      <alignment vertical="center"/>
    </xf>
    <xf numFmtId="0" fontId="62" fillId="0" borderId="0" xfId="0" applyFont="1" applyAlignment="1">
      <alignment horizontal="center"/>
    </xf>
    <xf numFmtId="0" fontId="62" fillId="0" borderId="0" xfId="0" applyFont="1" applyAlignment="1">
      <alignment vertical="center" wrapText="1"/>
    </xf>
    <xf numFmtId="0" fontId="62" fillId="0" borderId="0" xfId="0" applyFont="1" applyAlignment="1">
      <alignment horizontal="left" vertical="center" wrapText="1"/>
    </xf>
    <xf numFmtId="49" fontId="63" fillId="0" borderId="0" xfId="0" applyNumberFormat="1" applyFont="1" applyAlignment="1">
      <alignment horizontal="right"/>
    </xf>
    <xf numFmtId="43" fontId="31" fillId="0" borderId="95" xfId="0" applyNumberFormat="1" applyFont="1" applyBorder="1"/>
    <xf numFmtId="1" fontId="63" fillId="0" borderId="0" xfId="0" applyNumberFormat="1" applyFont="1" applyAlignment="1">
      <alignment horizontal="right"/>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0" fontId="31" fillId="0" borderId="0" xfId="0" applyFont="1" applyAlignment="1">
      <alignment horizontal="center"/>
    </xf>
    <xf numFmtId="0" fontId="63" fillId="0" borderId="0" xfId="0" applyFont="1" applyAlignment="1">
      <alignment vertical="center"/>
    </xf>
    <xf numFmtId="0" fontId="63" fillId="0" borderId="0" xfId="0" quotePrefix="1" applyFont="1" applyAlignment="1">
      <alignment horizontal="left" vertical="top"/>
    </xf>
    <xf numFmtId="43" fontId="31" fillId="0" borderId="0" xfId="0" applyNumberFormat="1" applyFont="1" applyAlignment="1">
      <alignment vertical="center"/>
    </xf>
    <xf numFmtId="166"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31" fillId="2" borderId="85" xfId="0" quotePrefix="1" applyFont="1" applyFill="1" applyBorder="1" applyAlignment="1">
      <alignment vertical="center" wrapText="1"/>
    </xf>
    <xf numFmtId="168" fontId="31" fillId="2" borderId="85" xfId="0" applyNumberFormat="1" applyFont="1" applyFill="1" applyBorder="1" applyAlignment="1">
      <alignment horizontal="center" vertical="center" wrapText="1"/>
    </xf>
    <xf numFmtId="0" fontId="31" fillId="2" borderId="85" xfId="2" applyNumberFormat="1" applyFont="1" applyFill="1" applyBorder="1" applyAlignment="1">
      <alignment horizontal="center" vertical="center" wrapText="1"/>
    </xf>
    <xf numFmtId="2" fontId="31" fillId="2" borderId="85" xfId="2" applyNumberFormat="1" applyFont="1" applyFill="1" applyBorder="1" applyAlignment="1">
      <alignment horizontal="center" vertical="center" wrapText="1"/>
    </xf>
    <xf numFmtId="4" fontId="31" fillId="2" borderId="85" xfId="0" applyNumberFormat="1" applyFont="1" applyFill="1" applyBorder="1" applyAlignment="1">
      <alignment horizontal="center" vertical="center" wrapText="1"/>
    </xf>
    <xf numFmtId="0" fontId="31" fillId="2" borderId="85"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3" fillId="5" borderId="29" xfId="0" applyNumberFormat="1" applyFont="1" applyFill="1" applyBorder="1" applyAlignment="1">
      <alignment horizontal="center" vertical="center"/>
    </xf>
    <xf numFmtId="167" fontId="63"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3" fillId="2" borderId="31" xfId="0" applyNumberFormat="1" applyFont="1" applyFill="1" applyBorder="1" applyAlignment="1">
      <alignment horizontal="center" vertical="center"/>
    </xf>
    <xf numFmtId="167" fontId="63"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3" fillId="5" borderId="31" xfId="0" applyNumberFormat="1" applyFont="1" applyFill="1" applyBorder="1" applyAlignment="1">
      <alignment horizontal="center" vertical="center"/>
    </xf>
    <xf numFmtId="167" fontId="63"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3" fillId="2" borderId="34" xfId="0" applyNumberFormat="1" applyFont="1" applyFill="1" applyBorder="1" applyAlignment="1">
      <alignment horizontal="center" vertical="center"/>
    </xf>
    <xf numFmtId="167" fontId="63" fillId="2" borderId="26" xfId="2" applyNumberFormat="1" applyFont="1" applyFill="1" applyBorder="1" applyAlignment="1">
      <alignment horizontal="center" vertical="center"/>
    </xf>
    <xf numFmtId="170" fontId="76" fillId="5" borderId="23" xfId="0" applyNumberFormat="1" applyFont="1" applyFill="1" applyBorder="1" applyAlignment="1">
      <alignment horizontal="center" vertical="center"/>
    </xf>
    <xf numFmtId="170" fontId="76" fillId="5" borderId="40" xfId="0" applyNumberFormat="1" applyFont="1" applyFill="1" applyBorder="1" applyAlignment="1">
      <alignment horizontal="center" vertical="center"/>
    </xf>
    <xf numFmtId="167" fontId="62" fillId="5" borderId="23" xfId="2" applyNumberFormat="1" applyFont="1" applyFill="1" applyBorder="1" applyAlignment="1">
      <alignment horizontal="center" vertical="center"/>
    </xf>
    <xf numFmtId="0" fontId="79"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3" xfId="0" applyNumberFormat="1" applyFont="1" applyFill="1" applyBorder="1" applyAlignment="1">
      <alignment horizontal="center" vertical="center" wrapText="1"/>
    </xf>
    <xf numFmtId="169" fontId="36" fillId="9" borderId="83" xfId="0" applyNumberFormat="1"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84" xfId="0" applyFont="1" applyFill="1" applyBorder="1" applyAlignment="1">
      <alignment horizontal="center" vertical="center" wrapText="1"/>
    </xf>
    <xf numFmtId="0" fontId="36" fillId="9" borderId="106" xfId="0" quotePrefix="1" applyFont="1" applyFill="1" applyBorder="1" applyAlignment="1">
      <alignment horizontal="left" vertical="center"/>
    </xf>
    <xf numFmtId="168" fontId="36" fillId="9" borderId="107" xfId="0" applyNumberFormat="1" applyFont="1" applyFill="1" applyBorder="1" applyAlignment="1">
      <alignment horizontal="right" vertical="center"/>
    </xf>
    <xf numFmtId="168" fontId="36" fillId="9" borderId="107" xfId="0" applyNumberFormat="1" applyFont="1" applyFill="1" applyBorder="1" applyAlignment="1">
      <alignment horizontal="left" vertical="center"/>
    </xf>
    <xf numFmtId="0" fontId="36" fillId="9" borderId="107" xfId="2" applyNumberFormat="1" applyFont="1" applyFill="1" applyBorder="1" applyAlignment="1">
      <alignment horizontal="left" vertical="center"/>
    </xf>
    <xf numFmtId="0" fontId="36" fillId="9" borderId="108" xfId="2" applyNumberFormat="1" applyFont="1" applyFill="1" applyBorder="1" applyAlignment="1">
      <alignment horizontal="center" vertical="center"/>
    </xf>
    <xf numFmtId="4" fontId="36" fillId="9" borderId="85" xfId="0" applyNumberFormat="1" applyFont="1" applyFill="1" applyBorder="1" applyAlignment="1">
      <alignment horizontal="center" vertical="center"/>
    </xf>
    <xf numFmtId="0" fontId="36" fillId="9" borderId="85"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0" fontId="36" fillId="9" borderId="93" xfId="5" applyFont="1" applyFill="1" applyBorder="1" applyAlignment="1">
      <alignment horizontal="center" vertical="center"/>
    </xf>
    <xf numFmtId="0" fontId="36" fillId="9" borderId="99" xfId="5" applyFont="1" applyFill="1" applyBorder="1" applyAlignment="1">
      <alignment horizontal="center" vertical="center"/>
    </xf>
    <xf numFmtId="4" fontId="36" fillId="9" borderId="57" xfId="0" applyNumberFormat="1" applyFont="1" applyFill="1" applyBorder="1" applyAlignment="1">
      <alignment vertical="center"/>
    </xf>
    <xf numFmtId="0" fontId="36" fillId="9" borderId="101" xfId="0" applyFont="1" applyFill="1" applyBorder="1" applyAlignment="1">
      <alignment vertical="center"/>
    </xf>
    <xf numFmtId="4" fontId="36" fillId="9" borderId="101" xfId="0" applyNumberFormat="1" applyFont="1" applyFill="1" applyBorder="1" applyAlignment="1">
      <alignment vertical="center"/>
    </xf>
    <xf numFmtId="4" fontId="77"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102" xfId="6" applyNumberFormat="1" applyFont="1" applyFill="1" applyBorder="1" applyAlignment="1">
      <alignment horizontal="center" vertical="center"/>
    </xf>
    <xf numFmtId="174" fontId="42" fillId="9" borderId="104" xfId="0" applyNumberFormat="1" applyFont="1" applyFill="1" applyBorder="1" applyAlignment="1">
      <alignment horizontal="center" vertical="center"/>
    </xf>
    <xf numFmtId="174" fontId="42" fillId="9" borderId="104"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7" fillId="9" borderId="101"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6" fillId="4" borderId="96" xfId="0" applyFont="1" applyFill="1" applyBorder="1"/>
    <xf numFmtId="0" fontId="76" fillId="4" borderId="97" xfId="0" applyFont="1" applyFill="1" applyBorder="1"/>
    <xf numFmtId="43" fontId="76" fillId="4" borderId="97" xfId="1" applyFont="1" applyFill="1" applyBorder="1"/>
    <xf numFmtId="43" fontId="76" fillId="4" borderId="97" xfId="0" applyNumberFormat="1" applyFont="1" applyFill="1" applyBorder="1"/>
    <xf numFmtId="10" fontId="76" fillId="4" borderId="98" xfId="2" applyNumberFormat="1" applyFont="1" applyFill="1" applyBorder="1"/>
    <xf numFmtId="43" fontId="68" fillId="0" borderId="0" xfId="1" applyFont="1" applyAlignment="1">
      <alignment horizontal="left"/>
    </xf>
    <xf numFmtId="0" fontId="68" fillId="0" borderId="0" xfId="0" applyFont="1" applyAlignment="1">
      <alignment horizontal="left" vertical="top" wrapText="1"/>
    </xf>
    <xf numFmtId="0" fontId="68" fillId="0" borderId="0" xfId="0" applyFont="1" applyAlignment="1">
      <alignment horizontal="left"/>
    </xf>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0" fontId="62" fillId="4" borderId="82" xfId="2" applyNumberFormat="1" applyFont="1" applyFill="1" applyBorder="1" applyAlignment="1">
      <alignment horizontal="center" vertical="center"/>
    </xf>
    <xf numFmtId="4" fontId="62" fillId="4" borderId="82" xfId="0" applyNumberFormat="1" applyFont="1" applyFill="1" applyBorder="1" applyAlignment="1">
      <alignment horizontal="center" vertical="center"/>
    </xf>
    <xf numFmtId="166" fontId="70" fillId="0" borderId="0" xfId="7" applyNumberFormat="1" applyFont="1"/>
    <xf numFmtId="0" fontId="63" fillId="0" borderId="0" xfId="0" applyFont="1" applyAlignment="1">
      <alignment vertical="center" wrapText="1"/>
    </xf>
    <xf numFmtId="0" fontId="80" fillId="0" borderId="0" xfId="0" applyFont="1"/>
    <xf numFmtId="0" fontId="81" fillId="0" borderId="0" xfId="0" applyFont="1" applyAlignment="1">
      <alignment vertical="center"/>
    </xf>
    <xf numFmtId="0" fontId="81" fillId="0" borderId="0" xfId="0" applyFont="1" applyAlignment="1">
      <alignment horizontal="center"/>
    </xf>
    <xf numFmtId="0" fontId="81" fillId="0" borderId="0" xfId="0" applyFont="1" applyAlignment="1">
      <alignment horizontal="left" vertical="center" wrapText="1"/>
    </xf>
    <xf numFmtId="0" fontId="81" fillId="0" borderId="0" xfId="0" applyFont="1" applyAlignment="1">
      <alignment vertical="center" wrapText="1"/>
    </xf>
    <xf numFmtId="49" fontId="82" fillId="0" borderId="0" xfId="0" applyNumberFormat="1" applyFont="1" applyAlignment="1">
      <alignment horizontal="right"/>
    </xf>
    <xf numFmtId="1" fontId="82" fillId="0" borderId="0" xfId="0" applyNumberFormat="1" applyFont="1" applyAlignment="1">
      <alignment horizontal="right"/>
    </xf>
    <xf numFmtId="0" fontId="83" fillId="0" borderId="0" xfId="0" applyFont="1" applyAlignment="1">
      <alignment vertical="center"/>
    </xf>
    <xf numFmtId="0" fontId="83" fillId="0" borderId="0" xfId="0" applyFont="1" applyAlignment="1">
      <alignment vertical="center" wrapText="1"/>
    </xf>
    <xf numFmtId="0" fontId="36" fillId="9" borderId="111" xfId="0" applyFont="1" applyFill="1" applyBorder="1" applyAlignment="1">
      <alignment horizontal="center" vertical="center" wrapText="1"/>
    </xf>
    <xf numFmtId="0" fontId="36" fillId="9" borderId="112" xfId="0" applyFont="1" applyFill="1" applyBorder="1" applyAlignment="1">
      <alignment horizontal="center" vertical="center" wrapText="1"/>
    </xf>
    <xf numFmtId="0" fontId="36" fillId="9" borderId="113" xfId="0" applyFont="1" applyFill="1" applyBorder="1" applyAlignment="1">
      <alignment horizontal="center" vertical="center" wrapText="1"/>
    </xf>
    <xf numFmtId="0" fontId="36" fillId="9" borderId="114" xfId="0" applyFont="1" applyFill="1" applyBorder="1" applyAlignment="1">
      <alignment horizontal="center" vertical="center" wrapText="1"/>
    </xf>
    <xf numFmtId="0" fontId="36" fillId="9" borderId="11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6" fillId="0" borderId="0" xfId="0" applyFont="1"/>
    <xf numFmtId="22" fontId="30" fillId="0" borderId="0" xfId="0" applyNumberFormat="1" applyFont="1" applyAlignment="1">
      <alignment vertical="center"/>
    </xf>
    <xf numFmtId="0" fontId="31" fillId="0" borderId="116" xfId="0" applyFont="1" applyBorder="1" applyAlignment="1">
      <alignment vertical="center" wrapText="1"/>
    </xf>
    <xf numFmtId="22" fontId="31" fillId="0" borderId="116" xfId="0" applyNumberFormat="1" applyFont="1" applyBorder="1" applyAlignment="1">
      <alignment horizontal="center" vertical="center" wrapText="1"/>
    </xf>
    <xf numFmtId="0" fontId="61" fillId="0" borderId="116" xfId="0" applyFont="1" applyBorder="1" applyAlignment="1">
      <alignment horizontal="justify" vertical="center" wrapText="1"/>
    </xf>
    <xf numFmtId="0" fontId="31" fillId="0" borderId="116" xfId="0" applyFont="1" applyBorder="1" applyAlignment="1">
      <alignment horizontal="center" vertical="center" wrapText="1"/>
    </xf>
    <xf numFmtId="0" fontId="31" fillId="0" borderId="117" xfId="0" applyFont="1" applyBorder="1" applyAlignment="1">
      <alignment vertical="center" wrapText="1"/>
    </xf>
    <xf numFmtId="22" fontId="31" fillId="0" borderId="117" xfId="0" applyNumberFormat="1" applyFont="1" applyBorder="1" applyAlignment="1">
      <alignment horizontal="center" vertical="center" wrapText="1"/>
    </xf>
    <xf numFmtId="0" fontId="61" fillId="0" borderId="117" xfId="0" applyFont="1" applyBorder="1" applyAlignment="1">
      <alignment horizontal="justify" vertical="center" wrapText="1"/>
    </xf>
    <xf numFmtId="0" fontId="31" fillId="0" borderId="117" xfId="0" applyFont="1" applyBorder="1" applyAlignment="1">
      <alignment horizontal="center" vertical="center" wrapText="1"/>
    </xf>
    <xf numFmtId="0" fontId="31" fillId="0" borderId="118" xfId="0" applyFont="1" applyBorder="1" applyAlignment="1">
      <alignment vertical="center" wrapText="1"/>
    </xf>
    <xf numFmtId="22" fontId="31" fillId="0" borderId="118" xfId="0" applyNumberFormat="1" applyFont="1" applyBorder="1" applyAlignment="1">
      <alignment horizontal="center" vertical="center" wrapText="1"/>
    </xf>
    <xf numFmtId="0" fontId="61" fillId="0" borderId="118" xfId="0" applyFont="1" applyBorder="1" applyAlignment="1">
      <alignment horizontal="justify" vertical="center" wrapText="1"/>
    </xf>
    <xf numFmtId="0" fontId="31" fillId="0" borderId="118" xfId="0" applyFont="1" applyBorder="1" applyAlignment="1">
      <alignment horizontal="center" vertical="center" wrapText="1"/>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3" fontId="76" fillId="0" borderId="0" xfId="1" applyFont="1"/>
    <xf numFmtId="4" fontId="36" fillId="9" borderId="100" xfId="0" applyNumberFormat="1" applyFont="1" applyFill="1" applyBorder="1" applyAlignment="1">
      <alignment vertical="center"/>
    </xf>
    <xf numFmtId="0" fontId="76" fillId="0" borderId="0" xfId="0" applyFont="1" applyAlignment="1">
      <alignment vertical="center"/>
    </xf>
    <xf numFmtId="43" fontId="76" fillId="0" borderId="0" xfId="0" applyNumberFormat="1" applyFont="1" applyAlignment="1">
      <alignment vertical="center"/>
    </xf>
    <xf numFmtId="10" fontId="31" fillId="0" borderId="0" xfId="2" applyNumberFormat="1" applyFont="1" applyAlignment="1">
      <alignment vertical="center"/>
    </xf>
    <xf numFmtId="20" fontId="33" fillId="0" borderId="104" xfId="0" applyNumberFormat="1" applyFont="1" applyBorder="1" applyAlignment="1">
      <alignment horizontal="center" vertical="center"/>
    </xf>
    <xf numFmtId="20" fontId="33" fillId="0" borderId="104" xfId="0" applyNumberFormat="1" applyFont="1" applyBorder="1" applyAlignment="1">
      <alignment horizontal="center"/>
    </xf>
    <xf numFmtId="4" fontId="33" fillId="6" borderId="104" xfId="0" applyNumberFormat="1" applyFont="1" applyFill="1" applyBorder="1" applyAlignment="1">
      <alignment horizontal="center"/>
    </xf>
    <xf numFmtId="4" fontId="0" fillId="0" borderId="119" xfId="0" applyNumberFormat="1" applyBorder="1" applyAlignment="1">
      <alignment vertical="center"/>
    </xf>
    <xf numFmtId="4" fontId="0" fillId="0" borderId="120" xfId="0" applyNumberFormat="1" applyBorder="1" applyAlignment="1">
      <alignment vertical="center"/>
    </xf>
    <xf numFmtId="4" fontId="0" fillId="0" borderId="121" xfId="0" applyNumberFormat="1" applyBorder="1" applyAlignment="1">
      <alignment vertical="center"/>
    </xf>
    <xf numFmtId="167" fontId="0" fillId="0" borderId="122" xfId="2" applyNumberFormat="1" applyFont="1" applyBorder="1" applyAlignment="1">
      <alignment vertical="center"/>
    </xf>
    <xf numFmtId="4" fontId="0" fillId="4" borderId="3" xfId="0" applyNumberFormat="1" applyFill="1" applyBorder="1" applyAlignment="1">
      <alignment vertical="center"/>
    </xf>
    <xf numFmtId="4" fontId="0" fillId="4" borderId="123" xfId="0" applyNumberFormat="1" applyFill="1" applyBorder="1" applyAlignment="1">
      <alignment vertical="center"/>
    </xf>
    <xf numFmtId="4" fontId="0" fillId="4" borderId="124" xfId="0" applyNumberFormat="1" applyFill="1" applyBorder="1" applyAlignment="1">
      <alignment vertical="center"/>
    </xf>
    <xf numFmtId="167" fontId="0" fillId="4" borderId="125" xfId="2" applyNumberFormat="1" applyFont="1" applyFill="1" applyBorder="1" applyAlignment="1">
      <alignment vertical="center"/>
    </xf>
    <xf numFmtId="4" fontId="0" fillId="0" borderId="3" xfId="0" applyNumberFormat="1" applyBorder="1" applyAlignment="1">
      <alignment vertical="center"/>
    </xf>
    <xf numFmtId="4" fontId="0" fillId="0" borderId="123" xfId="0" applyNumberFormat="1" applyBorder="1" applyAlignment="1">
      <alignment vertical="center"/>
    </xf>
    <xf numFmtId="4" fontId="0" fillId="0" borderId="124" xfId="0" applyNumberFormat="1" applyBorder="1" applyAlignment="1">
      <alignment vertical="center"/>
    </xf>
    <xf numFmtId="167" fontId="0" fillId="0" borderId="125" xfId="2" applyNumberFormat="1" applyFont="1" applyBorder="1" applyAlignment="1">
      <alignment vertical="center"/>
    </xf>
    <xf numFmtId="4" fontId="0" fillId="4" borderId="41" xfId="0" applyNumberFormat="1" applyFill="1" applyBorder="1" applyAlignment="1">
      <alignment vertical="center"/>
    </xf>
    <xf numFmtId="4" fontId="0" fillId="4" borderId="126" xfId="0" applyNumberFormat="1" applyFill="1" applyBorder="1" applyAlignment="1">
      <alignment vertical="center"/>
    </xf>
    <xf numFmtId="4" fontId="0" fillId="4" borderId="127" xfId="0" applyNumberFormat="1" applyFill="1" applyBorder="1" applyAlignment="1">
      <alignment vertical="center"/>
    </xf>
    <xf numFmtId="167" fontId="0" fillId="4" borderId="128" xfId="2" applyNumberFormat="1" applyFont="1" applyFill="1" applyBorder="1" applyAlignment="1">
      <alignment vertical="center"/>
    </xf>
    <xf numFmtId="4" fontId="0" fillId="0" borderId="119" xfId="0" applyNumberFormat="1" applyBorder="1"/>
    <xf numFmtId="4" fontId="0" fillId="0" borderId="129" xfId="0" applyNumberFormat="1" applyBorder="1" applyAlignment="1">
      <alignment horizontal="right"/>
    </xf>
    <xf numFmtId="167" fontId="0" fillId="0" borderId="122" xfId="2" applyNumberFormat="1" applyFont="1" applyBorder="1"/>
    <xf numFmtId="4" fontId="0" fillId="4" borderId="3" xfId="0" applyNumberFormat="1" applyFill="1" applyBorder="1"/>
    <xf numFmtId="4" fontId="0" fillId="4" borderId="130" xfId="0" applyNumberFormat="1" applyFill="1" applyBorder="1" applyAlignment="1">
      <alignment horizontal="right"/>
    </xf>
    <xf numFmtId="167" fontId="0" fillId="4" borderId="125" xfId="2" applyNumberFormat="1" applyFont="1" applyFill="1" applyBorder="1"/>
    <xf numFmtId="4" fontId="0" fillId="0" borderId="3" xfId="0" applyNumberFormat="1" applyBorder="1"/>
    <xf numFmtId="4" fontId="0" fillId="0" borderId="130" xfId="0" applyNumberFormat="1" applyBorder="1" applyAlignment="1">
      <alignment horizontal="right"/>
    </xf>
    <xf numFmtId="167" fontId="0" fillId="0" borderId="125" xfId="2" applyNumberFormat="1" applyFont="1" applyBorder="1"/>
    <xf numFmtId="4" fontId="0" fillId="4" borderId="131" xfId="0" applyNumberFormat="1" applyFill="1" applyBorder="1"/>
    <xf numFmtId="4" fontId="0" fillId="4" borderId="132" xfId="0" applyNumberFormat="1" applyFill="1" applyBorder="1" applyAlignment="1">
      <alignment horizontal="right"/>
    </xf>
    <xf numFmtId="167" fontId="0" fillId="4" borderId="133" xfId="2" applyNumberFormat="1" applyFont="1" applyFill="1" applyBorder="1"/>
    <xf numFmtId="0" fontId="68" fillId="0" borderId="0" xfId="0" applyFont="1" applyAlignment="1">
      <alignment horizontal="right"/>
    </xf>
    <xf numFmtId="0" fontId="82" fillId="0" borderId="0" xfId="0" applyFont="1" applyAlignment="1">
      <alignment horizontal="right"/>
    </xf>
    <xf numFmtId="2" fontId="51" fillId="0" borderId="0" xfId="0" applyNumberFormat="1" applyFont="1"/>
    <xf numFmtId="174" fontId="32" fillId="3" borderId="45" xfId="0" applyNumberFormat="1" applyFont="1" applyFill="1" applyBorder="1" applyAlignment="1">
      <alignment vertical="center"/>
    </xf>
    <xf numFmtId="0" fontId="61" fillId="0" borderId="72" xfId="0" applyFont="1" applyBorder="1" applyAlignment="1">
      <alignment horizontal="left" vertical="center" wrapText="1"/>
    </xf>
    <xf numFmtId="0" fontId="31" fillId="0" borderId="134" xfId="0" applyFont="1" applyBorder="1" applyAlignment="1">
      <alignment vertical="center" wrapText="1"/>
    </xf>
    <xf numFmtId="0" fontId="31" fillId="0" borderId="135" xfId="0" applyFont="1" applyBorder="1" applyAlignment="1">
      <alignment vertical="center" wrapText="1"/>
    </xf>
    <xf numFmtId="22" fontId="31" fillId="0" borderId="135" xfId="0" applyNumberFormat="1" applyFont="1" applyBorder="1" applyAlignment="1">
      <alignment horizontal="center" vertical="center" wrapText="1"/>
    </xf>
    <xf numFmtId="0" fontId="61" fillId="0" borderId="135" xfId="0" applyFont="1" applyBorder="1" applyAlignment="1">
      <alignment horizontal="justify" vertical="center" wrapText="1"/>
    </xf>
    <xf numFmtId="0" fontId="31" fillId="0" borderId="135" xfId="0" applyFont="1" applyBorder="1" applyAlignment="1">
      <alignment horizontal="center" vertical="center" wrapText="1"/>
    </xf>
    <xf numFmtId="0" fontId="31" fillId="0" borderId="136" xfId="0" applyFont="1" applyBorder="1" applyAlignment="1">
      <alignment horizontal="center" vertical="center" wrapText="1"/>
    </xf>
    <xf numFmtId="0" fontId="76" fillId="0" borderId="97" xfId="0" applyFont="1" applyBorder="1"/>
    <xf numFmtId="43" fontId="76" fillId="0" borderId="97" xfId="1" applyFont="1" applyBorder="1"/>
    <xf numFmtId="0" fontId="76" fillId="4" borderId="0" xfId="0" applyFont="1" applyFill="1"/>
    <xf numFmtId="43" fontId="76" fillId="4" borderId="0" xfId="1" applyFont="1" applyFill="1"/>
    <xf numFmtId="0" fontId="31" fillId="2" borderId="0" xfId="0" applyFont="1" applyFill="1"/>
    <xf numFmtId="43" fontId="31" fillId="2" borderId="0" xfId="0" applyNumberFormat="1" applyFont="1" applyFill="1"/>
    <xf numFmtId="0" fontId="76" fillId="2" borderId="0" xfId="0" applyFont="1" applyFill="1"/>
    <xf numFmtId="43" fontId="76" fillId="4" borderId="0" xfId="0" applyNumberFormat="1" applyFont="1" applyFill="1"/>
    <xf numFmtId="43" fontId="76" fillId="2" borderId="0" xfId="0" applyNumberFormat="1" applyFont="1" applyFill="1"/>
    <xf numFmtId="43" fontId="31" fillId="2" borderId="0" xfId="1" applyFont="1" applyFill="1"/>
    <xf numFmtId="0" fontId="85" fillId="0" borderId="0" xfId="0" applyFont="1"/>
    <xf numFmtId="0" fontId="86" fillId="0" borderId="0" xfId="0" applyFont="1" applyAlignment="1">
      <alignment vertical="center"/>
    </xf>
    <xf numFmtId="49" fontId="85" fillId="0" borderId="0" xfId="0" applyNumberFormat="1" applyFont="1" applyAlignment="1">
      <alignment horizontal="center"/>
    </xf>
    <xf numFmtId="1" fontId="85" fillId="0" borderId="0" xfId="0" applyNumberFormat="1" applyFont="1" applyAlignment="1">
      <alignment horizontal="center"/>
    </xf>
    <xf numFmtId="49" fontId="85" fillId="0" borderId="0" xfId="0" applyNumberFormat="1" applyFont="1" applyAlignment="1">
      <alignment horizontal="left"/>
    </xf>
    <xf numFmtId="1" fontId="85" fillId="0" borderId="0" xfId="0" applyNumberFormat="1" applyFont="1" applyAlignment="1">
      <alignment horizontal="left"/>
    </xf>
    <xf numFmtId="165" fontId="85" fillId="0" borderId="0" xfId="0" applyNumberFormat="1" applyFont="1" applyAlignment="1">
      <alignment horizontal="center"/>
    </xf>
    <xf numFmtId="0" fontId="85" fillId="0" borderId="0" xfId="0" applyFont="1" applyAlignment="1">
      <alignment horizontal="center"/>
    </xf>
    <xf numFmtId="2" fontId="85" fillId="0" borderId="0" xfId="0" applyNumberFormat="1" applyFont="1"/>
    <xf numFmtId="10" fontId="85"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 fontId="36" fillId="9" borderId="139" xfId="0" applyNumberFormat="1" applyFont="1" applyFill="1" applyBorder="1" applyAlignment="1">
      <alignment horizontal="center" vertical="center"/>
    </xf>
    <xf numFmtId="0" fontId="36" fillId="9" borderId="141" xfId="5" applyFont="1" applyFill="1" applyBorder="1" applyAlignment="1">
      <alignment horizontal="center" vertical="center"/>
    </xf>
    <xf numFmtId="0" fontId="36" fillId="9" borderId="143" xfId="5" applyFont="1" applyFill="1" applyBorder="1" applyAlignment="1">
      <alignment horizontal="center" vertical="center"/>
    </xf>
    <xf numFmtId="0" fontId="76" fillId="0" borderId="144" xfId="0" applyFont="1" applyBorder="1"/>
    <xf numFmtId="43" fontId="31" fillId="0" borderId="145" xfId="1" applyFont="1" applyBorder="1"/>
    <xf numFmtId="0" fontId="76" fillId="4" borderId="146" xfId="0" applyFont="1" applyFill="1" applyBorder="1"/>
    <xf numFmtId="43" fontId="76" fillId="4" borderId="147" xfId="1" applyFont="1" applyFill="1" applyBorder="1"/>
    <xf numFmtId="0" fontId="76" fillId="0" borderId="148" xfId="0" applyFont="1" applyBorder="1"/>
    <xf numFmtId="43" fontId="31" fillId="0" borderId="149" xfId="1" applyFont="1" applyBorder="1"/>
    <xf numFmtId="43" fontId="76" fillId="0" borderId="149" xfId="1" applyFont="1" applyBorder="1"/>
    <xf numFmtId="0" fontId="76" fillId="4" borderId="150" xfId="0" applyFont="1" applyFill="1" applyBorder="1"/>
    <xf numFmtId="0" fontId="76" fillId="4" borderId="151" xfId="0" applyFont="1" applyFill="1" applyBorder="1"/>
    <xf numFmtId="43" fontId="76" fillId="4" borderId="151" xfId="1" applyFont="1" applyFill="1" applyBorder="1"/>
    <xf numFmtId="43" fontId="76" fillId="4" borderId="152" xfId="1" applyFont="1" applyFill="1" applyBorder="1"/>
    <xf numFmtId="0" fontId="76" fillId="0" borderId="148" xfId="0" applyFont="1" applyBorder="1" applyAlignment="1">
      <alignment wrapText="1"/>
    </xf>
    <xf numFmtId="0" fontId="76" fillId="0" borderId="146" xfId="0" applyFont="1" applyBorder="1"/>
    <xf numFmtId="43" fontId="76" fillId="0" borderId="147" xfId="1" applyFont="1" applyBorder="1"/>
    <xf numFmtId="0" fontId="31" fillId="0" borderId="149" xfId="0" applyFont="1" applyBorder="1"/>
    <xf numFmtId="0" fontId="76" fillId="2" borderId="148" xfId="0" applyFont="1" applyFill="1" applyBorder="1"/>
    <xf numFmtId="43" fontId="31" fillId="2" borderId="149" xfId="1" applyFont="1" applyFill="1" applyBorder="1"/>
    <xf numFmtId="0" fontId="76" fillId="4" borderId="148" xfId="0" applyFont="1" applyFill="1" applyBorder="1"/>
    <xf numFmtId="43" fontId="76" fillId="4" borderId="149" xfId="1" applyFont="1" applyFill="1" applyBorder="1"/>
    <xf numFmtId="0" fontId="36" fillId="9" borderId="154" xfId="0" applyFont="1" applyFill="1" applyBorder="1" applyAlignment="1">
      <alignment vertical="center"/>
    </xf>
    <xf numFmtId="4" fontId="36" fillId="9" borderId="155" xfId="0" applyNumberFormat="1" applyFont="1" applyFill="1" applyBorder="1" applyAlignment="1">
      <alignment vertical="center"/>
    </xf>
    <xf numFmtId="4" fontId="77" fillId="9" borderId="155" xfId="0" applyNumberFormat="1" applyFont="1" applyFill="1" applyBorder="1" applyAlignment="1">
      <alignment vertical="center"/>
    </xf>
    <xf numFmtId="0" fontId="36" fillId="9" borderId="156" xfId="0" applyFont="1" applyFill="1" applyBorder="1" applyAlignment="1">
      <alignment vertical="center"/>
    </xf>
    <xf numFmtId="0" fontId="0" fillId="0" borderId="148" xfId="0" applyBorder="1"/>
    <xf numFmtId="0" fontId="0" fillId="0" borderId="149" xfId="0" applyBorder="1"/>
    <xf numFmtId="0" fontId="21" fillId="2" borderId="157" xfId="0" quotePrefix="1" applyFont="1" applyFill="1" applyBorder="1" applyAlignment="1">
      <alignment vertical="center"/>
    </xf>
    <xf numFmtId="0" fontId="30" fillId="0" borderId="158" xfId="0" applyFont="1" applyBorder="1"/>
    <xf numFmtId="0" fontId="30" fillId="0" borderId="159" xfId="0" applyFont="1" applyBorder="1"/>
    <xf numFmtId="0" fontId="36" fillId="11" borderId="163" xfId="6" applyFont="1" applyFill="1" applyBorder="1" applyAlignment="1">
      <alignment horizontal="center" vertical="center" wrapText="1"/>
    </xf>
    <xf numFmtId="0" fontId="36" fillId="11" borderId="163" xfId="6" applyFont="1" applyFill="1" applyBorder="1" applyAlignment="1">
      <alignment horizontal="center" vertical="center"/>
    </xf>
    <xf numFmtId="0" fontId="36" fillId="11" borderId="165" xfId="6" applyFont="1" applyFill="1" applyBorder="1" applyAlignment="1">
      <alignment horizontal="center" vertical="center"/>
    </xf>
    <xf numFmtId="9" fontId="31" fillId="0" borderId="145" xfId="2" applyFont="1" applyBorder="1"/>
    <xf numFmtId="10" fontId="76" fillId="4" borderId="147" xfId="2" applyNumberFormat="1" applyFont="1" applyFill="1" applyBorder="1"/>
    <xf numFmtId="10" fontId="31" fillId="0" borderId="145" xfId="2" applyNumberFormat="1" applyFont="1" applyBorder="1"/>
    <xf numFmtId="10" fontId="31" fillId="0" borderId="149" xfId="2" applyNumberFormat="1" applyFont="1" applyBorder="1"/>
    <xf numFmtId="10" fontId="31" fillId="2" borderId="149" xfId="2" applyNumberFormat="1" applyFont="1" applyFill="1" applyBorder="1"/>
    <xf numFmtId="10" fontId="76" fillId="2" borderId="149" xfId="2" applyNumberFormat="1" applyFont="1" applyFill="1" applyBorder="1"/>
    <xf numFmtId="0" fontId="76" fillId="2" borderId="150" xfId="0" applyFont="1" applyFill="1" applyBorder="1"/>
    <xf numFmtId="0" fontId="76" fillId="2" borderId="151" xfId="0" applyFont="1" applyFill="1" applyBorder="1"/>
    <xf numFmtId="43" fontId="76" fillId="2" borderId="151" xfId="0" applyNumberFormat="1" applyFont="1" applyFill="1" applyBorder="1"/>
    <xf numFmtId="10" fontId="76" fillId="2" borderId="152" xfId="2" applyNumberFormat="1" applyFont="1" applyFill="1" applyBorder="1"/>
    <xf numFmtId="43" fontId="76" fillId="4" borderId="151" xfId="0" applyNumberFormat="1" applyFont="1" applyFill="1" applyBorder="1"/>
    <xf numFmtId="10" fontId="76" fillId="4" borderId="152" xfId="2" applyNumberFormat="1" applyFont="1" applyFill="1" applyBorder="1"/>
    <xf numFmtId="174" fontId="36" fillId="9" borderId="57" xfId="0" applyNumberFormat="1" applyFont="1" applyFill="1" applyBorder="1" applyAlignment="1">
      <alignment vertical="center"/>
    </xf>
    <xf numFmtId="174" fontId="27" fillId="6" borderId="104" xfId="0" applyNumberFormat="1" applyFont="1" applyFill="1" applyBorder="1"/>
    <xf numFmtId="177" fontId="0" fillId="0" borderId="0" xfId="1" applyNumberFormat="1" applyFont="1" applyAlignment="1">
      <alignment horizontal="center"/>
    </xf>
    <xf numFmtId="10" fontId="76" fillId="4" borderId="149" xfId="2" applyNumberFormat="1" applyFont="1" applyFill="1" applyBorder="1"/>
    <xf numFmtId="0" fontId="76" fillId="0" borderId="148" xfId="0" applyFont="1" applyBorder="1" applyAlignment="1">
      <alignment vertical="center"/>
    </xf>
    <xf numFmtId="10" fontId="76" fillId="0" borderId="149" xfId="2" applyNumberFormat="1" applyFont="1" applyBorder="1" applyAlignment="1">
      <alignment vertical="center"/>
    </xf>
    <xf numFmtId="10" fontId="36" fillId="9" borderId="155" xfId="2" applyNumberFormat="1" applyFont="1" applyFill="1" applyBorder="1" applyAlignment="1">
      <alignment vertical="center"/>
    </xf>
    <xf numFmtId="0" fontId="77" fillId="9" borderId="154" xfId="0" applyFont="1" applyFill="1" applyBorder="1" applyAlignment="1">
      <alignment vertical="center"/>
    </xf>
    <xf numFmtId="10" fontId="77" fillId="9" borderId="155" xfId="2" applyNumberFormat="1" applyFont="1" applyFill="1" applyBorder="1" applyAlignment="1">
      <alignment vertical="center"/>
    </xf>
    <xf numFmtId="0" fontId="77" fillId="9" borderId="150" xfId="0" applyFont="1" applyFill="1" applyBorder="1" applyAlignment="1">
      <alignment vertical="center"/>
    </xf>
    <xf numFmtId="0" fontId="77" fillId="9" borderId="151" xfId="0" applyFont="1" applyFill="1" applyBorder="1" applyAlignment="1">
      <alignment vertical="center"/>
    </xf>
    <xf numFmtId="4" fontId="36" fillId="9" borderId="169" xfId="0" applyNumberFormat="1" applyFont="1" applyFill="1" applyBorder="1" applyAlignment="1">
      <alignment vertical="center"/>
    </xf>
    <xf numFmtId="4" fontId="77" fillId="9" borderId="169" xfId="0" applyNumberFormat="1" applyFont="1" applyFill="1" applyBorder="1" applyAlignment="1">
      <alignment vertical="center"/>
    </xf>
    <xf numFmtId="10" fontId="77" fillId="9" borderId="170" xfId="2" applyNumberFormat="1" applyFont="1" applyFill="1" applyBorder="1" applyAlignment="1">
      <alignment vertic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2" fillId="5" borderId="38" xfId="0" applyFont="1" applyFill="1" applyBorder="1" applyAlignment="1">
      <alignment horizontal="left" vertical="center"/>
    </xf>
    <xf numFmtId="0" fontId="62"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2" fillId="5" borderId="27" xfId="0" applyFont="1" applyFill="1" applyBorder="1" applyAlignment="1">
      <alignment horizontal="left" vertical="center"/>
    </xf>
    <xf numFmtId="0" fontId="62" fillId="5" borderId="29" xfId="0" applyFont="1" applyFill="1" applyBorder="1" applyAlignment="1">
      <alignment horizontal="left" vertical="center"/>
    </xf>
    <xf numFmtId="0" fontId="62" fillId="2" borderId="30" xfId="0" applyFont="1" applyFill="1" applyBorder="1" applyAlignment="1">
      <alignment horizontal="left" vertical="center"/>
    </xf>
    <xf numFmtId="0" fontId="62" fillId="2" borderId="31" xfId="0" applyFont="1" applyFill="1" applyBorder="1" applyAlignment="1">
      <alignment horizontal="left" vertical="center"/>
    </xf>
    <xf numFmtId="0" fontId="62" fillId="5" borderId="30" xfId="0" applyFont="1" applyFill="1" applyBorder="1" applyAlignment="1">
      <alignment horizontal="left" vertical="center"/>
    </xf>
    <xf numFmtId="0" fontId="62" fillId="5" borderId="31" xfId="0" applyFont="1" applyFill="1" applyBorder="1" applyAlignment="1">
      <alignment horizontal="left" vertical="center"/>
    </xf>
    <xf numFmtId="0" fontId="62" fillId="2" borderId="32" xfId="0" applyFont="1" applyFill="1" applyBorder="1" applyAlignment="1">
      <alignment horizontal="left" vertical="center"/>
    </xf>
    <xf numFmtId="0" fontId="62" fillId="2" borderId="34" xfId="0" applyFont="1" applyFill="1" applyBorder="1" applyAlignment="1">
      <alignment horizontal="left" vertical="center"/>
    </xf>
    <xf numFmtId="0" fontId="63" fillId="2" borderId="0" xfId="0" quotePrefix="1" applyFont="1" applyFill="1" applyAlignment="1">
      <alignment horizontal="left" vertical="center"/>
    </xf>
    <xf numFmtId="0" fontId="63"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105"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0" fillId="2" borderId="0" xfId="0" quotePrefix="1" applyFill="1" applyAlignment="1">
      <alignment horizontal="left" vertical="center" wrapText="1"/>
    </xf>
    <xf numFmtId="0" fontId="13" fillId="2" borderId="0" xfId="0" quotePrefix="1" applyFont="1" applyFill="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10" xfId="0" applyNumberFormat="1" applyFont="1" applyFill="1" applyBorder="1" applyAlignment="1">
      <alignment horizontal="left" vertical="center" wrapText="1"/>
    </xf>
    <xf numFmtId="0" fontId="84" fillId="2" borderId="0" xfId="0" applyFont="1" applyFill="1" applyAlignment="1">
      <alignment horizontal="left" vertical="center"/>
    </xf>
    <xf numFmtId="0" fontId="63" fillId="0" borderId="90" xfId="0" applyFont="1" applyBorder="1" applyAlignment="1">
      <alignment horizontal="center" vertical="center"/>
    </xf>
    <xf numFmtId="0" fontId="63" fillId="0" borderId="91" xfId="0" applyFont="1" applyBorder="1" applyAlignment="1">
      <alignment horizontal="center" vertical="center"/>
    </xf>
    <xf numFmtId="0" fontId="63" fillId="0" borderId="92" xfId="0" applyFont="1" applyBorder="1" applyAlignment="1">
      <alignment horizontal="center" vertical="center"/>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9" borderId="86" xfId="1" applyFont="1" applyFill="1" applyBorder="1" applyAlignment="1">
      <alignment horizontal="center" vertical="center" wrapText="1"/>
    </xf>
    <xf numFmtId="43" fontId="36" fillId="9" borderId="8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8" xfId="0" applyFont="1" applyFill="1" applyBorder="1" applyAlignment="1">
      <alignment horizontal="left" vertical="center"/>
    </xf>
    <xf numFmtId="0" fontId="41" fillId="2" borderId="0" xfId="0" quotePrefix="1" applyFont="1" applyFill="1" applyAlignment="1">
      <alignment horizontal="left" vertical="center" wrapText="1"/>
    </xf>
    <xf numFmtId="0" fontId="37" fillId="2" borderId="89" xfId="0" quotePrefix="1" applyFont="1" applyFill="1" applyBorder="1" applyAlignment="1">
      <alignment horizontal="left"/>
    </xf>
    <xf numFmtId="0" fontId="36" fillId="9" borderId="137" xfId="5" applyFont="1" applyFill="1" applyBorder="1" applyAlignment="1">
      <alignment horizontal="center" vertical="center"/>
    </xf>
    <xf numFmtId="0" fontId="36" fillId="9" borderId="140" xfId="5" applyFont="1" applyFill="1" applyBorder="1" applyAlignment="1">
      <alignment horizontal="center" vertical="center"/>
    </xf>
    <xf numFmtId="0" fontId="36" fillId="9" borderId="142" xfId="5" applyFont="1" applyFill="1" applyBorder="1" applyAlignment="1">
      <alignment horizontal="center" vertical="center"/>
    </xf>
    <xf numFmtId="0" fontId="36" fillId="9" borderId="138" xfId="5" applyFont="1" applyFill="1" applyBorder="1" applyAlignment="1">
      <alignment horizontal="center" vertical="center"/>
    </xf>
    <xf numFmtId="0" fontId="36" fillId="9" borderId="93" xfId="5" applyFont="1" applyFill="1" applyBorder="1" applyAlignment="1">
      <alignment horizontal="center" vertical="center"/>
    </xf>
    <xf numFmtId="0" fontId="36" fillId="9" borderId="99" xfId="5" applyFont="1" applyFill="1" applyBorder="1" applyAlignment="1">
      <alignment horizontal="center" vertical="center"/>
    </xf>
    <xf numFmtId="17" fontId="36" fillId="9" borderId="138" xfId="0" applyNumberFormat="1" applyFont="1" applyFill="1" applyBorder="1" applyAlignment="1">
      <alignment horizontal="center" vertical="center"/>
    </xf>
    <xf numFmtId="0" fontId="36" fillId="9" borderId="93"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94" xfId="5" applyFont="1" applyFill="1" applyBorder="1" applyAlignment="1">
      <alignment horizontal="center" vertical="center" wrapText="1"/>
    </xf>
    <xf numFmtId="0" fontId="36" fillId="9" borderId="153"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150" xfId="0" applyFont="1" applyBorder="1" applyAlignment="1">
      <alignment horizontal="left" vertical="center" wrapText="1"/>
    </xf>
    <xf numFmtId="0" fontId="31" fillId="0" borderId="151" xfId="0" applyFont="1" applyBorder="1" applyAlignment="1">
      <alignment horizontal="left" vertical="center" wrapText="1"/>
    </xf>
    <xf numFmtId="0" fontId="31" fillId="0" borderId="152" xfId="0" applyFont="1" applyBorder="1" applyAlignment="1">
      <alignment horizontal="left" vertical="center" wrapText="1"/>
    </xf>
    <xf numFmtId="0" fontId="36" fillId="11" borderId="160" xfId="6" applyFont="1" applyFill="1" applyBorder="1" applyAlignment="1">
      <alignment horizontal="center" vertical="center"/>
    </xf>
    <xf numFmtId="0" fontId="36" fillId="11" borderId="162" xfId="6" applyFont="1" applyFill="1" applyBorder="1" applyAlignment="1">
      <alignment horizontal="center" vertical="center"/>
    </xf>
    <xf numFmtId="0" fontId="36" fillId="11" borderId="164" xfId="6" applyFont="1" applyFill="1" applyBorder="1" applyAlignment="1">
      <alignment horizontal="center" vertical="center"/>
    </xf>
    <xf numFmtId="0" fontId="36" fillId="11" borderId="103"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02" xfId="6" applyFont="1" applyFill="1" applyBorder="1" applyAlignment="1">
      <alignment horizontal="center" vertical="center"/>
    </xf>
    <xf numFmtId="0" fontId="36" fillId="11" borderId="161" xfId="6" applyFont="1" applyFill="1" applyBorder="1" applyAlignment="1">
      <alignment horizontal="center" vertical="center"/>
    </xf>
    <xf numFmtId="0" fontId="36" fillId="11" borderId="166" xfId="6" applyFont="1" applyFill="1" applyBorder="1" applyAlignment="1">
      <alignment horizontal="center" vertical="center"/>
    </xf>
    <xf numFmtId="0" fontId="36" fillId="11" borderId="167" xfId="6" applyFont="1" applyFill="1" applyBorder="1" applyAlignment="1">
      <alignment horizontal="center" vertical="center"/>
    </xf>
    <xf numFmtId="0" fontId="36" fillId="11" borderId="168" xfId="6" applyFont="1" applyFill="1" applyBorder="1" applyAlignment="1">
      <alignment horizontal="center" vertical="center"/>
    </xf>
    <xf numFmtId="0" fontId="42" fillId="9" borderId="104" xfId="0" applyFont="1" applyFill="1" applyBorder="1" applyAlignment="1">
      <alignment horizontal="center" vertical="center"/>
    </xf>
    <xf numFmtId="174" fontId="42" fillId="9" borderId="104"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2818.4740673550014</c:v>
                </c:pt>
                <c:pt idx="1">
                  <c:v>1117.4008187420311</c:v>
                </c:pt>
                <c:pt idx="2">
                  <c:v>14.210985769999999</c:v>
                </c:pt>
                <c:pt idx="3">
                  <c:v>34.239523405468752</c:v>
                </c:pt>
                <c:pt idx="4">
                  <c:v>14.048983830000001</c:v>
                </c:pt>
                <c:pt idx="5">
                  <c:v>92.624653935000012</c:v>
                </c:pt>
                <c:pt idx="6">
                  <c:v>49.242465800000005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1117.4008187420311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14.210985769999999</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34.239523405468752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14.048983830000001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92.624653935000012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49.242465800000005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32.80593374</c:v>
                </c:pt>
                <c:pt idx="1">
                  <c:v>30.897745607499999</c:v>
                </c:pt>
                <c:pt idx="2">
                  <c:v>16.669741375000001</c:v>
                </c:pt>
                <c:pt idx="3">
                  <c:v>9.6544526625000007</c:v>
                </c:pt>
                <c:pt idx="4">
                  <c:v>2.5967805500000001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RER'!$L$30:$L$34</c:f>
              <c:strCache>
                <c:ptCount val="5"/>
                <c:pt idx="0">
                  <c:v>C.H. PURMACANA</c:v>
                </c:pt>
                <c:pt idx="1">
                  <c:v>C.E. WAYRA I</c:v>
                </c:pt>
                <c:pt idx="2">
                  <c:v>C.E. TRES HERMANAS</c:v>
                </c:pt>
                <c:pt idx="3">
                  <c:v>C.E. CUPISNIQUE</c:v>
                </c:pt>
                <c:pt idx="4">
                  <c:v>C.E. MARCONA</c:v>
                </c:pt>
              </c:strCache>
            </c:strRef>
          </c:cat>
          <c:val>
            <c:numRef>
              <c:f>'6. FP RER'!$P$30:$P$34</c:f>
              <c:numCache>
                <c:formatCode>0.00</c:formatCode>
                <c:ptCount val="5"/>
                <c:pt idx="0">
                  <c:v>0.13425536144464939</c:v>
                </c:pt>
                <c:pt idx="1">
                  <c:v>0.33328795889921076</c:v>
                </c:pt>
                <c:pt idx="2">
                  <c:v>0.42747532647524333</c:v>
                </c:pt>
                <c:pt idx="3">
                  <c:v>0.26945960750748421</c:v>
                </c:pt>
                <c:pt idx="4">
                  <c:v>0.40551296465473791</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RER'!$L$35:$L$42</c:f>
              <c:strCache>
                <c:ptCount val="8"/>
                <c:pt idx="0">
                  <c:v>C.E. TALARA</c:v>
                </c:pt>
                <c:pt idx="1">
                  <c:v>C.S. RUBI</c:v>
                </c:pt>
                <c:pt idx="2">
                  <c:v>C.S. INTIPAMPA</c:v>
                </c:pt>
                <c:pt idx="3">
                  <c:v>C.S. TACNA SOLAR</c:v>
                </c:pt>
                <c:pt idx="4">
                  <c:v>C.S. PANAMERICANA SOLAR</c:v>
                </c:pt>
                <c:pt idx="5">
                  <c:v>C.S. MOQUEGUA FV</c:v>
                </c:pt>
                <c:pt idx="6">
                  <c:v>C.S. MAJES SOLAR</c:v>
                </c:pt>
                <c:pt idx="7">
                  <c:v>C.S. REPARTICION</c:v>
                </c:pt>
              </c:strCache>
            </c:strRef>
          </c:cat>
          <c:val>
            <c:numRef>
              <c:f>'6. FP RER'!$O$35:$O$42</c:f>
              <c:numCache>
                <c:formatCode>0.00</c:formatCode>
                <c:ptCount val="8"/>
                <c:pt idx="0">
                  <c:v>2.5967805500000001</c:v>
                </c:pt>
                <c:pt idx="1">
                  <c:v>25.398855830000002</c:v>
                </c:pt>
                <c:pt idx="2">
                  <c:v>6.4651852749999996</c:v>
                </c:pt>
                <c:pt idx="3">
                  <c:v>4.0875478249999997</c:v>
                </c:pt>
                <c:pt idx="4">
                  <c:v>3.8605972499999996</c:v>
                </c:pt>
                <c:pt idx="5">
                  <c:v>3.5452703150000002</c:v>
                </c:pt>
                <c:pt idx="6">
                  <c:v>3.0692810724999999</c:v>
                </c:pt>
                <c:pt idx="7">
                  <c:v>2.8157282325000001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RER'!$L$35:$L$41</c:f>
              <c:strCache>
                <c:ptCount val="7"/>
                <c:pt idx="0">
                  <c:v>C.E. TALARA</c:v>
                </c:pt>
                <c:pt idx="1">
                  <c:v>C.S. RUBI</c:v>
                </c:pt>
                <c:pt idx="2">
                  <c:v>C.S. INTIPAMPA</c:v>
                </c:pt>
                <c:pt idx="3">
                  <c:v>C.S. TACNA SOLAR</c:v>
                </c:pt>
                <c:pt idx="4">
                  <c:v>C.S. PANAMERICANA SOLAR</c:v>
                </c:pt>
                <c:pt idx="5">
                  <c:v>C.S. MOQUEGUA FV</c:v>
                </c:pt>
                <c:pt idx="6">
                  <c:v>C.S. MAJES SOLAR</c:v>
                </c:pt>
              </c:strCache>
            </c:strRef>
          </c:cat>
          <c:val>
            <c:numRef>
              <c:f>'6. FP RER'!$P$35:$P$42</c:f>
              <c:numCache>
                <c:formatCode>0.00</c:formatCode>
                <c:ptCount val="8"/>
                <c:pt idx="0">
                  <c:v>0.1131009863309152</c:v>
                </c:pt>
                <c:pt idx="1">
                  <c:v>0.23628354847268368</c:v>
                </c:pt>
                <c:pt idx="2">
                  <c:v>0.1951002504393779</c:v>
                </c:pt>
                <c:pt idx="3">
                  <c:v>0.27470079469086017</c:v>
                </c:pt>
                <c:pt idx="4">
                  <c:v>0.2594487399193548</c:v>
                </c:pt>
                <c:pt idx="5">
                  <c:v>0.29782176705309144</c:v>
                </c:pt>
                <c:pt idx="6">
                  <c:v>0.20626888928091397</c:v>
                </c:pt>
                <c:pt idx="7">
                  <c:v>0.18922904788306452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6.8800672174999997</c:v>
                </c:pt>
                <c:pt idx="1">
                  <c:v>2.6715899274999999</c:v>
                </c:pt>
                <c:pt idx="2" formatCode="General">
                  <c:v>1.7578190899999999</c:v>
                </c:pt>
                <c:pt idx="3" formatCode="General">
                  <c:v>1.2611930950000001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RER'!$L$42:$L$45</c:f>
              <c:strCache>
                <c:ptCount val="4"/>
                <c:pt idx="0">
                  <c:v>C.S. REPARTICION</c:v>
                </c:pt>
                <c:pt idx="1">
                  <c:v>C.T. PARAMONGA</c:v>
                </c:pt>
                <c:pt idx="2">
                  <c:v>C.T. HUAYCOLORO</c:v>
                </c:pt>
                <c:pt idx="3">
                  <c:v>C.T. LA GRINGA</c:v>
                </c:pt>
              </c:strCache>
            </c:strRef>
          </c:cat>
          <c:val>
            <c:numRef>
              <c:f>'6. FP RER'!$P$42:$P$45</c:f>
              <c:numCache>
                <c:formatCode>0.00</c:formatCode>
                <c:ptCount val="4"/>
                <c:pt idx="0">
                  <c:v>0.18922904788306452</c:v>
                </c:pt>
                <c:pt idx="1">
                  <c:v>0.7257959253012225</c:v>
                </c:pt>
                <c:pt idx="2">
                  <c:v>0.84242737284394398</c:v>
                </c:pt>
                <c:pt idx="3" formatCode="General">
                  <c:v>0.79989845522710534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CANCHAYLLO</c:v>
                  </c:pt>
                  <c:pt idx="1">
                    <c:v>C.H. CAÑA BRAVA</c:v>
                  </c:pt>
                  <c:pt idx="2">
                    <c:v>C.H. CARHUAQUERO IV</c:v>
                  </c:pt>
                  <c:pt idx="3">
                    <c:v>C.H. HUASAHUASI I</c:v>
                  </c:pt>
                  <c:pt idx="4">
                    <c:v>C.H. HUASAHUASI II</c:v>
                  </c:pt>
                  <c:pt idx="5">
                    <c:v>C.H. IMPERIAL</c:v>
                  </c:pt>
                  <c:pt idx="6">
                    <c:v>C.H. LA JOYA</c:v>
                  </c:pt>
                  <c:pt idx="7">
                    <c:v>C.H. LAS PIZARRAS</c:v>
                  </c:pt>
                  <c:pt idx="8">
                    <c:v>C.H. POECHOS II</c:v>
                  </c:pt>
                  <c:pt idx="9">
                    <c:v>C.H. POTRERO</c:v>
                  </c:pt>
                  <c:pt idx="10">
                    <c:v>C.H. PURMACANA</c:v>
                  </c:pt>
                  <c:pt idx="11">
                    <c:v>C.H. RONCADOR</c:v>
                  </c:pt>
                  <c:pt idx="12">
                    <c:v>C.H. RUNATULLO II</c:v>
                  </c:pt>
                  <c:pt idx="13">
                    <c:v>C.H. RUNATULLO III</c:v>
                  </c:pt>
                  <c:pt idx="14">
                    <c:v>C.H. SANTA CRUZ I</c:v>
                  </c:pt>
                  <c:pt idx="15">
                    <c:v>C.H. SANTA CRUZ II</c:v>
                  </c:pt>
                  <c:pt idx="16">
                    <c:v>C.H. YANAPAMPA</c:v>
                  </c:pt>
                  <c:pt idx="17">
                    <c:v>C.H. YARUCAYA</c:v>
                  </c:pt>
                  <c:pt idx="18">
                    <c:v>C.H. RENOVANDES H1</c:v>
                  </c:pt>
                  <c:pt idx="19">
                    <c:v>C.H. HER 1</c:v>
                  </c:pt>
                  <c:pt idx="20">
                    <c:v>C.H. ÁNGEL I</c:v>
                  </c:pt>
                  <c:pt idx="21">
                    <c:v>C.H. ÁNGEL II</c:v>
                  </c:pt>
                  <c:pt idx="22">
                    <c:v>C.H. ÁNGEL III</c:v>
                  </c:pt>
                  <c:pt idx="23">
                    <c:v>C.H. CARHUAC</c:v>
                  </c:pt>
                  <c:pt idx="24">
                    <c:v>C.H. ZAÑA</c:v>
                  </c:pt>
                  <c:pt idx="25">
                    <c:v>C.E. CUPISNIQUE</c:v>
                  </c:pt>
                  <c:pt idx="26">
                    <c:v>C.E. MARCONA</c:v>
                  </c:pt>
                  <c:pt idx="27">
                    <c:v>C.E. TALARA</c:v>
                  </c:pt>
                  <c:pt idx="28">
                    <c:v>C.E. TRES HERMANAS</c:v>
                  </c:pt>
                  <c:pt idx="29">
                    <c:v>C.E. WAYRA I</c:v>
                  </c:pt>
                  <c:pt idx="30">
                    <c:v>C.S. MAJES SOLAR</c:v>
                  </c:pt>
                  <c:pt idx="31">
                    <c:v>C.S. MOQUEGUA FV</c:v>
                  </c:pt>
                  <c:pt idx="32">
                    <c:v>C.S. PANAMERICANA SOLAR</c:v>
                  </c:pt>
                  <c:pt idx="33">
                    <c:v>C.S. REPARTICION</c:v>
                  </c:pt>
                  <c:pt idx="34">
                    <c:v>C.S. TACNA SOLAR</c:v>
                  </c:pt>
                  <c:pt idx="35">
                    <c:v>C.S. RUBI</c:v>
                  </c:pt>
                  <c:pt idx="36">
                    <c:v>C.S. INTIPAMPA</c:v>
                  </c:pt>
                  <c:pt idx="37">
                    <c:v>C.T. HUAYCOLORO</c:v>
                  </c:pt>
                  <c:pt idx="38">
                    <c:v>C.T. LA GRINGA</c:v>
                  </c:pt>
                  <c:pt idx="39">
                    <c:v>C.T. DOÑA CATALINA</c:v>
                  </c:pt>
                  <c:pt idx="40">
                    <c:v>C.T. PARAMONGA</c:v>
                  </c:pt>
                </c:lvl>
                <c:lvl>
                  <c:pt idx="0">
                    <c:v>AGUA (RER)</c:v>
                  </c:pt>
                  <c:pt idx="25">
                    <c:v>EOLICA</c:v>
                  </c:pt>
                  <c:pt idx="30">
                    <c:v>SOLAR</c:v>
                  </c:pt>
                  <c:pt idx="37">
                    <c:v>BIOGAS</c:v>
                  </c:pt>
                  <c:pt idx="40">
                    <c:v>BAGAZO</c:v>
                  </c:pt>
                </c:lvl>
              </c:multiLvlStrCache>
            </c:multiLvlStrRef>
          </c:cat>
          <c:val>
            <c:numRef>
              <c:f>'6. FP RER'!$U$6:$U$46</c:f>
              <c:numCache>
                <c:formatCode>0.000</c:formatCode>
                <c:ptCount val="41"/>
                <c:pt idx="0">
                  <c:v>0.79326149684578307</c:v>
                </c:pt>
                <c:pt idx="1">
                  <c:v>0.82603406769696786</c:v>
                </c:pt>
                <c:pt idx="2">
                  <c:v>0.83742773679237759</c:v>
                </c:pt>
                <c:pt idx="3">
                  <c:v>0.89290323801227456</c:v>
                </c:pt>
                <c:pt idx="4">
                  <c:v>0.90122186713436292</c:v>
                </c:pt>
                <c:pt idx="5">
                  <c:v>0.83167290929096349</c:v>
                </c:pt>
                <c:pt idx="6">
                  <c:v>0.54578292264373218</c:v>
                </c:pt>
                <c:pt idx="7">
                  <c:v>0.76832027694121019</c:v>
                </c:pt>
                <c:pt idx="8">
                  <c:v>0.46029162233445664</c:v>
                </c:pt>
                <c:pt idx="9">
                  <c:v>0.91236934007963566</c:v>
                </c:pt>
                <c:pt idx="10">
                  <c:v>0.18201183321631761</c:v>
                </c:pt>
                <c:pt idx="11">
                  <c:v>0.64334921200240291</c:v>
                </c:pt>
                <c:pt idx="12">
                  <c:v>0.87225164556475809</c:v>
                </c:pt>
                <c:pt idx="13">
                  <c:v>0.98356749332268811</c:v>
                </c:pt>
                <c:pt idx="14">
                  <c:v>0.84926182752284485</c:v>
                </c:pt>
                <c:pt idx="15">
                  <c:v>0.83493740953526796</c:v>
                </c:pt>
                <c:pt idx="16">
                  <c:v>0.5893724859041265</c:v>
                </c:pt>
                <c:pt idx="17">
                  <c:v>0.9392387288135593</c:v>
                </c:pt>
                <c:pt idx="18">
                  <c:v>0.88715166401836165</c:v>
                </c:pt>
                <c:pt idx="19">
                  <c:v>0.29180523859967722</c:v>
                </c:pt>
                <c:pt idx="20">
                  <c:v>0.41729288038558759</c:v>
                </c:pt>
                <c:pt idx="21">
                  <c:v>0.43392184767621739</c:v>
                </c:pt>
                <c:pt idx="22">
                  <c:v>0.41578411943505628</c:v>
                </c:pt>
                <c:pt idx="23">
                  <c:v>0.66061008827683609</c:v>
                </c:pt>
                <c:pt idx="24">
                  <c:v>0.24534837343241744</c:v>
                </c:pt>
                <c:pt idx="25">
                  <c:v>0.3500458475170799</c:v>
                </c:pt>
                <c:pt idx="26">
                  <c:v>0.42120729045286015</c:v>
                </c:pt>
                <c:pt idx="27">
                  <c:v>0.21931303137735209</c:v>
                </c:pt>
                <c:pt idx="28">
                  <c:v>0.4418368248616647</c:v>
                </c:pt>
                <c:pt idx="29">
                  <c:v>0.38473836345822071</c:v>
                </c:pt>
                <c:pt idx="30">
                  <c:v>0.23781291119350287</c:v>
                </c:pt>
                <c:pt idx="31">
                  <c:v>0.30390951933262711</c:v>
                </c:pt>
                <c:pt idx="32">
                  <c:v>0.26474461008121464</c:v>
                </c:pt>
                <c:pt idx="33">
                  <c:v>0.21881461590748588</c:v>
                </c:pt>
                <c:pt idx="34">
                  <c:v>0.29113417249293783</c:v>
                </c:pt>
                <c:pt idx="35">
                  <c:v>0.27477612163394466</c:v>
                </c:pt>
                <c:pt idx="36">
                  <c:v>0.21801938867716192</c:v>
                </c:pt>
                <c:pt idx="37">
                  <c:v>0.95491846720347251</c:v>
                </c:pt>
                <c:pt idx="38">
                  <c:v>0.8914363297857385</c:v>
                </c:pt>
                <c:pt idx="39">
                  <c:v>0.57316232491760832</c:v>
                </c:pt>
                <c:pt idx="40" formatCode="General">
                  <c:v>0.77022797278413024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CANCHAYLLO</c:v>
                  </c:pt>
                  <c:pt idx="1">
                    <c:v>C.H. CAÑA BRAVA</c:v>
                  </c:pt>
                  <c:pt idx="2">
                    <c:v>C.H. CARHUAQUERO IV</c:v>
                  </c:pt>
                  <c:pt idx="3">
                    <c:v>C.H. HUASAHUASI I</c:v>
                  </c:pt>
                  <c:pt idx="4">
                    <c:v>C.H. HUASAHUASI II</c:v>
                  </c:pt>
                  <c:pt idx="5">
                    <c:v>C.H. IMPERIAL</c:v>
                  </c:pt>
                  <c:pt idx="6">
                    <c:v>C.H. LA JOYA</c:v>
                  </c:pt>
                  <c:pt idx="7">
                    <c:v>C.H. LAS PIZARRAS</c:v>
                  </c:pt>
                  <c:pt idx="8">
                    <c:v>C.H. POECHOS II</c:v>
                  </c:pt>
                  <c:pt idx="9">
                    <c:v>C.H. POTRERO</c:v>
                  </c:pt>
                  <c:pt idx="10">
                    <c:v>C.H. PURMACANA</c:v>
                  </c:pt>
                  <c:pt idx="11">
                    <c:v>C.H. RONCADOR</c:v>
                  </c:pt>
                  <c:pt idx="12">
                    <c:v>C.H. RUNATULLO II</c:v>
                  </c:pt>
                  <c:pt idx="13">
                    <c:v>C.H. RUNATULLO III</c:v>
                  </c:pt>
                  <c:pt idx="14">
                    <c:v>C.H. SANTA CRUZ I</c:v>
                  </c:pt>
                  <c:pt idx="15">
                    <c:v>C.H. SANTA CRUZ II</c:v>
                  </c:pt>
                  <c:pt idx="16">
                    <c:v>C.H. YANAPAMPA</c:v>
                  </c:pt>
                  <c:pt idx="17">
                    <c:v>C.H. YARUCAYA</c:v>
                  </c:pt>
                  <c:pt idx="18">
                    <c:v>C.H. RENOVANDES H1</c:v>
                  </c:pt>
                  <c:pt idx="19">
                    <c:v>C.H. HER 1</c:v>
                  </c:pt>
                  <c:pt idx="20">
                    <c:v>C.H. ÁNGEL I</c:v>
                  </c:pt>
                  <c:pt idx="21">
                    <c:v>C.H. ÁNGEL II</c:v>
                  </c:pt>
                  <c:pt idx="22">
                    <c:v>C.H. ÁNGEL III</c:v>
                  </c:pt>
                  <c:pt idx="23">
                    <c:v>C.H. CARHUAC</c:v>
                  </c:pt>
                  <c:pt idx="24">
                    <c:v>C.H. ZAÑA</c:v>
                  </c:pt>
                  <c:pt idx="25">
                    <c:v>C.E. CUPISNIQUE</c:v>
                  </c:pt>
                  <c:pt idx="26">
                    <c:v>C.E. MARCONA</c:v>
                  </c:pt>
                  <c:pt idx="27">
                    <c:v>C.E. TALARA</c:v>
                  </c:pt>
                  <c:pt idx="28">
                    <c:v>C.E. TRES HERMANAS</c:v>
                  </c:pt>
                  <c:pt idx="29">
                    <c:v>C.E. WAYRA I</c:v>
                  </c:pt>
                  <c:pt idx="30">
                    <c:v>C.S. MAJES SOLAR</c:v>
                  </c:pt>
                  <c:pt idx="31">
                    <c:v>C.S. MOQUEGUA FV</c:v>
                  </c:pt>
                  <c:pt idx="32">
                    <c:v>C.S. PANAMERICANA SOLAR</c:v>
                  </c:pt>
                  <c:pt idx="33">
                    <c:v>C.S. REPARTICION</c:v>
                  </c:pt>
                  <c:pt idx="34">
                    <c:v>C.S. TACNA SOLAR</c:v>
                  </c:pt>
                  <c:pt idx="35">
                    <c:v>C.S. RUBI</c:v>
                  </c:pt>
                  <c:pt idx="36">
                    <c:v>C.S. INTIPAMPA</c:v>
                  </c:pt>
                  <c:pt idx="37">
                    <c:v>C.T. HUAYCOLORO</c:v>
                  </c:pt>
                  <c:pt idx="38">
                    <c:v>C.T. LA GRINGA</c:v>
                  </c:pt>
                  <c:pt idx="39">
                    <c:v>C.T. DOÑA CATALINA</c:v>
                  </c:pt>
                  <c:pt idx="40">
                    <c:v>C.T. PARAMONGA</c:v>
                  </c:pt>
                </c:lvl>
                <c:lvl>
                  <c:pt idx="0">
                    <c:v>AGUA (RER)</c:v>
                  </c:pt>
                  <c:pt idx="25">
                    <c:v>EOLICA</c:v>
                  </c:pt>
                  <c:pt idx="30">
                    <c:v>SOLAR</c:v>
                  </c:pt>
                  <c:pt idx="37">
                    <c:v>BIOGAS</c:v>
                  </c:pt>
                  <c:pt idx="40">
                    <c:v>BAGAZO</c:v>
                  </c:pt>
                </c:lvl>
              </c:multiLvlStrCache>
            </c:multiLvlStrRef>
          </c:cat>
          <c:val>
            <c:numRef>
              <c:f>'6. FP RER'!$V$6:$V$46</c:f>
              <c:numCache>
                <c:formatCode>0.000</c:formatCode>
                <c:ptCount val="41"/>
                <c:pt idx="0">
                  <c:v>0.80934527270312151</c:v>
                </c:pt>
                <c:pt idx="1">
                  <c:v>0.65432838733945142</c:v>
                </c:pt>
                <c:pt idx="2">
                  <c:v>0.98761600847853792</c:v>
                </c:pt>
                <c:pt idx="3">
                  <c:v>0.90053021111158926</c:v>
                </c:pt>
                <c:pt idx="4">
                  <c:v>0.89406367708205547</c:v>
                </c:pt>
                <c:pt idx="5">
                  <c:v>0.61118569954448798</c:v>
                </c:pt>
                <c:pt idx="6">
                  <c:v>0.84457446507314737</c:v>
                </c:pt>
                <c:pt idx="7">
                  <c:v>0.83510635649498288</c:v>
                </c:pt>
                <c:pt idx="8">
                  <c:v>0.64346345944352124</c:v>
                </c:pt>
                <c:pt idx="9">
                  <c:v>0.66816745060046001</c:v>
                </c:pt>
                <c:pt idx="10">
                  <c:v>0.26942280340037839</c:v>
                </c:pt>
                <c:pt idx="11">
                  <c:v>0.97610960939022007</c:v>
                </c:pt>
                <c:pt idx="12">
                  <c:v>0.83701220644006114</c:v>
                </c:pt>
                <c:pt idx="13">
                  <c:v>0.98733361297539157</c:v>
                </c:pt>
                <c:pt idx="14">
                  <c:v>0.75145014381080655</c:v>
                </c:pt>
                <c:pt idx="15">
                  <c:v>0.78587174208057842</c:v>
                </c:pt>
                <c:pt idx="16">
                  <c:v>0.83415323464616875</c:v>
                </c:pt>
                <c:pt idx="17">
                  <c:v>1</c:v>
                </c:pt>
                <c:pt idx="18">
                  <c:v>2.051950918079096E-2</c:v>
                </c:pt>
                <c:pt idx="19">
                  <c:v>0</c:v>
                </c:pt>
                <c:pt idx="20">
                  <c:v>0</c:v>
                </c:pt>
                <c:pt idx="21">
                  <c:v>0</c:v>
                </c:pt>
                <c:pt idx="22">
                  <c:v>0</c:v>
                </c:pt>
                <c:pt idx="23">
                  <c:v>0</c:v>
                </c:pt>
                <c:pt idx="24">
                  <c:v>0</c:v>
                </c:pt>
                <c:pt idx="25">
                  <c:v>0.38575850332596112</c:v>
                </c:pt>
                <c:pt idx="26">
                  <c:v>0.43257629728328029</c:v>
                </c:pt>
                <c:pt idx="27">
                  <c:v>0.3436232554597764</c:v>
                </c:pt>
                <c:pt idx="28">
                  <c:v>0.47593775687968681</c:v>
                </c:pt>
                <c:pt idx="29">
                  <c:v>2.3100576435062407E-2</c:v>
                </c:pt>
                <c:pt idx="30">
                  <c:v>0.25628344270833336</c:v>
                </c:pt>
                <c:pt idx="31">
                  <c:v>0.33957822762182205</c:v>
                </c:pt>
                <c:pt idx="32">
                  <c:v>0.30103021716101697</c:v>
                </c:pt>
                <c:pt idx="33">
                  <c:v>0.1889423003177966</c:v>
                </c:pt>
                <c:pt idx="34">
                  <c:v>0.32367204131355931</c:v>
                </c:pt>
                <c:pt idx="35">
                  <c:v>0.32814594724760071</c:v>
                </c:pt>
                <c:pt idx="36">
                  <c:v>1.1401713514038039E-2</c:v>
                </c:pt>
                <c:pt idx="37">
                  <c:v>0.93261352162963684</c:v>
                </c:pt>
                <c:pt idx="38">
                  <c:v>0.51706437776788239</c:v>
                </c:pt>
                <c:pt idx="39">
                  <c:v>0</c:v>
                </c:pt>
                <c:pt idx="40" formatCode="General">
                  <c:v>0.74715917997228454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empresa'!$L$5:$L$60</c:f>
              <c:strCache>
                <c:ptCount val="56"/>
                <c:pt idx="0">
                  <c:v>AGROAURORA</c:v>
                </c:pt>
                <c:pt idx="1">
                  <c:v>CERRO VERDE</c:v>
                </c:pt>
                <c:pt idx="2">
                  <c:v>SAMAY I</c:v>
                </c:pt>
                <c:pt idx="3">
                  <c:v>PLANTA  ETEN</c:v>
                </c:pt>
                <c:pt idx="4">
                  <c:v>ELECTRICA SANTA ROSA</c:v>
                </c:pt>
                <c:pt idx="5">
                  <c:v>IYEPSA</c:v>
                </c:pt>
                <c:pt idx="6">
                  <c:v>HYDRO PATAPO</c:v>
                </c:pt>
                <c:pt idx="7">
                  <c:v>ELECTRICA YANAPAMPA</c:v>
                </c:pt>
                <c:pt idx="8">
                  <c:v>MAJA ENERGIA</c:v>
                </c:pt>
                <c:pt idx="9">
                  <c:v>SAN JACINTO</c:v>
                </c:pt>
                <c:pt idx="10">
                  <c:v>HIDROCAÑETE</c:v>
                </c:pt>
                <c:pt idx="11">
                  <c:v>GTS REPARTICION</c:v>
                </c:pt>
                <c:pt idx="12">
                  <c:v>GTS MAJES</c:v>
                </c:pt>
                <c:pt idx="13">
                  <c:v>EGECSAC</c:v>
                </c:pt>
                <c:pt idx="14">
                  <c:v>MOQUEGUA FV</c:v>
                </c:pt>
                <c:pt idx="15">
                  <c:v>SINERSA</c:v>
                </c:pt>
                <c:pt idx="16">
                  <c:v>PANAMERICANA SOLAR</c:v>
                </c:pt>
                <c:pt idx="17">
                  <c:v>TACNA SOLAR</c:v>
                </c:pt>
                <c:pt idx="18">
                  <c:v>ELECTRO ZAÑA</c:v>
                </c:pt>
                <c:pt idx="19">
                  <c:v>PETRAMAS</c:v>
                </c:pt>
                <c:pt idx="20">
                  <c:v>AIPSA</c:v>
                </c:pt>
                <c:pt idx="21">
                  <c:v>HUAURA POWER</c:v>
                </c:pt>
                <c:pt idx="22">
                  <c:v>P.E. MARCONA</c:v>
                </c:pt>
                <c:pt idx="23">
                  <c:v>HIDROMARAÑON/ CELEPSA RENOVABLES</c:v>
                </c:pt>
                <c:pt idx="24">
                  <c:v>ANDEAN POWER</c:v>
                </c:pt>
                <c:pt idx="25">
                  <c:v>RIO DOBLE</c:v>
                </c:pt>
                <c:pt idx="26">
                  <c:v>HIDROELECTRICA HUANCHOR</c:v>
                </c:pt>
                <c:pt idx="27">
                  <c:v>SHOUGESA</c:v>
                </c:pt>
                <c:pt idx="28">
                  <c:v>SANTA ANA</c:v>
                </c:pt>
                <c:pt idx="29">
                  <c:v>AGUA AZUL</c:v>
                </c:pt>
                <c:pt idx="30">
                  <c:v>TERMOSELVA</c:v>
                </c:pt>
                <c:pt idx="31">
                  <c:v>EGESUR</c:v>
                </c:pt>
                <c:pt idx="32">
                  <c:v>SDF ENERGIA</c:v>
                </c:pt>
                <c:pt idx="33">
                  <c:v>GEPSA</c:v>
                </c:pt>
                <c:pt idx="34">
                  <c:v>ENERGÍA EÓLICA</c:v>
                </c:pt>
                <c:pt idx="35">
                  <c:v>SANTA CRUZ</c:v>
                </c:pt>
                <c:pt idx="36">
                  <c:v>EMGE JUNÍN</c:v>
                </c:pt>
                <c:pt idx="37">
                  <c:v>P.E. TRES HERMANAS</c:v>
                </c:pt>
                <c:pt idx="38">
                  <c:v>EMGE HUANZA</c:v>
                </c:pt>
                <c:pt idx="39">
                  <c:v>ENEL GENERACION PIURA</c:v>
                </c:pt>
                <c:pt idx="40">
                  <c:v>ENEL GREEN POWER PERU</c:v>
                </c:pt>
                <c:pt idx="41">
                  <c:v>INLAND</c:v>
                </c:pt>
                <c:pt idx="42">
                  <c:v>SAN GABAN</c:v>
                </c:pt>
                <c:pt idx="43">
                  <c:v>CHINANGO</c:v>
                </c:pt>
                <c:pt idx="44">
                  <c:v>EGASA</c:v>
                </c:pt>
                <c:pt idx="45">
                  <c:v>EGEMSA</c:v>
                </c:pt>
                <c:pt idx="46">
                  <c:v>TERMOCHILCA</c:v>
                </c:pt>
                <c:pt idx="47">
                  <c:v>CELEPSA</c:v>
                </c:pt>
                <c:pt idx="48">
                  <c:v>ORAZUL ENERGY PERÚ</c:v>
                </c:pt>
                <c:pt idx="49">
                  <c:v>STATKRAFT</c:v>
                </c:pt>
                <c:pt idx="50">
                  <c:v>ENGIE</c:v>
                </c:pt>
                <c:pt idx="51">
                  <c:v>EMGE HUALLAGA</c:v>
                </c:pt>
                <c:pt idx="52">
                  <c:v>FENIX POWER</c:v>
                </c:pt>
                <c:pt idx="53">
                  <c:v>ENEL GENERACION PERU</c:v>
                </c:pt>
                <c:pt idx="54">
                  <c:v>ELECTROPERU</c:v>
                </c:pt>
                <c:pt idx="55">
                  <c:v>KALLPA</c:v>
                </c:pt>
              </c:strCache>
            </c:strRef>
          </c:cat>
          <c:val>
            <c:numRef>
              <c:f>'7. Generacion empresa'!$M$5:$M$60</c:f>
              <c:numCache>
                <c:formatCode>General</c:formatCode>
                <c:ptCount val="56"/>
                <c:pt idx="0">
                  <c:v>0</c:v>
                </c:pt>
                <c:pt idx="1">
                  <c:v>0</c:v>
                </c:pt>
                <c:pt idx="2">
                  <c:v>0</c:v>
                </c:pt>
                <c:pt idx="3">
                  <c:v>2.4378739999999999E-2</c:v>
                </c:pt>
                <c:pt idx="4">
                  <c:v>0.17120458500000002</c:v>
                </c:pt>
                <c:pt idx="5">
                  <c:v>0.22986135499999999</c:v>
                </c:pt>
                <c:pt idx="6">
                  <c:v>0.59677075000000002</c:v>
                </c:pt>
                <c:pt idx="7">
                  <c:v>0.93832566250000005</c:v>
                </c:pt>
                <c:pt idx="8">
                  <c:v>1.309048545</c:v>
                </c:pt>
                <c:pt idx="9">
                  <c:v>1.4783145</c:v>
                </c:pt>
                <c:pt idx="10">
                  <c:v>2.2294</c:v>
                </c:pt>
                <c:pt idx="11">
                  <c:v>2.8157282325000001</c:v>
                </c:pt>
                <c:pt idx="12">
                  <c:v>3.0692810724999999</c:v>
                </c:pt>
                <c:pt idx="13">
                  <c:v>3.2062064824999998</c:v>
                </c:pt>
                <c:pt idx="14">
                  <c:v>3.5452703150000002</c:v>
                </c:pt>
                <c:pt idx="15">
                  <c:v>3.6871336274999997</c:v>
                </c:pt>
                <c:pt idx="16">
                  <c:v>3.8605972499999996</c:v>
                </c:pt>
                <c:pt idx="17">
                  <c:v>4.0875478249999997</c:v>
                </c:pt>
                <c:pt idx="18">
                  <c:v>4.2163949949999999</c:v>
                </c:pt>
                <c:pt idx="19">
                  <c:v>5.6906021124999997</c:v>
                </c:pt>
                <c:pt idx="20">
                  <c:v>6.8800672174999997</c:v>
                </c:pt>
                <c:pt idx="21">
                  <c:v>7.2382349799999997</c:v>
                </c:pt>
                <c:pt idx="22">
                  <c:v>9.6544526625000007</c:v>
                </c:pt>
                <c:pt idx="23">
                  <c:v>10.1842844475</c:v>
                </c:pt>
                <c:pt idx="24">
                  <c:v>10.1869960175</c:v>
                </c:pt>
                <c:pt idx="25">
                  <c:v>12.382494367499998</c:v>
                </c:pt>
                <c:pt idx="26">
                  <c:v>12.945648</c:v>
                </c:pt>
                <c:pt idx="27">
                  <c:v>12.955507805</c:v>
                </c:pt>
                <c:pt idx="28">
                  <c:v>13.23649279</c:v>
                </c:pt>
                <c:pt idx="29">
                  <c:v>13.252367162500001</c:v>
                </c:pt>
                <c:pt idx="30">
                  <c:v>15.488254135</c:v>
                </c:pt>
                <c:pt idx="31">
                  <c:v>17.438903490000001</c:v>
                </c:pt>
                <c:pt idx="32">
                  <c:v>17.9281623975</c:v>
                </c:pt>
                <c:pt idx="33">
                  <c:v>18.690372297500002</c:v>
                </c:pt>
                <c:pt idx="34">
                  <c:v>19.266521924999999</c:v>
                </c:pt>
                <c:pt idx="35">
                  <c:v>21.349841122500003</c:v>
                </c:pt>
                <c:pt idx="36">
                  <c:v>25.082448435</c:v>
                </c:pt>
                <c:pt idx="37">
                  <c:v>30.897745607499999</c:v>
                </c:pt>
                <c:pt idx="38">
                  <c:v>32.333572250000003</c:v>
                </c:pt>
                <c:pt idx="39">
                  <c:v>42.633352940000002</c:v>
                </c:pt>
                <c:pt idx="40">
                  <c:v>58.204789570000003</c:v>
                </c:pt>
                <c:pt idx="41">
                  <c:v>59.273834565000001</c:v>
                </c:pt>
                <c:pt idx="42">
                  <c:v>74.293545677499992</c:v>
                </c:pt>
                <c:pt idx="43">
                  <c:v>105.8166883725</c:v>
                </c:pt>
                <c:pt idx="44">
                  <c:v>109.58790842249999</c:v>
                </c:pt>
                <c:pt idx="45">
                  <c:v>111.45442315000001</c:v>
                </c:pt>
                <c:pt idx="46">
                  <c:v>117.0554483025</c:v>
                </c:pt>
                <c:pt idx="47">
                  <c:v>137.04868966000001</c:v>
                </c:pt>
                <c:pt idx="48">
                  <c:v>212.83507803499998</c:v>
                </c:pt>
                <c:pt idx="49">
                  <c:v>223.85034798750002</c:v>
                </c:pt>
                <c:pt idx="50">
                  <c:v>273.97086321749998</c:v>
                </c:pt>
                <c:pt idx="51">
                  <c:v>286.77873005499998</c:v>
                </c:pt>
                <c:pt idx="52">
                  <c:v>342.54277557750004</c:v>
                </c:pt>
                <c:pt idx="53">
                  <c:v>487.37559566250002</c:v>
                </c:pt>
                <c:pt idx="54">
                  <c:v>558.98535928000001</c:v>
                </c:pt>
                <c:pt idx="55">
                  <c:v>589.98563520250002</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empresa'!$L$5:$L$60</c:f>
              <c:strCache>
                <c:ptCount val="56"/>
                <c:pt idx="0">
                  <c:v>AGROAURORA</c:v>
                </c:pt>
                <c:pt idx="1">
                  <c:v>CERRO VERDE</c:v>
                </c:pt>
                <c:pt idx="2">
                  <c:v>SAMAY I</c:v>
                </c:pt>
                <c:pt idx="3">
                  <c:v>PLANTA  ETEN</c:v>
                </c:pt>
                <c:pt idx="4">
                  <c:v>ELECTRICA SANTA ROSA</c:v>
                </c:pt>
                <c:pt idx="5">
                  <c:v>IYEPSA</c:v>
                </c:pt>
                <c:pt idx="6">
                  <c:v>HYDRO PATAPO</c:v>
                </c:pt>
                <c:pt idx="7">
                  <c:v>ELECTRICA YANAPAMPA</c:v>
                </c:pt>
                <c:pt idx="8">
                  <c:v>MAJA ENERGIA</c:v>
                </c:pt>
                <c:pt idx="9">
                  <c:v>SAN JACINTO</c:v>
                </c:pt>
                <c:pt idx="10">
                  <c:v>HIDROCAÑETE</c:v>
                </c:pt>
                <c:pt idx="11">
                  <c:v>GTS REPARTICION</c:v>
                </c:pt>
                <c:pt idx="12">
                  <c:v>GTS MAJES</c:v>
                </c:pt>
                <c:pt idx="13">
                  <c:v>EGECSAC</c:v>
                </c:pt>
                <c:pt idx="14">
                  <c:v>MOQUEGUA FV</c:v>
                </c:pt>
                <c:pt idx="15">
                  <c:v>SINERSA</c:v>
                </c:pt>
                <c:pt idx="16">
                  <c:v>PANAMERICANA SOLAR</c:v>
                </c:pt>
                <c:pt idx="17">
                  <c:v>TACNA SOLAR</c:v>
                </c:pt>
                <c:pt idx="18">
                  <c:v>ELECTRO ZAÑA</c:v>
                </c:pt>
                <c:pt idx="19">
                  <c:v>PETRAMAS</c:v>
                </c:pt>
                <c:pt idx="20">
                  <c:v>AIPSA</c:v>
                </c:pt>
                <c:pt idx="21">
                  <c:v>HUAURA POWER</c:v>
                </c:pt>
                <c:pt idx="22">
                  <c:v>P.E. MARCONA</c:v>
                </c:pt>
                <c:pt idx="23">
                  <c:v>HIDROMARAÑON/ CELEPSA RENOVABLES</c:v>
                </c:pt>
                <c:pt idx="24">
                  <c:v>ANDEAN POWER</c:v>
                </c:pt>
                <c:pt idx="25">
                  <c:v>RIO DOBLE</c:v>
                </c:pt>
                <c:pt idx="26">
                  <c:v>HIDROELECTRICA HUANCHOR</c:v>
                </c:pt>
                <c:pt idx="27">
                  <c:v>SHOUGESA</c:v>
                </c:pt>
                <c:pt idx="28">
                  <c:v>SANTA ANA</c:v>
                </c:pt>
                <c:pt idx="29">
                  <c:v>AGUA AZUL</c:v>
                </c:pt>
                <c:pt idx="30">
                  <c:v>TERMOSELVA</c:v>
                </c:pt>
                <c:pt idx="31">
                  <c:v>EGESUR</c:v>
                </c:pt>
                <c:pt idx="32">
                  <c:v>SDF ENERGIA</c:v>
                </c:pt>
                <c:pt idx="33">
                  <c:v>GEPSA</c:v>
                </c:pt>
                <c:pt idx="34">
                  <c:v>ENERGÍA EÓLICA</c:v>
                </c:pt>
                <c:pt idx="35">
                  <c:v>SANTA CRUZ</c:v>
                </c:pt>
                <c:pt idx="36">
                  <c:v>EMGE JUNÍN</c:v>
                </c:pt>
                <c:pt idx="37">
                  <c:v>P.E. TRES HERMANAS</c:v>
                </c:pt>
                <c:pt idx="38">
                  <c:v>EMGE HUANZA</c:v>
                </c:pt>
                <c:pt idx="39">
                  <c:v>ENEL GENERACION PIURA</c:v>
                </c:pt>
                <c:pt idx="40">
                  <c:v>ENEL GREEN POWER PERU</c:v>
                </c:pt>
                <c:pt idx="41">
                  <c:v>INLAND</c:v>
                </c:pt>
                <c:pt idx="42">
                  <c:v>SAN GABAN</c:v>
                </c:pt>
                <c:pt idx="43">
                  <c:v>CHINANGO</c:v>
                </c:pt>
                <c:pt idx="44">
                  <c:v>EGASA</c:v>
                </c:pt>
                <c:pt idx="45">
                  <c:v>EGEMSA</c:v>
                </c:pt>
                <c:pt idx="46">
                  <c:v>TERMOCHILCA</c:v>
                </c:pt>
                <c:pt idx="47">
                  <c:v>CELEPSA</c:v>
                </c:pt>
                <c:pt idx="48">
                  <c:v>ORAZUL ENERGY PERÚ</c:v>
                </c:pt>
                <c:pt idx="49">
                  <c:v>STATKRAFT</c:v>
                </c:pt>
                <c:pt idx="50">
                  <c:v>ENGIE</c:v>
                </c:pt>
                <c:pt idx="51">
                  <c:v>EMGE HUALLAGA</c:v>
                </c:pt>
                <c:pt idx="52">
                  <c:v>FENIX POWER</c:v>
                </c:pt>
                <c:pt idx="53">
                  <c:v>ENEL GENERACION PERU</c:v>
                </c:pt>
                <c:pt idx="54">
                  <c:v>ELECTROPERU</c:v>
                </c:pt>
                <c:pt idx="55">
                  <c:v>KALLPA</c:v>
                </c:pt>
              </c:strCache>
            </c:strRef>
          </c:cat>
          <c:val>
            <c:numRef>
              <c:f>'7. Generacion empresa'!$N$5:$N$60</c:f>
              <c:numCache>
                <c:formatCode>General</c:formatCode>
                <c:ptCount val="56"/>
                <c:pt idx="0">
                  <c:v>0</c:v>
                </c:pt>
                <c:pt idx="1">
                  <c:v>0</c:v>
                </c:pt>
                <c:pt idx="2">
                  <c:v>23.174802917499999</c:v>
                </c:pt>
                <c:pt idx="3">
                  <c:v>0.15979007250000002</c:v>
                </c:pt>
                <c:pt idx="4">
                  <c:v>0.25669575750000001</c:v>
                </c:pt>
                <c:pt idx="5">
                  <c:v>1.32845575E-2</c:v>
                </c:pt>
                <c:pt idx="7">
                  <c:v>2.2873479625000002</c:v>
                </c:pt>
                <c:pt idx="8">
                  <c:v>2.2851489999999997</c:v>
                </c:pt>
                <c:pt idx="10">
                  <c:v>2.2131999999999996</c:v>
                </c:pt>
                <c:pt idx="11">
                  <c:v>1.9283449450000001</c:v>
                </c:pt>
                <c:pt idx="12">
                  <c:v>3.394725185</c:v>
                </c:pt>
                <c:pt idx="13">
                  <c:v>2.8683672500000004</c:v>
                </c:pt>
                <c:pt idx="14">
                  <c:v>3.5532930350000003</c:v>
                </c:pt>
                <c:pt idx="15">
                  <c:v>5.1009950675000004</c:v>
                </c:pt>
                <c:pt idx="16">
                  <c:v>3.9248712500000003</c:v>
                </c:pt>
                <c:pt idx="17">
                  <c:v>4.3084324599999997</c:v>
                </c:pt>
                <c:pt idx="19">
                  <c:v>3.8624617799999998</c:v>
                </c:pt>
                <c:pt idx="20">
                  <c:v>6.6318301625</c:v>
                </c:pt>
                <c:pt idx="21">
                  <c:v>12.348326535</c:v>
                </c:pt>
                <c:pt idx="22">
                  <c:v>8.6083409124999992</c:v>
                </c:pt>
                <c:pt idx="23">
                  <c:v>12.551683467500002</c:v>
                </c:pt>
                <c:pt idx="25">
                  <c:v>11.770244052500001</c:v>
                </c:pt>
                <c:pt idx="26">
                  <c:v>13.025115</c:v>
                </c:pt>
                <c:pt idx="27">
                  <c:v>1.136805635</c:v>
                </c:pt>
                <c:pt idx="28">
                  <c:v>0.58111249999999992</c:v>
                </c:pt>
                <c:pt idx="29">
                  <c:v>11.852313370000001</c:v>
                </c:pt>
                <c:pt idx="30">
                  <c:v>47.557086605000002</c:v>
                </c:pt>
                <c:pt idx="31">
                  <c:v>16.716311147499997</c:v>
                </c:pt>
                <c:pt idx="32">
                  <c:v>18.1654586075</c:v>
                </c:pt>
                <c:pt idx="33">
                  <c:v>4.6508904300000005</c:v>
                </c:pt>
                <c:pt idx="34">
                  <c:v>22.927925090000002</c:v>
                </c:pt>
                <c:pt idx="35">
                  <c:v>19.699734312499999</c:v>
                </c:pt>
                <c:pt idx="36">
                  <c:v>24.300021709999999</c:v>
                </c:pt>
                <c:pt idx="37">
                  <c:v>26.598642795</c:v>
                </c:pt>
                <c:pt idx="38">
                  <c:v>22.898562522500001</c:v>
                </c:pt>
                <c:pt idx="39">
                  <c:v>40.139846787499998</c:v>
                </c:pt>
                <c:pt idx="40">
                  <c:v>32.686193135000003</c:v>
                </c:pt>
                <c:pt idx="41">
                  <c:v>59.999820024999998</c:v>
                </c:pt>
                <c:pt idx="42">
                  <c:v>73.767913012500003</c:v>
                </c:pt>
                <c:pt idx="43">
                  <c:v>117.66519027999999</c:v>
                </c:pt>
                <c:pt idx="44">
                  <c:v>102.73929850250001</c:v>
                </c:pt>
                <c:pt idx="45">
                  <c:v>110.37863408</c:v>
                </c:pt>
                <c:pt idx="46">
                  <c:v>30.925195844999998</c:v>
                </c:pt>
                <c:pt idx="47">
                  <c:v>143.58416572499999</c:v>
                </c:pt>
                <c:pt idx="48">
                  <c:v>227.83383510500002</c:v>
                </c:pt>
                <c:pt idx="49">
                  <c:v>242.60455527000005</c:v>
                </c:pt>
                <c:pt idx="50">
                  <c:v>222.48350496999998</c:v>
                </c:pt>
                <c:pt idx="51">
                  <c:v>277.38072177999993</c:v>
                </c:pt>
                <c:pt idx="52">
                  <c:v>66.095459795000011</c:v>
                </c:pt>
                <c:pt idx="53">
                  <c:v>475.94147823750001</c:v>
                </c:pt>
                <c:pt idx="54">
                  <c:v>554.1659230775</c:v>
                </c:pt>
                <c:pt idx="55">
                  <c:v>799.79759246499998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4265.3506700000007</c:v>
                </c:pt>
                <c:pt idx="1">
                  <c:v>4444.7789599999996</c:v>
                </c:pt>
                <c:pt idx="2">
                  <c:v>4236.5890400000008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2441.1865700000003</c:v>
                </c:pt>
                <c:pt idx="1">
                  <c:v>1958.0462900000002</c:v>
                </c:pt>
                <c:pt idx="2">
                  <c:v>2291.3775700000001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243.45965000000001</c:v>
                </c:pt>
                <c:pt idx="1">
                  <c:v>174.14297999999999</c:v>
                </c:pt>
                <c:pt idx="2">
                  <c:v>45.283239999999999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500"/>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Empresa'!$L$7:$L$61</c:f>
              <c:strCache>
                <c:ptCount val="55"/>
                <c:pt idx="0">
                  <c:v>AGROAURORA</c:v>
                </c:pt>
                <c:pt idx="1">
                  <c:v>CERRO VERDE</c:v>
                </c:pt>
                <c:pt idx="2">
                  <c:v>CHINANGO</c:v>
                </c:pt>
                <c:pt idx="3">
                  <c:v>GTS MAJES</c:v>
                </c:pt>
                <c:pt idx="4">
                  <c:v>GTS REPARTICION</c:v>
                </c:pt>
                <c:pt idx="5">
                  <c:v>HUAURA POWER</c:v>
                </c:pt>
                <c:pt idx="6">
                  <c:v>IYEPSA</c:v>
                </c:pt>
                <c:pt idx="7">
                  <c:v>MOQUEGUA FV</c:v>
                </c:pt>
                <c:pt idx="8">
                  <c:v>PANAMERICANA SOLAR</c:v>
                </c:pt>
                <c:pt idx="9">
                  <c:v>PLANTA  ETEN</c:v>
                </c:pt>
                <c:pt idx="10">
                  <c:v>SAMAY I</c:v>
                </c:pt>
                <c:pt idx="11">
                  <c:v>TACNA SOLAR</c:v>
                </c:pt>
                <c:pt idx="12">
                  <c:v>TERMOCHILCA</c:v>
                </c:pt>
                <c:pt idx="13">
                  <c:v>ELECTRO ZAÑA</c:v>
                </c:pt>
                <c:pt idx="14">
                  <c:v>ELECTRICA SANTA ROSA</c:v>
                </c:pt>
                <c:pt idx="15">
                  <c:v>HYDRO PATAPO</c:v>
                </c:pt>
                <c:pt idx="16">
                  <c:v>MAJA ENERGIA</c:v>
                </c:pt>
                <c:pt idx="17">
                  <c:v>ELECTRICA YANAPAMPA</c:v>
                </c:pt>
                <c:pt idx="18">
                  <c:v>HIDROCAÑETE</c:v>
                </c:pt>
                <c:pt idx="19">
                  <c:v>EGECSAC</c:v>
                </c:pt>
                <c:pt idx="20">
                  <c:v>SINERSA</c:v>
                </c:pt>
                <c:pt idx="21">
                  <c:v>PETRAMAS</c:v>
                </c:pt>
                <c:pt idx="22">
                  <c:v>AIPSA</c:v>
                </c:pt>
                <c:pt idx="23">
                  <c:v>RIO DOBLE</c:v>
                </c:pt>
                <c:pt idx="24">
                  <c:v>HIDROMARAÑON/ CELEPSA RENOVABLES</c:v>
                </c:pt>
                <c:pt idx="25">
                  <c:v>ENERGÍA EÓLICA</c:v>
                </c:pt>
                <c:pt idx="26">
                  <c:v>HIDROELECTRICA HUANCHOR</c:v>
                </c:pt>
                <c:pt idx="27">
                  <c:v>SHOUGESA</c:v>
                </c:pt>
                <c:pt idx="28">
                  <c:v>ANDEAN POWER</c:v>
                </c:pt>
                <c:pt idx="29">
                  <c:v>SANTA ANA</c:v>
                </c:pt>
                <c:pt idx="30">
                  <c:v>AGUA AZUL</c:v>
                </c:pt>
                <c:pt idx="31">
                  <c:v>P.E. MARCONA</c:v>
                </c:pt>
                <c:pt idx="32">
                  <c:v>SDF ENERGIA</c:v>
                </c:pt>
                <c:pt idx="33">
                  <c:v>GEPSA</c:v>
                </c:pt>
                <c:pt idx="34">
                  <c:v>SANTA CRUZ</c:v>
                </c:pt>
                <c:pt idx="35">
                  <c:v>EMGE JUNÍN</c:v>
                </c:pt>
                <c:pt idx="36">
                  <c:v>EGESUR</c:v>
                </c:pt>
                <c:pt idx="37">
                  <c:v>P.E. TRES HERMANAS</c:v>
                </c:pt>
                <c:pt idx="38">
                  <c:v>TERMOSELVA</c:v>
                </c:pt>
                <c:pt idx="39">
                  <c:v>ENEL GENERACION PIURA</c:v>
                </c:pt>
                <c:pt idx="40">
                  <c:v>INLAND</c:v>
                </c:pt>
                <c:pt idx="41">
                  <c:v>EMGE HUANZA</c:v>
                </c:pt>
                <c:pt idx="42">
                  <c:v>SAN GABAN</c:v>
                </c:pt>
                <c:pt idx="43">
                  <c:v>ENEL GREEN POWER PERU</c:v>
                </c:pt>
                <c:pt idx="44">
                  <c:v>EGEMSA</c:v>
                </c:pt>
                <c:pt idx="45">
                  <c:v>EGASA</c:v>
                </c:pt>
                <c:pt idx="46">
                  <c:v>CELEPSA</c:v>
                </c:pt>
                <c:pt idx="47">
                  <c:v>ORAZUL ENERGY PERÚ</c:v>
                </c:pt>
                <c:pt idx="48">
                  <c:v>STATKRAFT</c:v>
                </c:pt>
                <c:pt idx="49">
                  <c:v>EMGE HUALLAGA</c:v>
                </c:pt>
                <c:pt idx="50">
                  <c:v>FENIX POWER</c:v>
                </c:pt>
                <c:pt idx="51">
                  <c:v>ENGIE</c:v>
                </c:pt>
                <c:pt idx="52">
                  <c:v>ELECTROPERU</c:v>
                </c:pt>
                <c:pt idx="53">
                  <c:v>ENEL GENERACION PERU</c:v>
                </c:pt>
                <c:pt idx="54">
                  <c:v>KALLPA</c:v>
                </c:pt>
              </c:strCache>
            </c:strRef>
          </c:cat>
          <c:val>
            <c:numRef>
              <c:f>'9. Pot. Empresa'!$M$7:$M$61</c:f>
              <c:numCache>
                <c:formatCode>General</c:formatCode>
                <c:ptCount val="55"/>
                <c:pt idx="0">
                  <c:v>0</c:v>
                </c:pt>
                <c:pt idx="1">
                  <c:v>0</c:v>
                </c:pt>
                <c:pt idx="2">
                  <c:v>0</c:v>
                </c:pt>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0.43746000000000002</c:v>
                </c:pt>
                <c:pt idx="15">
                  <c:v>0.96699999999999997</c:v>
                </c:pt>
                <c:pt idx="16" formatCode="0.00">
                  <c:v>3.1259999999999999</c:v>
                </c:pt>
                <c:pt idx="17" formatCode="0.00">
                  <c:v>3.5899000000000001</c:v>
                </c:pt>
                <c:pt idx="18" formatCode="0.00">
                  <c:v>3.6</c:v>
                </c:pt>
                <c:pt idx="19" formatCode="0.00">
                  <c:v>4.3472</c:v>
                </c:pt>
                <c:pt idx="20" formatCode="0.00">
                  <c:v>5.7474600000000002</c:v>
                </c:pt>
                <c:pt idx="21" formatCode="0.00">
                  <c:v>8.0751600000000003</c:v>
                </c:pt>
                <c:pt idx="22" formatCode="0.00">
                  <c:v>10.366490000000001</c:v>
                </c:pt>
                <c:pt idx="23" formatCode="0.00">
                  <c:v>18.635080000000002</c:v>
                </c:pt>
                <c:pt idx="24" formatCode="0.00">
                  <c:v>18.984090000000002</c:v>
                </c:pt>
                <c:pt idx="25" formatCode="0.00">
                  <c:v>18.984220000000001</c:v>
                </c:pt>
                <c:pt idx="26" formatCode="0.00">
                  <c:v>19.235999999999997</c:v>
                </c:pt>
                <c:pt idx="27" formatCode="0.00">
                  <c:v>19.384920000000001</c:v>
                </c:pt>
                <c:pt idx="28" formatCode="0.00">
                  <c:v>19.88353</c:v>
                </c:pt>
                <c:pt idx="29" formatCode="0.00">
                  <c:v>19.949819999999999</c:v>
                </c:pt>
                <c:pt idx="30" formatCode="0.00">
                  <c:v>20.023609999999998</c:v>
                </c:pt>
                <c:pt idx="31" formatCode="0.00">
                  <c:v>22.2544</c:v>
                </c:pt>
                <c:pt idx="32" formatCode="0.00">
                  <c:v>26.839379999999998</c:v>
                </c:pt>
                <c:pt idx="33" formatCode="0.00">
                  <c:v>32.669879999999999</c:v>
                </c:pt>
                <c:pt idx="34" formatCode="0.00">
                  <c:v>32.765409999999996</c:v>
                </c:pt>
                <c:pt idx="35" formatCode="0.00">
                  <c:v>37.258279999999999</c:v>
                </c:pt>
                <c:pt idx="36" formatCode="0.00">
                  <c:v>47.027180000000001</c:v>
                </c:pt>
                <c:pt idx="37" formatCode="0.00">
                  <c:v>77.499799999999993</c:v>
                </c:pt>
                <c:pt idx="38" formatCode="0.00">
                  <c:v>80.879400000000004</c:v>
                </c:pt>
                <c:pt idx="39" formatCode="0.00">
                  <c:v>86.646780000000007</c:v>
                </c:pt>
                <c:pt idx="40" formatCode="0.00">
                  <c:v>92.071020000000004</c:v>
                </c:pt>
                <c:pt idx="41" formatCode="0.00">
                  <c:v>94.363419999999991</c:v>
                </c:pt>
                <c:pt idx="42" formatCode="0.00">
                  <c:v>110.87645000000001</c:v>
                </c:pt>
                <c:pt idx="43" formatCode="0.00">
                  <c:v>124.72123000000001</c:v>
                </c:pt>
                <c:pt idx="44" formatCode="0.00">
                  <c:v>168.76643000000001</c:v>
                </c:pt>
                <c:pt idx="45" formatCode="0.00">
                  <c:v>170.60917000000001</c:v>
                </c:pt>
                <c:pt idx="46" formatCode="0.00">
                  <c:v>212.89953</c:v>
                </c:pt>
                <c:pt idx="47" formatCode="0.00">
                  <c:v>276.67604</c:v>
                </c:pt>
                <c:pt idx="48" formatCode="0.00">
                  <c:v>365.22555</c:v>
                </c:pt>
                <c:pt idx="49" formatCode="0.00">
                  <c:v>460.58933000000002</c:v>
                </c:pt>
                <c:pt idx="50" formatCode="0.00">
                  <c:v>544.80962999999997</c:v>
                </c:pt>
                <c:pt idx="51" formatCode="0.00">
                  <c:v>720.06187999999997</c:v>
                </c:pt>
                <c:pt idx="52" formatCode="0.00">
                  <c:v>852.77375999999992</c:v>
                </c:pt>
                <c:pt idx="53" formatCode="0.00">
                  <c:v>945.05990000000008</c:v>
                </c:pt>
                <c:pt idx="54" formatCode="0.00">
                  <c:v>1171.3151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Empresa'!$L$7:$L$61</c:f>
              <c:strCache>
                <c:ptCount val="55"/>
                <c:pt idx="0">
                  <c:v>AGROAURORA</c:v>
                </c:pt>
                <c:pt idx="1">
                  <c:v>CERRO VERDE</c:v>
                </c:pt>
                <c:pt idx="2">
                  <c:v>CHINANGO</c:v>
                </c:pt>
                <c:pt idx="3">
                  <c:v>GTS MAJES</c:v>
                </c:pt>
                <c:pt idx="4">
                  <c:v>GTS REPARTICION</c:v>
                </c:pt>
                <c:pt idx="5">
                  <c:v>HUAURA POWER</c:v>
                </c:pt>
                <c:pt idx="6">
                  <c:v>IYEPSA</c:v>
                </c:pt>
                <c:pt idx="7">
                  <c:v>MOQUEGUA FV</c:v>
                </c:pt>
                <c:pt idx="8">
                  <c:v>PANAMERICANA SOLAR</c:v>
                </c:pt>
                <c:pt idx="9">
                  <c:v>PLANTA  ETEN</c:v>
                </c:pt>
                <c:pt idx="10">
                  <c:v>SAMAY I</c:v>
                </c:pt>
                <c:pt idx="11">
                  <c:v>TACNA SOLAR</c:v>
                </c:pt>
                <c:pt idx="12">
                  <c:v>TERMOCHILCA</c:v>
                </c:pt>
                <c:pt idx="13">
                  <c:v>ELECTRO ZAÑA</c:v>
                </c:pt>
                <c:pt idx="14">
                  <c:v>ELECTRICA SANTA ROSA</c:v>
                </c:pt>
                <c:pt idx="15">
                  <c:v>HYDRO PATAPO</c:v>
                </c:pt>
                <c:pt idx="16">
                  <c:v>MAJA ENERGIA</c:v>
                </c:pt>
                <c:pt idx="17">
                  <c:v>ELECTRICA YANAPAMPA</c:v>
                </c:pt>
                <c:pt idx="18">
                  <c:v>HIDROCAÑETE</c:v>
                </c:pt>
                <c:pt idx="19">
                  <c:v>EGECSAC</c:v>
                </c:pt>
                <c:pt idx="20">
                  <c:v>SINERSA</c:v>
                </c:pt>
                <c:pt idx="21">
                  <c:v>PETRAMAS</c:v>
                </c:pt>
                <c:pt idx="22">
                  <c:v>AIPSA</c:v>
                </c:pt>
                <c:pt idx="23">
                  <c:v>RIO DOBLE</c:v>
                </c:pt>
                <c:pt idx="24">
                  <c:v>HIDROMARAÑON/ CELEPSA RENOVABLES</c:v>
                </c:pt>
                <c:pt idx="25">
                  <c:v>ENERGÍA EÓLICA</c:v>
                </c:pt>
                <c:pt idx="26">
                  <c:v>HIDROELECTRICA HUANCHOR</c:v>
                </c:pt>
                <c:pt idx="27">
                  <c:v>SHOUGESA</c:v>
                </c:pt>
                <c:pt idx="28">
                  <c:v>ANDEAN POWER</c:v>
                </c:pt>
                <c:pt idx="29">
                  <c:v>SANTA ANA</c:v>
                </c:pt>
                <c:pt idx="30">
                  <c:v>AGUA AZUL</c:v>
                </c:pt>
                <c:pt idx="31">
                  <c:v>P.E. MARCONA</c:v>
                </c:pt>
                <c:pt idx="32">
                  <c:v>SDF ENERGIA</c:v>
                </c:pt>
                <c:pt idx="33">
                  <c:v>GEPSA</c:v>
                </c:pt>
                <c:pt idx="34">
                  <c:v>SANTA CRUZ</c:v>
                </c:pt>
                <c:pt idx="35">
                  <c:v>EMGE JUNÍN</c:v>
                </c:pt>
                <c:pt idx="36">
                  <c:v>EGESUR</c:v>
                </c:pt>
                <c:pt idx="37">
                  <c:v>P.E. TRES HERMANAS</c:v>
                </c:pt>
                <c:pt idx="38">
                  <c:v>TERMOSELVA</c:v>
                </c:pt>
                <c:pt idx="39">
                  <c:v>ENEL GENERACION PIURA</c:v>
                </c:pt>
                <c:pt idx="40">
                  <c:v>INLAND</c:v>
                </c:pt>
                <c:pt idx="41">
                  <c:v>EMGE HUANZA</c:v>
                </c:pt>
                <c:pt idx="42">
                  <c:v>SAN GABAN</c:v>
                </c:pt>
                <c:pt idx="43">
                  <c:v>ENEL GREEN POWER PERU</c:v>
                </c:pt>
                <c:pt idx="44">
                  <c:v>EGEMSA</c:v>
                </c:pt>
                <c:pt idx="45">
                  <c:v>EGASA</c:v>
                </c:pt>
                <c:pt idx="46">
                  <c:v>CELEPSA</c:v>
                </c:pt>
                <c:pt idx="47">
                  <c:v>ORAZUL ENERGY PERÚ</c:v>
                </c:pt>
                <c:pt idx="48">
                  <c:v>STATKRAFT</c:v>
                </c:pt>
                <c:pt idx="49">
                  <c:v>EMGE HUALLAGA</c:v>
                </c:pt>
                <c:pt idx="50">
                  <c:v>FENIX POWER</c:v>
                </c:pt>
                <c:pt idx="51">
                  <c:v>ENGIE</c:v>
                </c:pt>
                <c:pt idx="52">
                  <c:v>ELECTROPERU</c:v>
                </c:pt>
                <c:pt idx="53">
                  <c:v>ENEL GENERACION PERU</c:v>
                </c:pt>
                <c:pt idx="54">
                  <c:v>KALLPA</c:v>
                </c:pt>
              </c:strCache>
            </c:strRef>
          </c:cat>
          <c:val>
            <c:numRef>
              <c:f>'9. Pot. Empresa'!$N$7:$N$61</c:f>
              <c:numCache>
                <c:formatCode>General</c:formatCode>
                <c:ptCount val="55"/>
                <c:pt idx="0">
                  <c:v>0</c:v>
                </c:pt>
                <c:pt idx="1">
                  <c:v>0</c:v>
                </c:pt>
                <c:pt idx="2">
                  <c:v>192.19821999999999</c:v>
                </c:pt>
                <c:pt idx="3" formatCode="0.00">
                  <c:v>0</c:v>
                </c:pt>
                <c:pt idx="4" formatCode="0.00">
                  <c:v>0</c:v>
                </c:pt>
                <c:pt idx="5">
                  <c:v>19.009140000000002</c:v>
                </c:pt>
                <c:pt idx="6" formatCode="0.00">
                  <c:v>0</c:v>
                </c:pt>
                <c:pt idx="7" formatCode="0.00">
                  <c:v>0</c:v>
                </c:pt>
                <c:pt idx="8" formatCode="0.00">
                  <c:v>0</c:v>
                </c:pt>
                <c:pt idx="9" formatCode="0.00">
                  <c:v>0</c:v>
                </c:pt>
                <c:pt idx="10">
                  <c:v>0</c:v>
                </c:pt>
                <c:pt idx="11" formatCode="0.00">
                  <c:v>0</c:v>
                </c:pt>
                <c:pt idx="12" formatCode="0.00">
                  <c:v>0</c:v>
                </c:pt>
                <c:pt idx="14">
                  <c:v>0.99741000000000002</c:v>
                </c:pt>
                <c:pt idx="16" formatCode="0.00">
                  <c:v>3.7359999999999998</c:v>
                </c:pt>
                <c:pt idx="17" formatCode="0.00">
                  <c:v>3.6574800000000001</c:v>
                </c:pt>
                <c:pt idx="18">
                  <c:v>3.2</c:v>
                </c:pt>
                <c:pt idx="19" formatCode="0.00">
                  <c:v>4.7</c:v>
                </c:pt>
                <c:pt idx="20" formatCode="0.00">
                  <c:v>7.7695299999999996</c:v>
                </c:pt>
                <c:pt idx="21" formatCode="0.00">
                  <c:v>5.8201299999999998</c:v>
                </c:pt>
                <c:pt idx="22" formatCode="0.00">
                  <c:v>13.00605</c:v>
                </c:pt>
                <c:pt idx="23" formatCode="0.00">
                  <c:v>16.785440000000001</c:v>
                </c:pt>
                <c:pt idx="24" formatCode="0.00">
                  <c:v>19.47803</c:v>
                </c:pt>
                <c:pt idx="25" formatCode="0.00">
                  <c:v>60.1006</c:v>
                </c:pt>
                <c:pt idx="26" formatCode="0.00">
                  <c:v>19.404</c:v>
                </c:pt>
                <c:pt idx="27" formatCode="0.00">
                  <c:v>0</c:v>
                </c:pt>
                <c:pt idx="29" formatCode="0.00">
                  <c:v>0</c:v>
                </c:pt>
                <c:pt idx="30">
                  <c:v>20.382480000000001</c:v>
                </c:pt>
                <c:pt idx="31" formatCode="0.00">
                  <c:v>23.36393</c:v>
                </c:pt>
                <c:pt idx="32" formatCode="0.00">
                  <c:v>26.884260000000001</c:v>
                </c:pt>
                <c:pt idx="33" formatCode="0.00">
                  <c:v>8.9586500000000004</c:v>
                </c:pt>
                <c:pt idx="34" formatCode="0.00">
                  <c:v>28.15119</c:v>
                </c:pt>
                <c:pt idx="35" formatCode="0.00">
                  <c:v>37.096400000000003</c:v>
                </c:pt>
                <c:pt idx="36" formatCode="0.00">
                  <c:v>42.62209</c:v>
                </c:pt>
                <c:pt idx="37" formatCode="0.00">
                  <c:v>78.918340000000001</c:v>
                </c:pt>
                <c:pt idx="38" formatCode="0.00">
                  <c:v>84.815160000000006</c:v>
                </c:pt>
                <c:pt idx="39" formatCode="0.00">
                  <c:v>51.039430000000003</c:v>
                </c:pt>
                <c:pt idx="40" formatCode="0.00">
                  <c:v>89.974540000000005</c:v>
                </c:pt>
                <c:pt idx="41" formatCode="0.00">
                  <c:v>94.394300000000001</c:v>
                </c:pt>
                <c:pt idx="42" formatCode="0.00">
                  <c:v>110.90493000000001</c:v>
                </c:pt>
                <c:pt idx="43" formatCode="0.00">
                  <c:v>11.760109999999999</c:v>
                </c:pt>
                <c:pt idx="44" formatCode="0.00">
                  <c:v>163.39222999999998</c:v>
                </c:pt>
                <c:pt idx="45" formatCode="0.00">
                  <c:v>199.45930999999999</c:v>
                </c:pt>
                <c:pt idx="46" formatCode="0.00">
                  <c:v>215.80619999999999</c:v>
                </c:pt>
                <c:pt idx="47" formatCode="0.00">
                  <c:v>318.08104000000003</c:v>
                </c:pt>
                <c:pt idx="48" formatCode="0.00">
                  <c:v>360.40575999999999</c:v>
                </c:pt>
                <c:pt idx="49" formatCode="0.00">
                  <c:v>455.95588999999995</c:v>
                </c:pt>
                <c:pt idx="50" formatCode="0.00">
                  <c:v>0</c:v>
                </c:pt>
                <c:pt idx="51" formatCode="0.00">
                  <c:v>583.04831999999999</c:v>
                </c:pt>
                <c:pt idx="52" formatCode="0.00">
                  <c:v>846.13872000000003</c:v>
                </c:pt>
                <c:pt idx="53" formatCode="0.00">
                  <c:v>886.87415999999996</c:v>
                </c:pt>
                <c:pt idx="54" formatCode="0.00">
                  <c:v>1468.6787600000002</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8173068818189964"/>
          <c:y val="0.39830741899342714"/>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formatCode="General">
                  <c:v>139.2400055</c:v>
                </c:pt>
                <c:pt idx="5" formatCode="General">
                  <c:v>150.94</c:v>
                </c:pt>
                <c:pt idx="6" formatCode="General">
                  <c:v>162.4909973</c:v>
                </c:pt>
                <c:pt idx="7" formatCode="General">
                  <c:v>169.03700259999999</c:v>
                </c:pt>
                <c:pt idx="8" formatCode="General">
                  <c:v>182.64300539999999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2764.6728744499997</c:v>
                </c:pt>
                <c:pt idx="1">
                  <c:v>971.89974104249984</c:v>
                </c:pt>
                <c:pt idx="2">
                  <c:v>20.235010845000001</c:v>
                </c:pt>
                <c:pt idx="3">
                  <c:v>43.589716535000001</c:v>
                </c:pt>
                <c:pt idx="4">
                  <c:v>10.4942919425</c:v>
                </c:pt>
                <c:pt idx="5">
                  <c:v>62.462496864999999</c:v>
                </c:pt>
                <c:pt idx="6">
                  <c:v>46.187362507500005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1117.4008187420311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14.210985769999999</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34.239523405468752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14.048983830000001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92.624653935000012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49.242465800000005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'12.Caudales'!$N$4:$N$168</c:f>
              <c:numCache>
                <c:formatCode>0.0</c:formatCode>
                <c:ptCount val="165"/>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formatCode="General">
                  <c:v>60.27571428571428</c:v>
                </c:pt>
                <c:pt idx="153" formatCode="General">
                  <c:v>46.701999664285715</c:v>
                </c:pt>
                <c:pt idx="154" formatCode="General">
                  <c:v>68.7</c:v>
                </c:pt>
                <c:pt idx="155" formatCode="General">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'12.Caudales'!$O$4:$O$168</c:f>
              <c:numCache>
                <c:formatCode>0.0</c:formatCode>
                <c:ptCount val="165"/>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formatCode="General">
                  <c:v>17.955714285714286</c:v>
                </c:pt>
                <c:pt idx="153" formatCode="General">
                  <c:v>13.432571411428571</c:v>
                </c:pt>
                <c:pt idx="154" formatCode="General">
                  <c:v>39.414285714285711</c:v>
                </c:pt>
                <c:pt idx="155" formatCode="General">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'12.Caudales'!$M$4:$M$168</c:f>
              <c:numCache>
                <c:formatCode>0.0</c:formatCode>
                <c:ptCount val="165"/>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formatCode="General">
                  <c:v>22.62857142857143</c:v>
                </c:pt>
                <c:pt idx="153" formatCode="General">
                  <c:v>17.776714461428572</c:v>
                </c:pt>
                <c:pt idx="154" formatCode="General">
                  <c:v>34.085714285714282</c:v>
                </c:pt>
                <c:pt idx="155" formatCode="General">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'13.Caudales'!$Q$4:$Q$168</c:f>
              <c:numCache>
                <c:formatCode>0.0</c:formatCode>
                <c:ptCount val="165"/>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'13.Caudales'!$R$4:$R$168</c:f>
              <c:numCache>
                <c:formatCode>0.0</c:formatCode>
                <c:ptCount val="165"/>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'13.Caudales'!$S$4:$S$168</c:f>
              <c:numCache>
                <c:formatCode>0.0</c:formatCode>
                <c:ptCount val="165"/>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'13.Caudales'!$T$4:$T$168</c:f>
              <c:numCache>
                <c:formatCode>0.0</c:formatCode>
                <c:ptCount val="165"/>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'13.Caudales'!$U$4:$U$168</c:f>
              <c:numCache>
                <c:formatCode>0.0</c:formatCode>
                <c:ptCount val="165"/>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'13.Caudales'!$V$4:$V$168</c:f>
              <c:numCache>
                <c:formatCode>0.0</c:formatCode>
                <c:ptCount val="165"/>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'13.Caudales'!$N$4:$O$168</c:f>
              <c:multiLvlStrCache>
                <c:ptCount val="16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4">
                    <c:v>9</c:v>
                  </c:pt>
                </c:lvl>
                <c:lvl>
                  <c:pt idx="0">
                    <c:v>2016</c:v>
                  </c:pt>
                  <c:pt idx="52">
                    <c:v>2017</c:v>
                  </c:pt>
                  <c:pt idx="104">
                    <c:v>2018</c:v>
                  </c:pt>
                  <c:pt idx="156">
                    <c:v>2019</c:v>
                  </c:pt>
                </c:lvl>
              </c:multiLvlStrCache>
            </c:multiLvlStrRef>
          </c:cat>
          <c:val>
            <c:numRef>
              <c:f>'13.Caudales'!$W$4:$W$168</c:f>
              <c:numCache>
                <c:formatCode>0.0</c:formatCode>
                <c:ptCount val="165"/>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'13.Caudales'!$Y$4:$Y$168</c:f>
              <c:numCache>
                <c:formatCode>0.0</c:formatCode>
                <c:ptCount val="165"/>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12.94999981</c:v>
                </c:pt>
                <c:pt idx="157">
                  <c:v>14.739999770000001</c:v>
                </c:pt>
                <c:pt idx="158">
                  <c:v>15.52</c:v>
                </c:pt>
                <c:pt idx="159">
                  <c:v>17.370000839999999</c:v>
                </c:pt>
                <c:pt idx="160">
                  <c:v>17.370000839999999</c:v>
                </c:pt>
                <c:pt idx="161">
                  <c:v>19.97</c:v>
                </c:pt>
                <c:pt idx="162">
                  <c:v>25.079999919999999</c:v>
                </c:pt>
                <c:pt idx="163">
                  <c:v>27.309999470000001</c:v>
                </c:pt>
                <c:pt idx="164">
                  <c:v>29.979999540000001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'13.Caudales'!$X$4:$X$168</c:f>
              <c:numCache>
                <c:formatCode>0.0</c:formatCode>
                <c:ptCount val="165"/>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2491806793034138"/>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6.871222200309778</c:v>
                </c:pt>
                <c:pt idx="1">
                  <c:v>6.7346773723975231</c:v>
                </c:pt>
                <c:pt idx="2">
                  <c:v>6.6563814926878369</c:v>
                </c:pt>
                <c:pt idx="3">
                  <c:v>6.6063014946239473</c:v>
                </c:pt>
                <c:pt idx="4">
                  <c:v>6.4881916668918063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SAN JUAN 220</c:v>
                </c:pt>
                <c:pt idx="1">
                  <c:v>CHAVARRIA 220</c:v>
                </c:pt>
                <c:pt idx="2">
                  <c:v>SANTA ROSA 220</c:v>
                </c:pt>
                <c:pt idx="3">
                  <c:v>CARABAYLLO 220</c:v>
                </c:pt>
                <c:pt idx="4">
                  <c:v>INDEPENDENCIA 220</c:v>
                </c:pt>
                <c:pt idx="5">
                  <c:v>POMACOCHA 220</c:v>
                </c:pt>
                <c:pt idx="6">
                  <c:v>OROYA NUEVA 50</c:v>
                </c:pt>
              </c:strCache>
            </c:strRef>
          </c:cat>
          <c:val>
            <c:numRef>
              <c:f>'14. CMg'!$C$27:$I$27</c:f>
              <c:numCache>
                <c:formatCode>0.00</c:formatCode>
                <c:ptCount val="7"/>
                <c:pt idx="0">
                  <c:v>6.5952200154437914</c:v>
                </c:pt>
                <c:pt idx="1">
                  <c:v>6.5836562700363794</c:v>
                </c:pt>
                <c:pt idx="2">
                  <c:v>6.5798197576723583</c:v>
                </c:pt>
                <c:pt idx="3">
                  <c:v>6.5445229887076053</c:v>
                </c:pt>
                <c:pt idx="4">
                  <c:v>6.4848011970048871</c:v>
                </c:pt>
                <c:pt idx="5">
                  <c:v>5.9784157967725875</c:v>
                </c:pt>
                <c:pt idx="6">
                  <c:v>5.7789661902960852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6.8669687702614999</c:v>
                </c:pt>
                <c:pt idx="1">
                  <c:v>6.5446687448220402</c:v>
                </c:pt>
                <c:pt idx="2">
                  <c:v>6.5346877859123849</c:v>
                </c:pt>
                <c:pt idx="3">
                  <c:v>6.5312786459459131</c:v>
                </c:pt>
                <c:pt idx="4">
                  <c:v>6.3028864301923653</c:v>
                </c:pt>
                <c:pt idx="5">
                  <c:v>6.236458648737492</c:v>
                </c:pt>
                <c:pt idx="6">
                  <c:v>5.7661780162632192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FEBRERO
 2017</c:v>
                </c:pt>
              </c:strCache>
            </c:strRef>
          </c:tx>
          <c:spPr>
            <a:solidFill>
              <a:schemeClr val="accent6"/>
            </a:solidFill>
          </c:spPr>
          <c:invertIfNegative val="0"/>
          <c:cat>
            <c:strRef>
              <c:f>'16. Congestiones'!$C$7:$C$25</c:f>
              <c:strCache>
                <c:ptCount val="19"/>
                <c:pt idx="0">
                  <c:v>SAN JUAN - LOS INDUSTRIALES</c:v>
                </c:pt>
                <c:pt idx="1">
                  <c:v>SAN JUAN - SANTA ROSA N.</c:v>
                </c:pt>
                <c:pt idx="2">
                  <c:v>SANTA ROSA N. - CHAVARRÍA</c:v>
                </c:pt>
                <c:pt idx="3">
                  <c:v>HUANZA-CARABAYLLO</c:v>
                </c:pt>
                <c:pt idx="4">
                  <c:v>CAMPO ARMIÑO - HUANCAVELICA</c:v>
                </c:pt>
                <c:pt idx="5">
                  <c:v>POMACOCHA - SAN JUAN</c:v>
                </c:pt>
                <c:pt idx="6">
                  <c:v>PACHACHACA - CALLAHUANCA (REP)</c:v>
                </c:pt>
                <c:pt idx="7">
                  <c:v>VENTANILLA - ZAPALLAL</c:v>
                </c:pt>
                <c:pt idx="8">
                  <c:v>CARHUAMAYO - OROYA NUEVA</c:v>
                </c:pt>
                <c:pt idx="9">
                  <c:v>MARCONA - SAN NICOLÁS</c:v>
                </c:pt>
                <c:pt idx="10">
                  <c:v>INDEPENDENCIA</c:v>
                </c:pt>
                <c:pt idx="11">
                  <c:v>PARAGSHA 2</c:v>
                </c:pt>
                <c:pt idx="12">
                  <c:v>MARCONA</c:v>
                </c:pt>
                <c:pt idx="13">
                  <c:v>CARHUAQUERO - CHICLAYO OESTE</c:v>
                </c:pt>
                <c:pt idx="14">
                  <c:v>LA NIÑA - PIURA OESTE</c:v>
                </c:pt>
                <c:pt idx="15">
                  <c:v>ENLACE CENTRO - SUR</c:v>
                </c:pt>
                <c:pt idx="16">
                  <c:v>MACHUPICCHU - CACHIMAYO</c:v>
                </c:pt>
                <c:pt idx="17">
                  <c:v>CHILINA - CONVERTIDOR</c:v>
                </c:pt>
                <c:pt idx="18">
                  <c:v>CHILINA</c:v>
                </c:pt>
              </c:strCache>
            </c:strRef>
          </c:cat>
          <c:val>
            <c:numRef>
              <c:f>'16. Congestiones'!$F$7:$F$25</c:f>
              <c:numCache>
                <c:formatCode>#,##0.00</c:formatCode>
                <c:ptCount val="19"/>
                <c:pt idx="3">
                  <c:v>76.333333333333343</c:v>
                </c:pt>
                <c:pt idx="4">
                  <c:v>8.1333333333333329</c:v>
                </c:pt>
                <c:pt idx="5">
                  <c:v>104.4</c:v>
                </c:pt>
                <c:pt idx="10">
                  <c:v>18.400000000000006</c:v>
                </c:pt>
                <c:pt idx="12">
                  <c:v>513.35</c:v>
                </c:pt>
                <c:pt idx="13">
                  <c:v>0.71666666666666679</c:v>
                </c:pt>
                <c:pt idx="17">
                  <c:v>10.533333333333333</c:v>
                </c:pt>
                <c:pt idx="18">
                  <c:v>5.2666666666666666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FEBRERO
 2018</c:v>
                </c:pt>
              </c:strCache>
            </c:strRef>
          </c:tx>
          <c:invertIfNegative val="0"/>
          <c:cat>
            <c:strRef>
              <c:f>'16. Congestiones'!$C$7:$C$25</c:f>
              <c:strCache>
                <c:ptCount val="19"/>
                <c:pt idx="0">
                  <c:v>SAN JUAN - LOS INDUSTRIALES</c:v>
                </c:pt>
                <c:pt idx="1">
                  <c:v>SAN JUAN - SANTA ROSA N.</c:v>
                </c:pt>
                <c:pt idx="2">
                  <c:v>SANTA ROSA N. - CHAVARRÍA</c:v>
                </c:pt>
                <c:pt idx="3">
                  <c:v>HUANZA-CARABAYLLO</c:v>
                </c:pt>
                <c:pt idx="4">
                  <c:v>CAMPO ARMIÑO - HUANCAVELICA</c:v>
                </c:pt>
                <c:pt idx="5">
                  <c:v>POMACOCHA - SAN JUAN</c:v>
                </c:pt>
                <c:pt idx="6">
                  <c:v>PACHACHACA - CALLAHUANCA (REP)</c:v>
                </c:pt>
                <c:pt idx="7">
                  <c:v>VENTANILLA - ZAPALLAL</c:v>
                </c:pt>
                <c:pt idx="8">
                  <c:v>CARHUAMAYO - OROYA NUEVA</c:v>
                </c:pt>
                <c:pt idx="9">
                  <c:v>MARCONA - SAN NICOLÁS</c:v>
                </c:pt>
                <c:pt idx="10">
                  <c:v>INDEPENDENCIA</c:v>
                </c:pt>
                <c:pt idx="11">
                  <c:v>PARAGSHA 2</c:v>
                </c:pt>
                <c:pt idx="12">
                  <c:v>MARCONA</c:v>
                </c:pt>
                <c:pt idx="13">
                  <c:v>CARHUAQUERO - CHICLAYO OESTE</c:v>
                </c:pt>
                <c:pt idx="14">
                  <c:v>LA NIÑA - PIURA OESTE</c:v>
                </c:pt>
                <c:pt idx="15">
                  <c:v>ENLACE CENTRO - SUR</c:v>
                </c:pt>
                <c:pt idx="16">
                  <c:v>MACHUPICCHU - CACHIMAYO</c:v>
                </c:pt>
                <c:pt idx="17">
                  <c:v>CHILINA - CONVERTIDOR</c:v>
                </c:pt>
                <c:pt idx="18">
                  <c:v>CHILINA</c:v>
                </c:pt>
              </c:strCache>
            </c:strRef>
          </c:cat>
          <c:val>
            <c:numRef>
              <c:f>'16. Congestiones'!$E$7:$E$25</c:f>
              <c:numCache>
                <c:formatCode>#,##0.00</c:formatCode>
                <c:ptCount val="19"/>
                <c:pt idx="1">
                  <c:v>0.58333333333333393</c:v>
                </c:pt>
                <c:pt idx="2">
                  <c:v>6.9333333333333336</c:v>
                </c:pt>
                <c:pt idx="5">
                  <c:v>8.4000000000000021</c:v>
                </c:pt>
                <c:pt idx="8">
                  <c:v>12.8</c:v>
                </c:pt>
                <c:pt idx="9">
                  <c:v>3.0333333333333345</c:v>
                </c:pt>
                <c:pt idx="10">
                  <c:v>48.933333333333337</c:v>
                </c:pt>
                <c:pt idx="13">
                  <c:v>2.7333333333333316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FEBRERO
 2019</c:v>
                </c:pt>
              </c:strCache>
            </c:strRef>
          </c:tx>
          <c:invertIfNegative val="0"/>
          <c:cat>
            <c:strRef>
              <c:f>'16. Congestiones'!$C$7:$C$25</c:f>
              <c:strCache>
                <c:ptCount val="19"/>
                <c:pt idx="0">
                  <c:v>SAN JUAN - LOS INDUSTRIALES</c:v>
                </c:pt>
                <c:pt idx="1">
                  <c:v>SAN JUAN - SANTA ROSA N.</c:v>
                </c:pt>
                <c:pt idx="2">
                  <c:v>SANTA ROSA N. - CHAVARRÍA</c:v>
                </c:pt>
                <c:pt idx="3">
                  <c:v>HUANZA-CARABAYLLO</c:v>
                </c:pt>
                <c:pt idx="4">
                  <c:v>CAMPO ARMIÑO - HUANCAVELICA</c:v>
                </c:pt>
                <c:pt idx="5">
                  <c:v>POMACOCHA - SAN JUAN</c:v>
                </c:pt>
                <c:pt idx="6">
                  <c:v>PACHACHACA - CALLAHUANCA (REP)</c:v>
                </c:pt>
                <c:pt idx="7">
                  <c:v>VENTANILLA - ZAPALLAL</c:v>
                </c:pt>
                <c:pt idx="8">
                  <c:v>CARHUAMAYO - OROYA NUEVA</c:v>
                </c:pt>
                <c:pt idx="9">
                  <c:v>MARCONA - SAN NICOLÁS</c:v>
                </c:pt>
                <c:pt idx="10">
                  <c:v>INDEPENDENCIA</c:v>
                </c:pt>
                <c:pt idx="11">
                  <c:v>PARAGSHA 2</c:v>
                </c:pt>
                <c:pt idx="12">
                  <c:v>MARCONA</c:v>
                </c:pt>
                <c:pt idx="13">
                  <c:v>CARHUAQUERO - CHICLAYO OESTE</c:v>
                </c:pt>
                <c:pt idx="14">
                  <c:v>LA NIÑA - PIURA OESTE</c:v>
                </c:pt>
                <c:pt idx="15">
                  <c:v>ENLACE CENTRO - SUR</c:v>
                </c:pt>
                <c:pt idx="16">
                  <c:v>MACHUPICCHU - CACHIMAYO</c:v>
                </c:pt>
                <c:pt idx="17">
                  <c:v>CHILINA - CONVERTIDOR</c:v>
                </c:pt>
                <c:pt idx="18">
                  <c:v>CHILINA</c:v>
                </c:pt>
              </c:strCache>
            </c:strRef>
          </c:cat>
          <c:val>
            <c:numRef>
              <c:f>'16. Congestiones'!$D$7:$D$25</c:f>
              <c:numCache>
                <c:formatCode>#,##0.00</c:formatCode>
                <c:ptCount val="19"/>
                <c:pt idx="0">
                  <c:v>32.25</c:v>
                </c:pt>
                <c:pt idx="3">
                  <c:v>10.46666666666667</c:v>
                </c:pt>
                <c:pt idx="5">
                  <c:v>8.0500000000000007</c:v>
                </c:pt>
                <c:pt idx="6">
                  <c:v>86.75</c:v>
                </c:pt>
                <c:pt idx="7">
                  <c:v>0.58333333333333659</c:v>
                </c:pt>
                <c:pt idx="8">
                  <c:v>6.716666666666665</c:v>
                </c:pt>
                <c:pt idx="10">
                  <c:v>25.883333333333333</c:v>
                </c:pt>
                <c:pt idx="11">
                  <c:v>1.600000000000001</c:v>
                </c:pt>
                <c:pt idx="12">
                  <c:v>4.3333333333333339</c:v>
                </c:pt>
                <c:pt idx="14">
                  <c:v>2.0333333333333368</c:v>
                </c:pt>
                <c:pt idx="15">
                  <c:v>595.10000000000014</c:v>
                </c:pt>
                <c:pt idx="16">
                  <c:v>3.6833333333333336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5.290817153584286E-2"/>
                  <c:y val="-6.711680537829627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8638870441738087"/>
                  <c:y val="4.944725063363952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55669666434842635"/>
                  <c:y val="-0.5842897844726860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8.4292439921842183E-2"/>
                  <c:y val="-4.370629684887932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0478490041153124"/>
                  <c:y val="-0.2322500044938973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0.21966547617180079"/>
                  <c:y val="0.7463055670399597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4081423399586191"/>
                  <c:y val="0.7574477359745466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28</c:v>
                </c:pt>
                <c:pt idx="1">
                  <c:v>6</c:v>
                </c:pt>
                <c:pt idx="2">
                  <c:v>0</c:v>
                </c:pt>
                <c:pt idx="3">
                  <c:v>10</c:v>
                </c:pt>
                <c:pt idx="4">
                  <c:v>21</c:v>
                </c:pt>
                <c:pt idx="5">
                  <c:v>0</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0059242154673118"/>
        </c:manualLayout>
      </c:layout>
      <c:barChart>
        <c:barDir val="col"/>
        <c:grouping val="clustered"/>
        <c:varyColors val="0"/>
        <c:ser>
          <c:idx val="0"/>
          <c:order val="0"/>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Eventos'!$J$7:$J$11</c:f>
              <c:numCache>
                <c:formatCode>#,##0.00</c:formatCode>
                <c:ptCount val="5"/>
                <c:pt idx="0">
                  <c:v>403.75999999999993</c:v>
                </c:pt>
                <c:pt idx="1">
                  <c:v>54.57</c:v>
                </c:pt>
                <c:pt idx="2">
                  <c:v>5.25</c:v>
                </c:pt>
                <c:pt idx="3">
                  <c:v>3.62</c:v>
                </c:pt>
                <c:pt idx="4">
                  <c:v>150.11000000000001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generación'!$B$32:$C$32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generación'!$D$31:$E$31</c:f>
              <c:strCache>
                <c:ptCount val="2"/>
                <c:pt idx="0">
                  <c:v>FEBRERO 2019</c:v>
                </c:pt>
                <c:pt idx="1">
                  <c:v>FEBRERO 2018</c:v>
                </c:pt>
              </c:strCache>
            </c:strRef>
          </c:cat>
          <c:val>
            <c:numRef>
              <c:f>'2. Oferta de generación'!$D$32:$E$32</c:f>
              <c:numCache>
                <c:formatCode>#,##0.0</c:formatCode>
                <c:ptCount val="2"/>
                <c:pt idx="0">
                  <c:v>4995.1492474999995</c:v>
                </c:pt>
                <c:pt idx="1">
                  <c:v>4882.6042474999995</c:v>
                </c:pt>
              </c:numCache>
            </c:numRef>
          </c:val>
          <c:extLst>
            <c:ext xmlns:c16="http://schemas.microsoft.com/office/drawing/2014/chart" uri="{C3380CC4-5D6E-409C-BE32-E72D297353CC}">
              <c16:uniqueId val="{00000004-54B0-402D-913D-0304413B844F}"/>
            </c:ext>
          </c:extLst>
        </c:ser>
        <c:ser>
          <c:idx val="1"/>
          <c:order val="1"/>
          <c:tx>
            <c:strRef>
              <c:f>'2. Oferta de generación'!$B$33:$C$33</c:f>
              <c:strCache>
                <c:ptCount val="2"/>
                <c:pt idx="0">
                  <c:v>TERMOELÉCTRICA</c:v>
                </c:pt>
              </c:strCache>
            </c:strRef>
          </c:tx>
          <c:spPr>
            <a:solidFill>
              <a:schemeClr val="accent2"/>
            </a:solidFill>
          </c:spPr>
          <c:invertIfNegative val="0"/>
          <c:cat>
            <c:strRef>
              <c:f>'2. Oferta de generación'!$D$31:$E$31</c:f>
              <c:strCache>
                <c:ptCount val="2"/>
                <c:pt idx="0">
                  <c:v>FEBRERO 2019</c:v>
                </c:pt>
                <c:pt idx="1">
                  <c:v>FEBRERO 2018</c:v>
                </c:pt>
              </c:strCache>
            </c:strRef>
          </c:cat>
          <c:val>
            <c:numRef>
              <c:f>'2. Oferta de generación'!$D$33:$E$33</c:f>
              <c:numCache>
                <c:formatCode>#,##0.0</c:formatCode>
                <c:ptCount val="2"/>
                <c:pt idx="0">
                  <c:v>7395.9645</c:v>
                </c:pt>
                <c:pt idx="1">
                  <c:v>7286.2885000000006</c:v>
                </c:pt>
              </c:numCache>
            </c:numRef>
          </c:val>
          <c:extLst>
            <c:ext xmlns:c16="http://schemas.microsoft.com/office/drawing/2014/chart" uri="{C3380CC4-5D6E-409C-BE32-E72D297353CC}">
              <c16:uniqueId val="{00000005-54B0-402D-913D-0304413B844F}"/>
            </c:ext>
          </c:extLst>
        </c:ser>
        <c:ser>
          <c:idx val="2"/>
          <c:order val="2"/>
          <c:tx>
            <c:strRef>
              <c:f>'2. Oferta de generación'!$B$34:$C$34</c:f>
              <c:strCache>
                <c:ptCount val="2"/>
                <c:pt idx="0">
                  <c:v>EÓLICA</c:v>
                </c:pt>
              </c:strCache>
            </c:strRef>
          </c:tx>
          <c:spPr>
            <a:solidFill>
              <a:srgbClr val="6DA6D9"/>
            </a:solidFill>
          </c:spPr>
          <c:invertIfNegative val="0"/>
          <c:cat>
            <c:strRef>
              <c:f>'2. Oferta de generación'!$D$31:$E$31</c:f>
              <c:strCache>
                <c:ptCount val="2"/>
                <c:pt idx="0">
                  <c:v>FEBRERO 2019</c:v>
                </c:pt>
                <c:pt idx="1">
                  <c:v>FEBRERO 2018</c:v>
                </c:pt>
              </c:strCache>
            </c:strRef>
          </c:cat>
          <c:val>
            <c:numRef>
              <c:f>'2. Oferta de generación'!$D$34:$E$34</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generación'!$B$35:$C$35</c:f>
              <c:strCache>
                <c:ptCount val="2"/>
                <c:pt idx="0">
                  <c:v>SOLAR</c:v>
                </c:pt>
              </c:strCache>
            </c:strRef>
          </c:tx>
          <c:invertIfNegative val="0"/>
          <c:cat>
            <c:strRef>
              <c:f>'2. Oferta de generación'!$D$31:$E$31</c:f>
              <c:strCache>
                <c:ptCount val="2"/>
                <c:pt idx="0">
                  <c:v>FEBRERO 2019</c:v>
                </c:pt>
                <c:pt idx="1">
                  <c:v>FEBRERO 2018</c:v>
                </c:pt>
              </c:strCache>
            </c:strRef>
          </c:cat>
          <c:val>
            <c:numRef>
              <c:f>'2. Oferta de generación'!$D$35:$E$35</c:f>
              <c:numCache>
                <c:formatCode>#,##0.0</c:formatCode>
                <c:ptCount val="2"/>
                <c:pt idx="0">
                  <c:v>285.02</c:v>
                </c:pt>
                <c:pt idx="1">
                  <c:v>240.48400000000001</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64324803149606291"/>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Eventos'!$B$7:$B$11</c:f>
              <c:numCache>
                <c:formatCode>General</c:formatCode>
                <c:ptCount val="5"/>
                <c:pt idx="0">
                  <c:v>28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Eventos'!$C$7:$C$11</c:f>
              <c:numCache>
                <c:formatCode>General</c:formatCode>
                <c:ptCount val="5"/>
                <c:pt idx="0">
                  <c:v>2</c:v>
                </c:pt>
                <c:pt idx="1">
                  <c:v>1</c:v>
                </c:pt>
                <c:pt idx="2">
                  <c:v>1</c:v>
                </c:pt>
                <c:pt idx="4">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Eventos'!$D$7:$D$11</c:f>
              <c:numCache>
                <c:formatCode>General</c:formatCode>
                <c:ptCount val="5"/>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Eventos'!$E$7:$E$11</c:f>
              <c:numCache>
                <c:formatCode>General</c:formatCode>
                <c:ptCount val="5"/>
                <c:pt idx="0">
                  <c:v>7</c:v>
                </c:pt>
                <c:pt idx="1">
                  <c:v>1</c:v>
                </c:pt>
                <c:pt idx="4">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BARRA</c:v>
                </c:pt>
                <c:pt idx="2">
                  <c:v>GENERADOR TERMOELÉCTRICO</c:v>
                </c:pt>
                <c:pt idx="3">
                  <c:v>CELDA</c:v>
                </c:pt>
                <c:pt idx="4">
                  <c:v>TRANSFORMADOR 3D</c:v>
                </c:pt>
              </c:strCache>
            </c:strRef>
          </c:cat>
          <c:val>
            <c:numRef>
              <c:f>'17. Eventos'!$F$7:$F$11</c:f>
              <c:numCache>
                <c:formatCode>General</c:formatCode>
                <c:ptCount val="5"/>
                <c:pt idx="0">
                  <c:v>18</c:v>
                </c:pt>
                <c:pt idx="3">
                  <c:v>1</c:v>
                </c:pt>
                <c:pt idx="4">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Eventos'!$H$7:$H$11</c:f>
              <c:numCache>
                <c:formatCode>General</c:formatCode>
                <c:ptCount val="5"/>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generación'!$L$12:$L$16</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Lbls>
            <c:delete val="1"/>
          </c:dLbls>
          <c:cat>
            <c:strRef>
              <c:f>'2. Oferta de generación'!$L$12:$L$16</c:f>
              <c:strCache>
                <c:ptCount val="4"/>
                <c:pt idx="0">
                  <c:v>Central Hidroeléctrica</c:v>
                </c:pt>
                <c:pt idx="1">
                  <c:v>Turbina de Vapor (*)</c:v>
                </c:pt>
                <c:pt idx="2">
                  <c:v>Central Eólica</c:v>
                </c:pt>
                <c:pt idx="3">
                  <c:v>Central a Biogás</c:v>
                </c:pt>
              </c:strCache>
            </c:strRef>
          </c:cat>
          <c:val>
            <c:numRef>
              <c:f>'2. Oferta de generación'!$M$12:$M$16</c:f>
              <c:numCache>
                <c:formatCode>#,##0.00</c:formatCode>
                <c:ptCount val="4"/>
                <c:pt idx="0">
                  <c:v>6.6</c:v>
                </c:pt>
                <c:pt idx="1">
                  <c:v>0</c:v>
                </c:pt>
                <c:pt idx="2" formatCode="General">
                  <c:v>0</c:v>
                </c:pt>
                <c:pt idx="3"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5460.3550577695269</c:v>
                </c:pt>
                <c:pt idx="1">
                  <c:v>2510.8897713439965</c:v>
                </c:pt>
                <c:pt idx="2">
                  <c:v>116.55151657847537</c:v>
                </c:pt>
                <c:pt idx="3">
                  <c:v>35.836086751442998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5703.8502989775016</c:v>
                </c:pt>
                <c:pt idx="1">
                  <c:v>2215.2562357749994</c:v>
                </c:pt>
                <c:pt idx="2">
                  <c:v>149.83550424499998</c:v>
                </c:pt>
                <c:pt idx="3">
                  <c:v>105.84624135749999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5598.9805748675017</c:v>
                </c:pt>
                <c:pt idx="1">
                  <c:v>2730.0733280774994</c:v>
                </c:pt>
                <c:pt idx="2">
                  <c:v>202.74044261750001</c:v>
                </c:pt>
                <c:pt idx="3">
                  <c:v>105.52444923749999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7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5598.9805748675017</c:v>
                </c:pt>
                <c:pt idx="1">
                  <c:v>2509.147039077031</c:v>
                </c:pt>
                <c:pt idx="2">
                  <c:v>96.961621322499994</c:v>
                </c:pt>
                <c:pt idx="3">
                  <c:v>37.3087769925</c:v>
                </c:pt>
                <c:pt idx="4">
                  <c:v>0</c:v>
                </c:pt>
                <c:pt idx="5">
                  <c:v>18.283256609999999</c:v>
                </c:pt>
                <c:pt idx="6">
                  <c:v>18.533961824999999</c:v>
                </c:pt>
                <c:pt idx="7">
                  <c:v>6.4617880000000003E-2</c:v>
                </c:pt>
                <c:pt idx="8">
                  <c:v>22.820811117968752</c:v>
                </c:pt>
                <c:pt idx="9">
                  <c:v>15.513428765</c:v>
                </c:pt>
                <c:pt idx="10">
                  <c:v>11.4398144875</c:v>
                </c:pt>
                <c:pt idx="11">
                  <c:v>105.52444923749999</c:v>
                </c:pt>
                <c:pt idx="12">
                  <c:v>202.74044261750001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5703.8502989775016</c:v>
                </c:pt>
                <c:pt idx="1">
                  <c:v>1987.52508923</c:v>
                </c:pt>
                <c:pt idx="2">
                  <c:v>84.793447119999996</c:v>
                </c:pt>
                <c:pt idx="3">
                  <c:v>56.915968597500004</c:v>
                </c:pt>
                <c:pt idx="4">
                  <c:v>0</c:v>
                </c:pt>
                <c:pt idx="5">
                  <c:v>20.235010845000001</c:v>
                </c:pt>
                <c:pt idx="6">
                  <c:v>1.6962494200000002</c:v>
                </c:pt>
                <c:pt idx="7">
                  <c:v>1.2727732775</c:v>
                </c:pt>
                <c:pt idx="8">
                  <c:v>41.546388592500001</c:v>
                </c:pt>
                <c:pt idx="9">
                  <c:v>13.479742937499999</c:v>
                </c:pt>
                <c:pt idx="10">
                  <c:v>7.7915657549999997</c:v>
                </c:pt>
                <c:pt idx="11">
                  <c:v>105.84624135749999</c:v>
                </c:pt>
                <c:pt idx="12">
                  <c:v>149.83550424499998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5460.3550577695269</c:v>
                </c:pt>
                <c:pt idx="1">
                  <c:v>2150.2490754097703</c:v>
                </c:pt>
                <c:pt idx="2">
                  <c:v>52.133962388949747</c:v>
                </c:pt>
                <c:pt idx="3">
                  <c:v>2.090280714151</c:v>
                </c:pt>
                <c:pt idx="4">
                  <c:v>9.7034091828799998</c:v>
                </c:pt>
                <c:pt idx="5">
                  <c:v>149.62773490930186</c:v>
                </c:pt>
                <c:pt idx="6">
                  <c:v>20.947398869992597</c:v>
                </c:pt>
                <c:pt idx="7">
                  <c:v>0.16153103818100001</c:v>
                </c:pt>
                <c:pt idx="8">
                  <c:v>106.767567644569</c:v>
                </c:pt>
                <c:pt idx="9">
                  <c:v>12.830361061200001</c:v>
                </c:pt>
                <c:pt idx="10">
                  <c:v>6.3784501249999996</c:v>
                </c:pt>
                <c:pt idx="11">
                  <c:v>35.836086751442998</c:v>
                </c:pt>
                <c:pt idx="12">
                  <c:v>116.55151657847537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6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239.96144392806588</c:v>
                </c:pt>
                <c:pt idx="1">
                  <c:v>116.55151657847537</c:v>
                </c:pt>
                <c:pt idx="2">
                  <c:v>35.836086751442998</c:v>
                </c:pt>
                <c:pt idx="3">
                  <c:v>12.830361061200001</c:v>
                </c:pt>
                <c:pt idx="4">
                  <c:v>6.3784501249999996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217.30572136000001</c:v>
                </c:pt>
                <c:pt idx="1">
                  <c:v>149.83550424499998</c:v>
                </c:pt>
                <c:pt idx="2">
                  <c:v>105.84624135749999</c:v>
                </c:pt>
                <c:pt idx="3">
                  <c:v>13.479742937499999</c:v>
                </c:pt>
                <c:pt idx="4">
                  <c:v>7.7915657549999997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294.60160513250003</c:v>
                </c:pt>
                <c:pt idx="1">
                  <c:v>202.74044261750001</c:v>
                </c:pt>
                <c:pt idx="2">
                  <c:v>105.52444923749999</c:v>
                </c:pt>
                <c:pt idx="3">
                  <c:v>15.513428765</c:v>
                </c:pt>
                <c:pt idx="4">
                  <c:v>11.4398144875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37294604880659E-2"/>
                  <c:y val="-4.841592403079217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7,301%</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3837.9514988375022</c:v>
                </c:pt>
                <c:pt idx="1">
                  <c:v>146.369223565</c:v>
                </c:pt>
                <c:pt idx="2">
                  <c:v>92.624653935000012</c:v>
                </c:pt>
                <c:pt idx="3">
                  <c:v>49.242465800000005</c:v>
                </c:pt>
                <c:pt idx="4">
                  <c:v>8.3583817175000004</c:v>
                </c:pt>
                <c:pt idx="5">
                  <c:v>5.6906021124999997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RUNATULLO III</c:v>
                </c:pt>
                <c:pt idx="1">
                  <c:v>C.H. POTRERO</c:v>
                </c:pt>
                <c:pt idx="2">
                  <c:v>C.H. RENOVANDES H1</c:v>
                </c:pt>
                <c:pt idx="3">
                  <c:v>C.H. LAS PIZARRAS</c:v>
                </c:pt>
                <c:pt idx="4">
                  <c:v>C.H. RUNATULLO II</c:v>
                </c:pt>
                <c:pt idx="5">
                  <c:v>C.H. CARHUAC</c:v>
                </c:pt>
                <c:pt idx="6">
                  <c:v>C.H. YARUCAYA</c:v>
                </c:pt>
                <c:pt idx="7">
                  <c:v>C.H. HUASAHUASI II</c:v>
                </c:pt>
                <c:pt idx="8">
                  <c:v>C.H. HUASAHUASI I</c:v>
                </c:pt>
                <c:pt idx="9">
                  <c:v>C.H. ÁNGEL II</c:v>
                </c:pt>
                <c:pt idx="10">
                  <c:v>C.H. ÁNGEL III</c:v>
                </c:pt>
                <c:pt idx="11">
                  <c:v>C.H. CARHUAQUERO IV</c:v>
                </c:pt>
                <c:pt idx="12">
                  <c:v>C.H. ÁNGEL I</c:v>
                </c:pt>
                <c:pt idx="13">
                  <c:v>C.H. ZAÑA</c:v>
                </c:pt>
                <c:pt idx="14">
                  <c:v>C.H. SANTA CRUZ II</c:v>
                </c:pt>
                <c:pt idx="15">
                  <c:v>C.H. SANTA CRUZ I</c:v>
                </c:pt>
                <c:pt idx="16">
                  <c:v>C.H. POECHOS II</c:v>
                </c:pt>
                <c:pt idx="17">
                  <c:v>C.H. CAÑA BRAVA</c:v>
                </c:pt>
                <c:pt idx="18">
                  <c:v>C.H. CANCHAYLLO</c:v>
                </c:pt>
                <c:pt idx="19">
                  <c:v>C.H. IMPERIAL</c:v>
                </c:pt>
                <c:pt idx="20">
                  <c:v>C.H. LA JOYA</c:v>
                </c:pt>
                <c:pt idx="21">
                  <c:v>C.H. RONCADOR</c:v>
                </c:pt>
                <c:pt idx="22">
                  <c:v>C.H. YANAPAMPA</c:v>
                </c:pt>
                <c:pt idx="23">
                  <c:v>C.H. HER 1</c:v>
                </c:pt>
                <c:pt idx="24">
                  <c:v>C.H. PURMACANA</c:v>
                </c:pt>
              </c:strCache>
            </c:strRef>
          </c:cat>
          <c:val>
            <c:numRef>
              <c:f>'6. FP RER'!$O$6:$O$30</c:f>
              <c:numCache>
                <c:formatCode>0.00</c:formatCode>
                <c:ptCount val="25"/>
                <c:pt idx="0">
                  <c:v>13.2789045525</c:v>
                </c:pt>
                <c:pt idx="1">
                  <c:v>13.252367162500001</c:v>
                </c:pt>
                <c:pt idx="2">
                  <c:v>13.23649279</c:v>
                </c:pt>
                <c:pt idx="3">
                  <c:v>12.382494367499998</c:v>
                </c:pt>
                <c:pt idx="4">
                  <c:v>11.8035438825</c:v>
                </c:pt>
                <c:pt idx="5">
                  <c:v>10.1869960175</c:v>
                </c:pt>
                <c:pt idx="6">
                  <c:v>7.2382349799999997</c:v>
                </c:pt>
                <c:pt idx="7">
                  <c:v>6.6439274050000003</c:v>
                </c:pt>
                <c:pt idx="8">
                  <c:v>6.3790985000000004</c:v>
                </c:pt>
                <c:pt idx="9">
                  <c:v>5.9845778325000003</c:v>
                </c:pt>
                <c:pt idx="10">
                  <c:v>5.700713425</c:v>
                </c:pt>
                <c:pt idx="11">
                  <c:v>5.5839290650000004</c:v>
                </c:pt>
                <c:pt idx="12">
                  <c:v>5.4130365725000003</c:v>
                </c:pt>
                <c:pt idx="13">
                  <c:v>4.2163949949999999</c:v>
                </c:pt>
                <c:pt idx="14">
                  <c:v>4.2000317825</c:v>
                </c:pt>
                <c:pt idx="15">
                  <c:v>4.1267834350000001</c:v>
                </c:pt>
                <c:pt idx="16">
                  <c:v>3.6871336274999997</c:v>
                </c:pt>
                <c:pt idx="17">
                  <c:v>3.3893528050000001</c:v>
                </c:pt>
                <c:pt idx="18">
                  <c:v>3.2062064824999998</c:v>
                </c:pt>
                <c:pt idx="19">
                  <c:v>2.2294</c:v>
                </c:pt>
                <c:pt idx="20">
                  <c:v>1.5920444675000001</c:v>
                </c:pt>
                <c:pt idx="21">
                  <c:v>1.309048545</c:v>
                </c:pt>
                <c:pt idx="22">
                  <c:v>0.93832566250000005</c:v>
                </c:pt>
                <c:pt idx="23">
                  <c:v>0.21898062500000001</c:v>
                </c:pt>
                <c:pt idx="24">
                  <c:v>0.17120458500000002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RUNATULLO III</c:v>
                </c:pt>
                <c:pt idx="1">
                  <c:v>C.H. POTRERO</c:v>
                </c:pt>
                <c:pt idx="2">
                  <c:v>C.H. RENOVANDES H1</c:v>
                </c:pt>
                <c:pt idx="3">
                  <c:v>C.H. LAS PIZARRAS</c:v>
                </c:pt>
                <c:pt idx="4">
                  <c:v>C.H. RUNATULLO II</c:v>
                </c:pt>
                <c:pt idx="5">
                  <c:v>C.H. CARHUAC</c:v>
                </c:pt>
                <c:pt idx="6">
                  <c:v>C.H. YARUCAYA</c:v>
                </c:pt>
                <c:pt idx="7">
                  <c:v>C.H. HUASAHUASI II</c:v>
                </c:pt>
                <c:pt idx="8">
                  <c:v>C.H. HUASAHUASI I</c:v>
                </c:pt>
                <c:pt idx="9">
                  <c:v>C.H. ÁNGEL II</c:v>
                </c:pt>
                <c:pt idx="10">
                  <c:v>C.H. ÁNGEL III</c:v>
                </c:pt>
                <c:pt idx="11">
                  <c:v>C.H. CARHUAQUERO IV</c:v>
                </c:pt>
                <c:pt idx="12">
                  <c:v>C.H. ÁNGEL I</c:v>
                </c:pt>
                <c:pt idx="13">
                  <c:v>C.H. ZAÑA</c:v>
                </c:pt>
                <c:pt idx="14">
                  <c:v>C.H. SANTA CRUZ II</c:v>
                </c:pt>
                <c:pt idx="15">
                  <c:v>C.H. SANTA CRUZ I</c:v>
                </c:pt>
                <c:pt idx="16">
                  <c:v>C.H. POECHOS II</c:v>
                </c:pt>
                <c:pt idx="17">
                  <c:v>C.H. CAÑA BRAVA</c:v>
                </c:pt>
                <c:pt idx="18">
                  <c:v>C.H. CANCHAYLLO</c:v>
                </c:pt>
                <c:pt idx="19">
                  <c:v>C.H. IMPERIAL</c:v>
                </c:pt>
                <c:pt idx="20">
                  <c:v>C.H. LA JOYA</c:v>
                </c:pt>
                <c:pt idx="21">
                  <c:v>C.H. RONCADOR</c:v>
                </c:pt>
                <c:pt idx="22">
                  <c:v>C.H. YANAPAMPA</c:v>
                </c:pt>
                <c:pt idx="23">
                  <c:v>C.H. HER 1</c:v>
                </c:pt>
                <c:pt idx="24">
                  <c:v>C.H. PURMACANA</c:v>
                </c:pt>
              </c:strCache>
            </c:strRef>
          </c:cat>
          <c:val>
            <c:numRef>
              <c:f>'6. FP RER'!$P$6:$P$30</c:f>
              <c:numCache>
                <c:formatCode>0.00</c:formatCode>
                <c:ptCount val="25"/>
                <c:pt idx="0">
                  <c:v>0.89391916207148914</c:v>
                </c:pt>
                <c:pt idx="1">
                  <c:v>0.89509153040065936</c:v>
                </c:pt>
                <c:pt idx="2">
                  <c:v>0.88954924663978496</c:v>
                </c:pt>
                <c:pt idx="3">
                  <c:v>0.86685265713824855</c:v>
                </c:pt>
                <c:pt idx="4">
                  <c:v>0.7945599407368934</c:v>
                </c:pt>
                <c:pt idx="5">
                  <c:v>0.68460994741263437</c:v>
                </c:pt>
                <c:pt idx="6">
                  <c:v>0.64858736379928306</c:v>
                </c:pt>
                <c:pt idx="7">
                  <c:v>0.87360692163539333</c:v>
                </c:pt>
                <c:pt idx="8">
                  <c:v>0.8704626521478086</c:v>
                </c:pt>
                <c:pt idx="9">
                  <c:v>0.39899739133304529</c:v>
                </c:pt>
                <c:pt idx="10">
                  <c:v>0.38007188626738775</c:v>
                </c:pt>
                <c:pt idx="11">
                  <c:v>0.75180617062447019</c:v>
                </c:pt>
                <c:pt idx="12">
                  <c:v>0.36089220193425714</c:v>
                </c:pt>
                <c:pt idx="13">
                  <c:v>0.42933314953975238</c:v>
                </c:pt>
                <c:pt idx="14">
                  <c:v>0.76039924686645466</c:v>
                </c:pt>
                <c:pt idx="15">
                  <c:v>0.79717618981940797</c:v>
                </c:pt>
                <c:pt idx="16">
                  <c:v>0.51806656576888577</c:v>
                </c:pt>
                <c:pt idx="17">
                  <c:v>0.80345356739868401</c:v>
                </c:pt>
                <c:pt idx="18">
                  <c:v>0.83049090676202963</c:v>
                </c:pt>
                <c:pt idx="19">
                  <c:v>0.75592971148942645</c:v>
                </c:pt>
                <c:pt idx="20">
                  <c:v>0.27628724523973153</c:v>
                </c:pt>
                <c:pt idx="21">
                  <c:v>0.50559593413978499</c:v>
                </c:pt>
                <c:pt idx="22">
                  <c:v>0.32204361017055305</c:v>
                </c:pt>
                <c:pt idx="23">
                  <c:v>0.42046971006144396</c:v>
                </c:pt>
                <c:pt idx="24">
                  <c:v>0.13425536144464939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marzo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Febrero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INFSGI-MES-02-2019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(6,49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(6,73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(6,61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(6,87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(6,24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(6,66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(6,53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(6,54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(6,54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(5,77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(6,58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(6,48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(5,78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(6,87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(5,98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(6,58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(6,53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28</xdr:row>
      <xdr:rowOff>124238</xdr:rowOff>
    </xdr:from>
    <xdr:to>
      <xdr:col>7</xdr:col>
      <xdr:colOff>430696</xdr:colOff>
      <xdr:row>56</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392237</xdr:colOff>
      <xdr:row>16</xdr:row>
      <xdr:rowOff>24419</xdr:rowOff>
    </xdr:from>
    <xdr:to>
      <xdr:col>3</xdr:col>
      <xdr:colOff>348529</xdr:colOff>
      <xdr:row>31</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54429</xdr:rowOff>
    </xdr:from>
    <xdr:to>
      <xdr:col>9</xdr:col>
      <xdr:colOff>527957</xdr:colOff>
      <xdr:row>31</xdr:row>
      <xdr:rowOff>103414</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 Egúsquiza</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39</xdr:row>
      <xdr:rowOff>43543</xdr:rowOff>
    </xdr:from>
    <xdr:to>
      <xdr:col>9</xdr:col>
      <xdr:colOff>581525</xdr:colOff>
      <xdr:row>51</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14</xdr:row>
      <xdr:rowOff>70757</xdr:rowOff>
    </xdr:from>
    <xdr:to>
      <xdr:col>8</xdr:col>
      <xdr:colOff>429240</xdr:colOff>
      <xdr:row>24</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14</xdr:row>
      <xdr:rowOff>43962</xdr:rowOff>
    </xdr:from>
    <xdr:to>
      <xdr:col>1</xdr:col>
      <xdr:colOff>621076</xdr:colOff>
      <xdr:row>15</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15</xdr:row>
      <xdr:rowOff>65690</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I11:I15"/>
  <sheetViews>
    <sheetView showGridLines="0" tabSelected="1" view="pageBreakPreview" zoomScale="115" zoomScaleNormal="70" zoomScaleSheetLayoutView="115" zoomScalePageLayoutView="85" workbookViewId="0">
      <selection activeCell="N19" sqref="N19"/>
    </sheetView>
  </sheetViews>
  <sheetFormatPr defaultColWidth="9.33203125" defaultRowHeight="11.25"/>
  <cols>
    <col min="9" max="9" width="14.6640625" customWidth="1"/>
    <col min="12" max="12" width="20.5" customWidth="1"/>
  </cols>
  <sheetData>
    <row r="11" spans="9:9" ht="15.75">
      <c r="I11" s="557"/>
    </row>
    <row r="12" spans="9:9" ht="15.75">
      <c r="I12" s="557"/>
    </row>
    <row r="13" spans="9:9" ht="15.75">
      <c r="I13" s="557"/>
    </row>
    <row r="14" spans="9:9" ht="15.75">
      <c r="I14" s="557"/>
    </row>
    <row r="15" spans="9:9" ht="15.75">
      <c r="I15" s="557"/>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L62"/>
  <sheetViews>
    <sheetView showGridLines="0" view="pageBreakPreview" zoomScale="130" zoomScaleNormal="100" zoomScaleSheetLayoutView="130" workbookViewId="0">
      <selection activeCell="A3" sqref="A3"/>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1.25" customHeight="1">
      <c r="A2" s="917" t="s">
        <v>265</v>
      </c>
      <c r="B2" s="917"/>
      <c r="C2" s="917"/>
      <c r="D2" s="917"/>
      <c r="E2" s="917"/>
      <c r="F2" s="917"/>
      <c r="G2" s="917"/>
      <c r="H2" s="917"/>
      <c r="I2" s="917"/>
      <c r="J2" s="917"/>
      <c r="K2" s="917"/>
    </row>
    <row r="3" spans="1:12" ht="11.25" customHeight="1">
      <c r="A3" s="17"/>
      <c r="B3" s="17"/>
      <c r="C3" s="17"/>
      <c r="D3" s="17"/>
      <c r="E3" s="17"/>
      <c r="F3" s="17"/>
      <c r="G3" s="17"/>
      <c r="H3" s="17"/>
      <c r="I3" s="17"/>
      <c r="J3" s="17"/>
      <c r="K3" s="17"/>
      <c r="L3" s="36"/>
    </row>
    <row r="4" spans="1:12" ht="11.25" customHeight="1">
      <c r="A4" s="918" t="s">
        <v>455</v>
      </c>
      <c r="B4" s="918"/>
      <c r="C4" s="918"/>
      <c r="D4" s="918"/>
      <c r="E4" s="918"/>
      <c r="F4" s="918"/>
      <c r="G4" s="918"/>
      <c r="H4" s="918"/>
      <c r="I4" s="918"/>
      <c r="J4" s="918"/>
      <c r="K4" s="918"/>
      <c r="L4" s="36"/>
    </row>
    <row r="5" spans="1:12" ht="11.25" customHeight="1">
      <c r="A5" s="17"/>
      <c r="B5" s="67"/>
      <c r="C5" s="68"/>
      <c r="D5" s="69"/>
      <c r="E5" s="69"/>
      <c r="F5" s="69"/>
      <c r="G5" s="69"/>
      <c r="H5" s="70"/>
      <c r="I5" s="66"/>
      <c r="J5" s="66"/>
      <c r="K5" s="71"/>
      <c r="L5" s="8"/>
    </row>
    <row r="6" spans="1:12" ht="12.75" customHeight="1">
      <c r="A6" s="924" t="s">
        <v>221</v>
      </c>
      <c r="B6" s="919" t="s">
        <v>268</v>
      </c>
      <c r="C6" s="920"/>
      <c r="D6" s="920"/>
      <c r="E6" s="920" t="s">
        <v>34</v>
      </c>
      <c r="F6" s="920"/>
      <c r="G6" s="921" t="s">
        <v>267</v>
      </c>
      <c r="H6" s="921"/>
      <c r="I6" s="921"/>
      <c r="J6" s="921"/>
      <c r="K6" s="921"/>
      <c r="L6" s="15"/>
    </row>
    <row r="7" spans="1:12" ht="12.75" customHeight="1">
      <c r="A7" s="924"/>
      <c r="B7" s="747">
        <f>+'5. RER'!B5</f>
        <v>43439</v>
      </c>
      <c r="C7" s="747">
        <f>+'5. RER'!C5</f>
        <v>43469</v>
      </c>
      <c r="D7" s="747">
        <f>+'5. RER'!D5</f>
        <v>43497</v>
      </c>
      <c r="E7" s="747">
        <f>+'5. RER'!E5</f>
        <v>43132</v>
      </c>
      <c r="F7" s="922" t="s">
        <v>126</v>
      </c>
      <c r="G7" s="748">
        <v>2019</v>
      </c>
      <c r="H7" s="748">
        <v>2018</v>
      </c>
      <c r="I7" s="922" t="s">
        <v>539</v>
      </c>
      <c r="J7" s="748">
        <v>2017</v>
      </c>
      <c r="K7" s="922" t="s">
        <v>43</v>
      </c>
      <c r="L7" s="13"/>
    </row>
    <row r="8" spans="1:12" ht="12.75" customHeight="1">
      <c r="A8" s="924"/>
      <c r="B8" s="749">
        <v>43451.822916666664</v>
      </c>
      <c r="C8" s="749">
        <v>43494.833333333336</v>
      </c>
      <c r="D8" s="749">
        <v>43500.833333333336</v>
      </c>
      <c r="E8" s="749">
        <v>43144.8125</v>
      </c>
      <c r="F8" s="923"/>
      <c r="G8" s="750">
        <v>43494.833333333336</v>
      </c>
      <c r="H8" s="750">
        <f>+E8</f>
        <v>43144.8125</v>
      </c>
      <c r="I8" s="923"/>
      <c r="J8" s="750">
        <v>42760.802083333336</v>
      </c>
      <c r="K8" s="923"/>
      <c r="L8" s="14"/>
    </row>
    <row r="9" spans="1:12" ht="12.75" customHeight="1">
      <c r="A9" s="924"/>
      <c r="B9" s="751">
        <f>+B8</f>
        <v>43451.822916666664</v>
      </c>
      <c r="C9" s="751">
        <f t="shared" ref="C9:E9" si="0">+C8</f>
        <v>43494.833333333336</v>
      </c>
      <c r="D9" s="751">
        <f t="shared" si="0"/>
        <v>43500.833333333336</v>
      </c>
      <c r="E9" s="751">
        <f t="shared" si="0"/>
        <v>43144.8125</v>
      </c>
      <c r="F9" s="923"/>
      <c r="G9" s="752">
        <f>+G8</f>
        <v>43494.833333333336</v>
      </c>
      <c r="H9" s="752">
        <f>+H8</f>
        <v>43144.8125</v>
      </c>
      <c r="I9" s="923"/>
      <c r="J9" s="752">
        <f>+J8</f>
        <v>42760.802083333336</v>
      </c>
      <c r="K9" s="923"/>
      <c r="L9" s="14"/>
    </row>
    <row r="10" spans="1:12" ht="12.75" customHeight="1">
      <c r="A10" s="753" t="s">
        <v>37</v>
      </c>
      <c r="B10" s="754">
        <v>3972.194399999999</v>
      </c>
      <c r="C10" s="755">
        <v>4587.9101300000002</v>
      </c>
      <c r="D10" s="756">
        <v>4265.3506700000007</v>
      </c>
      <c r="E10" s="754">
        <v>4444.7789599999996</v>
      </c>
      <c r="F10" s="757">
        <f>+IF(E10=0,"",D10/E10-1)</f>
        <v>-4.0368326887508243E-2</v>
      </c>
      <c r="G10" s="754">
        <v>4265.3506700000007</v>
      </c>
      <c r="H10" s="755">
        <v>4444.7789599999996</v>
      </c>
      <c r="I10" s="757">
        <f>+IF(H10=0,"",G10/H10-1)</f>
        <v>-4.0368326887508243E-2</v>
      </c>
      <c r="J10" s="754">
        <v>4236.5890400000008</v>
      </c>
      <c r="K10" s="757">
        <f t="shared" ref="K10:K18" si="1">+IF(J10=0,"",H10/J10-1)</f>
        <v>4.9140928712783305E-2</v>
      </c>
      <c r="L10" s="14"/>
    </row>
    <row r="11" spans="1:12" ht="12.75" customHeight="1">
      <c r="A11" s="758" t="s">
        <v>38</v>
      </c>
      <c r="B11" s="759">
        <v>2665.2945000000009</v>
      </c>
      <c r="C11" s="760">
        <v>2159.8880899999999</v>
      </c>
      <c r="D11" s="761">
        <v>2441.1865700000003</v>
      </c>
      <c r="E11" s="759">
        <v>1958.0462900000002</v>
      </c>
      <c r="F11" s="762">
        <f>+IF(E11=0,"",D11/E11-1)</f>
        <v>0.24674609710069717</v>
      </c>
      <c r="G11" s="759">
        <v>2441.1865700000003</v>
      </c>
      <c r="H11" s="760">
        <v>1958.0462900000002</v>
      </c>
      <c r="I11" s="762">
        <f>+IF(H11=0,"",G11/H11-1)</f>
        <v>0.24674609710069717</v>
      </c>
      <c r="J11" s="759">
        <v>2291.3775700000001</v>
      </c>
      <c r="K11" s="762">
        <f t="shared" si="1"/>
        <v>-0.14547200093260926</v>
      </c>
      <c r="L11" s="14"/>
    </row>
    <row r="12" spans="1:12" ht="12.75" customHeight="1">
      <c r="A12" s="763" t="s">
        <v>39</v>
      </c>
      <c r="B12" s="764">
        <v>247.10244</v>
      </c>
      <c r="C12" s="765">
        <v>128.49421999999998</v>
      </c>
      <c r="D12" s="766">
        <v>243.45965000000001</v>
      </c>
      <c r="E12" s="764">
        <v>174.14297999999999</v>
      </c>
      <c r="F12" s="767">
        <f>+IF(E12=0,"",D12/E12-1)</f>
        <v>0.39804458382416574</v>
      </c>
      <c r="G12" s="764">
        <v>243.45965000000001</v>
      </c>
      <c r="H12" s="765">
        <v>174.14297999999999</v>
      </c>
      <c r="I12" s="767">
        <f>+IF(H12=0,"",G12/H12-1)</f>
        <v>0.39804458382416574</v>
      </c>
      <c r="J12" s="764">
        <v>45.283239999999999</v>
      </c>
      <c r="K12" s="767">
        <f t="shared" si="1"/>
        <v>2.8456386954643702</v>
      </c>
      <c r="L12" s="13"/>
    </row>
    <row r="13" spans="1:12" ht="12.75" customHeight="1">
      <c r="A13" s="768" t="s">
        <v>30</v>
      </c>
      <c r="B13" s="769">
        <v>0</v>
      </c>
      <c r="C13" s="770">
        <v>0</v>
      </c>
      <c r="D13" s="771">
        <v>0</v>
      </c>
      <c r="E13" s="769">
        <v>0</v>
      </c>
      <c r="F13" s="772" t="str">
        <f>+IF(E13=0,"",D13/E13-1)</f>
        <v/>
      </c>
      <c r="G13" s="769">
        <v>0</v>
      </c>
      <c r="H13" s="770">
        <v>0</v>
      </c>
      <c r="I13" s="772" t="str">
        <f>+IF(H13=0,"",G13/H13-1)</f>
        <v/>
      </c>
      <c r="J13" s="769">
        <v>0</v>
      </c>
      <c r="K13" s="772" t="str">
        <f t="shared" si="1"/>
        <v/>
      </c>
      <c r="L13" s="14"/>
    </row>
    <row r="14" spans="1:12" ht="12.75" customHeight="1">
      <c r="A14" s="773" t="s">
        <v>44</v>
      </c>
      <c r="B14" s="743">
        <f>+SUM(B10:B13)</f>
        <v>6884.5913399999999</v>
      </c>
      <c r="C14" s="744">
        <f t="shared" ref="C14:J14" si="2">+SUM(C10:C13)</f>
        <v>6876.2924400000002</v>
      </c>
      <c r="D14" s="745">
        <f t="shared" si="2"/>
        <v>6949.9968900000013</v>
      </c>
      <c r="E14" s="743">
        <f t="shared" si="2"/>
        <v>6576.9682299999995</v>
      </c>
      <c r="F14" s="746">
        <f>+IF(E14=0,"",D14/E14-1)</f>
        <v>5.6717418566578859E-2</v>
      </c>
      <c r="G14" s="859">
        <f t="shared" si="2"/>
        <v>6949.9968900000013</v>
      </c>
      <c r="H14" s="744">
        <f t="shared" si="2"/>
        <v>6576.9682299999995</v>
      </c>
      <c r="I14" s="746">
        <f>+IF(H14=0,"",G14/H14-1)</f>
        <v>5.6717418566578859E-2</v>
      </c>
      <c r="J14" s="743">
        <f t="shared" si="2"/>
        <v>6573.2498500000011</v>
      </c>
      <c r="K14" s="746">
        <f>+IF(J14=0,"",H14/J14-1)</f>
        <v>5.6568365494258366E-4</v>
      </c>
      <c r="L14" s="14"/>
    </row>
    <row r="15" spans="1:12" ht="6.75" customHeight="1">
      <c r="A15" s="774"/>
      <c r="B15" s="774"/>
      <c r="C15" s="774"/>
      <c r="D15" s="774"/>
      <c r="E15" s="774"/>
      <c r="F15" s="775"/>
      <c r="G15" s="774"/>
      <c r="H15" s="774"/>
      <c r="I15" s="775"/>
      <c r="J15" s="774"/>
      <c r="K15" s="775"/>
      <c r="L15" s="14"/>
    </row>
    <row r="16" spans="1:12" ht="12.75" customHeight="1">
      <c r="A16" s="776" t="s">
        <v>40</v>
      </c>
      <c r="B16" s="777">
        <v>0</v>
      </c>
      <c r="C16" s="778">
        <v>0</v>
      </c>
      <c r="D16" s="779">
        <v>0</v>
      </c>
      <c r="E16" s="777">
        <v>0</v>
      </c>
      <c r="F16" s="779">
        <v>0</v>
      </c>
      <c r="G16" s="777">
        <v>0</v>
      </c>
      <c r="H16" s="778">
        <v>0</v>
      </c>
      <c r="I16" s="779">
        <v>0</v>
      </c>
      <c r="J16" s="777">
        <v>0</v>
      </c>
      <c r="K16" s="780" t="str">
        <f t="shared" si="1"/>
        <v/>
      </c>
      <c r="L16" s="15"/>
    </row>
    <row r="17" spans="1:12" ht="12.75" customHeight="1">
      <c r="A17" s="781" t="s">
        <v>41</v>
      </c>
      <c r="B17" s="782">
        <v>0</v>
      </c>
      <c r="C17" s="783">
        <v>0</v>
      </c>
      <c r="D17" s="784">
        <v>0</v>
      </c>
      <c r="E17" s="782">
        <v>0</v>
      </c>
      <c r="F17" s="784">
        <v>0</v>
      </c>
      <c r="G17" s="782">
        <v>0</v>
      </c>
      <c r="H17" s="783">
        <v>0</v>
      </c>
      <c r="I17" s="784">
        <v>0</v>
      </c>
      <c r="J17" s="782">
        <v>0</v>
      </c>
      <c r="K17" s="785" t="str">
        <f t="shared" si="1"/>
        <v/>
      </c>
      <c r="L17" s="15"/>
    </row>
    <row r="18" spans="1:12" ht="24" customHeight="1">
      <c r="A18" s="786" t="s">
        <v>42</v>
      </c>
      <c r="B18" s="787">
        <f t="shared" ref="B18:J18" si="3">+B17-B16</f>
        <v>0</v>
      </c>
      <c r="C18" s="788">
        <f t="shared" si="3"/>
        <v>0</v>
      </c>
      <c r="D18" s="789">
        <f t="shared" si="3"/>
        <v>0</v>
      </c>
      <c r="E18" s="787">
        <f t="shared" si="3"/>
        <v>0</v>
      </c>
      <c r="F18" s="789">
        <f t="shared" si="3"/>
        <v>0</v>
      </c>
      <c r="G18" s="787">
        <f t="shared" si="3"/>
        <v>0</v>
      </c>
      <c r="H18" s="788">
        <f t="shared" si="3"/>
        <v>0</v>
      </c>
      <c r="I18" s="789">
        <f t="shared" si="3"/>
        <v>0</v>
      </c>
      <c r="J18" s="787">
        <f t="shared" si="3"/>
        <v>0</v>
      </c>
      <c r="K18" s="790" t="str">
        <f t="shared" si="1"/>
        <v/>
      </c>
      <c r="L18" s="15"/>
    </row>
    <row r="19" spans="1:12" ht="6" customHeight="1">
      <c r="A19" s="791"/>
      <c r="B19" s="791"/>
      <c r="C19" s="791"/>
      <c r="D19" s="791"/>
      <c r="E19" s="791"/>
      <c r="F19" s="792"/>
      <c r="G19" s="791"/>
      <c r="H19" s="791"/>
      <c r="I19" s="792"/>
      <c r="J19" s="791"/>
      <c r="K19" s="792"/>
      <c r="L19" s="15"/>
    </row>
    <row r="20" spans="1:12" ht="24" customHeight="1">
      <c r="A20" s="793" t="s">
        <v>266</v>
      </c>
      <c r="B20" s="794">
        <f>+B14-B18</f>
        <v>6884.5913399999999</v>
      </c>
      <c r="C20" s="795">
        <f t="shared" ref="C20:E20" si="4">+C14-C18</f>
        <v>6876.2924400000002</v>
      </c>
      <c r="D20" s="857">
        <f t="shared" si="4"/>
        <v>6949.9968900000013</v>
      </c>
      <c r="E20" s="794">
        <f t="shared" si="4"/>
        <v>6576.9682299999995</v>
      </c>
      <c r="F20" s="746">
        <f>+IF(E20=0,"",D20/E20-1)</f>
        <v>5.6717418566578859E-2</v>
      </c>
      <c r="G20" s="858">
        <f>+G14-G18</f>
        <v>6949.9968900000013</v>
      </c>
      <c r="H20" s="794">
        <f>+H14-H18</f>
        <v>6576.9682299999995</v>
      </c>
      <c r="I20" s="746">
        <f>+IF(H20=0,"",G20/H20-1)</f>
        <v>5.6717418566578859E-2</v>
      </c>
      <c r="J20" s="794">
        <f>+J14-J18</f>
        <v>6573.2498500000011</v>
      </c>
      <c r="K20" s="746">
        <f>+IF(J20=0,"",H20/J20-1)</f>
        <v>5.6568365494258366E-4</v>
      </c>
      <c r="L20" s="15"/>
    </row>
    <row r="21" spans="1:12" ht="11.25" customHeight="1">
      <c r="A21" s="273" t="s">
        <v>483</v>
      </c>
      <c r="B21" s="138"/>
      <c r="C21" s="138"/>
      <c r="D21" s="138"/>
      <c r="E21" s="138"/>
      <c r="F21" s="138"/>
      <c r="G21" s="138"/>
      <c r="H21" s="138"/>
      <c r="I21" s="138"/>
      <c r="J21" s="138"/>
      <c r="K21" s="138"/>
      <c r="L21" s="16"/>
    </row>
    <row r="22" spans="1:12" ht="17.25" customHeight="1">
      <c r="A22" s="915"/>
      <c r="B22" s="915"/>
      <c r="C22" s="915"/>
      <c r="D22" s="915"/>
      <c r="E22" s="915"/>
      <c r="F22" s="915"/>
      <c r="G22" s="915"/>
      <c r="H22" s="915"/>
      <c r="I22" s="915"/>
      <c r="J22" s="915"/>
      <c r="K22" s="915"/>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916" t="str">
        <f>"Gráfico N° 11: Comparación de la máxima potencia coincidente de potencia (MW) por tipo de generación en el SEIN en "&amp;'1. Resumen'!Q4</f>
        <v>Gráfico N° 11: Comparación de la máxima potencia coincidente de potencia (MW) por tipo de generación en el SEIN en febrero</v>
      </c>
      <c r="B58" s="916"/>
      <c r="C58" s="916"/>
      <c r="D58" s="916"/>
      <c r="E58" s="916"/>
      <c r="F58" s="916"/>
      <c r="G58" s="916"/>
      <c r="H58" s="916"/>
      <c r="I58" s="916"/>
      <c r="J58" s="916"/>
      <c r="K58" s="916"/>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73"/>
  <sheetViews>
    <sheetView showGridLines="0" view="pageBreakPreview" topLeftCell="A31" zoomScale="145" zoomScaleNormal="100" zoomScaleSheetLayoutView="145" zoomScalePageLayoutView="145" workbookViewId="0">
      <selection activeCell="A3" sqref="A3"/>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491" customWidth="1"/>
  </cols>
  <sheetData>
    <row r="1" spans="1:15" ht="11.25" customHeight="1">
      <c r="A1" s="927" t="s">
        <v>270</v>
      </c>
      <c r="B1" s="927"/>
      <c r="C1" s="927"/>
      <c r="D1" s="927"/>
      <c r="E1" s="927"/>
      <c r="F1" s="927"/>
      <c r="G1" s="927"/>
      <c r="H1" s="927"/>
      <c r="I1" s="927"/>
      <c r="J1" s="927"/>
    </row>
    <row r="2" spans="1:15" ht="7.5" customHeight="1">
      <c r="A2" s="74"/>
      <c r="B2" s="73"/>
      <c r="C2" s="73"/>
      <c r="D2" s="73"/>
      <c r="E2" s="73"/>
      <c r="F2" s="73"/>
      <c r="G2" s="73"/>
      <c r="H2" s="73"/>
      <c r="I2" s="73"/>
      <c r="J2" s="73"/>
      <c r="K2" s="36"/>
      <c r="L2" s="637"/>
    </row>
    <row r="3" spans="1:15" ht="11.25" customHeight="1">
      <c r="A3" s="928" t="s">
        <v>127</v>
      </c>
      <c r="B3" s="930" t="str">
        <f>+'1. Resumen'!Q4</f>
        <v>febrero</v>
      </c>
      <c r="C3" s="931"/>
      <c r="D3" s="932"/>
      <c r="E3" s="138"/>
      <c r="F3" s="138"/>
      <c r="G3" s="933" t="s">
        <v>543</v>
      </c>
      <c r="H3" s="933"/>
      <c r="I3" s="933"/>
      <c r="J3" s="138"/>
      <c r="K3" s="148"/>
      <c r="L3" s="637"/>
    </row>
    <row r="4" spans="1:15" ht="11.25" customHeight="1">
      <c r="A4" s="928"/>
      <c r="B4" s="581">
        <v>2019</v>
      </c>
      <c r="C4" s="582">
        <v>2018</v>
      </c>
      <c r="D4" s="932" t="s">
        <v>35</v>
      </c>
      <c r="E4" s="138"/>
      <c r="F4" s="138"/>
      <c r="G4" s="138"/>
      <c r="H4" s="138"/>
      <c r="I4" s="138"/>
      <c r="J4" s="138"/>
      <c r="K4" s="24"/>
      <c r="L4" s="641"/>
    </row>
    <row r="5" spans="1:15" ht="11.25" customHeight="1">
      <c r="A5" s="928"/>
      <c r="B5" s="583">
        <f>+'8. Max Potencia'!D8</f>
        <v>43500.833333333336</v>
      </c>
      <c r="C5" s="583">
        <f>+'8. Max Potencia'!E8</f>
        <v>43144.8125</v>
      </c>
      <c r="D5" s="932"/>
      <c r="E5" s="138"/>
      <c r="F5" s="138"/>
      <c r="G5" s="138"/>
      <c r="H5" s="138"/>
      <c r="I5" s="138"/>
      <c r="J5" s="138"/>
      <c r="K5" s="24"/>
      <c r="L5" s="642"/>
    </row>
    <row r="6" spans="1:15" ht="11.25" customHeight="1" thickBot="1">
      <c r="A6" s="929"/>
      <c r="B6" s="584">
        <f>+'8. Max Potencia'!D9</f>
        <v>43500.833333333336</v>
      </c>
      <c r="C6" s="584">
        <f>+'8. Max Potencia'!E9</f>
        <v>43144.8125</v>
      </c>
      <c r="D6" s="934"/>
      <c r="E6" s="138"/>
      <c r="F6" s="138"/>
      <c r="G6" s="138"/>
      <c r="H6" s="138"/>
      <c r="I6" s="138"/>
      <c r="J6" s="138"/>
      <c r="K6" s="25"/>
      <c r="L6" s="641" t="s">
        <v>269</v>
      </c>
      <c r="M6">
        <v>2019</v>
      </c>
      <c r="N6">
        <v>2018</v>
      </c>
    </row>
    <row r="7" spans="1:15" ht="9.75" customHeight="1">
      <c r="A7" s="415" t="s">
        <v>498</v>
      </c>
      <c r="B7" s="416">
        <v>1171.3151</v>
      </c>
      <c r="C7" s="416">
        <v>1468.6787600000002</v>
      </c>
      <c r="D7" s="417">
        <f>IF(C7=0,"",B7/C7-1)</f>
        <v>-0.20247018483470147</v>
      </c>
      <c r="E7" s="138"/>
      <c r="F7" s="138"/>
      <c r="G7" s="138"/>
      <c r="H7" s="138"/>
      <c r="I7" s="138"/>
      <c r="J7" s="138"/>
      <c r="K7" s="23"/>
      <c r="L7" s="711" t="s">
        <v>125</v>
      </c>
      <c r="M7">
        <v>0</v>
      </c>
      <c r="N7">
        <v>0</v>
      </c>
      <c r="O7" s="276"/>
    </row>
    <row r="8" spans="1:15" ht="9.75" customHeight="1">
      <c r="A8" s="418" t="s">
        <v>91</v>
      </c>
      <c r="B8" s="419">
        <v>945.05990000000008</v>
      </c>
      <c r="C8" s="419">
        <v>886.87415999999996</v>
      </c>
      <c r="D8" s="420">
        <f t="shared" ref="D8:D61" si="0">IF(C8=0,"",B8/C8-1)</f>
        <v>6.5607661858138044E-2</v>
      </c>
      <c r="E8" s="138"/>
      <c r="F8" s="138"/>
      <c r="G8" s="138"/>
      <c r="H8" s="138"/>
      <c r="I8" s="138"/>
      <c r="J8" s="138"/>
      <c r="K8" s="26"/>
      <c r="L8" s="711" t="s">
        <v>253</v>
      </c>
      <c r="M8">
        <v>0</v>
      </c>
      <c r="N8">
        <v>0</v>
      </c>
      <c r="O8" s="276"/>
    </row>
    <row r="9" spans="1:15" ht="9.75" customHeight="1">
      <c r="A9" s="421" t="s">
        <v>92</v>
      </c>
      <c r="B9" s="422">
        <v>852.77375999999992</v>
      </c>
      <c r="C9" s="422">
        <v>846.13872000000003</v>
      </c>
      <c r="D9" s="423">
        <f t="shared" si="0"/>
        <v>7.8415510875093908E-3</v>
      </c>
      <c r="E9" s="464"/>
      <c r="F9" s="138"/>
      <c r="G9" s="138"/>
      <c r="H9" s="138"/>
      <c r="I9" s="138"/>
      <c r="J9" s="138"/>
      <c r="K9" s="25"/>
      <c r="L9" s="711" t="s">
        <v>96</v>
      </c>
      <c r="M9">
        <v>0</v>
      </c>
      <c r="N9">
        <v>192.19821999999999</v>
      </c>
      <c r="O9" s="276"/>
    </row>
    <row r="10" spans="1:15" ht="9.75" customHeight="1">
      <c r="A10" s="418" t="s">
        <v>90</v>
      </c>
      <c r="B10" s="419">
        <v>720.06187999999997</v>
      </c>
      <c r="C10" s="419">
        <v>583.04831999999999</v>
      </c>
      <c r="D10" s="420">
        <f t="shared" si="0"/>
        <v>0.23499520588619482</v>
      </c>
      <c r="E10" s="138"/>
      <c r="F10" s="138"/>
      <c r="G10" s="138"/>
      <c r="H10" s="138"/>
      <c r="I10" s="138"/>
      <c r="J10" s="138"/>
      <c r="K10" s="25"/>
      <c r="L10" s="711" t="s">
        <v>114</v>
      </c>
      <c r="M10" s="277">
        <v>0</v>
      </c>
      <c r="N10" s="277">
        <v>0</v>
      </c>
      <c r="O10" s="276"/>
    </row>
    <row r="11" spans="1:15" ht="9.75" customHeight="1">
      <c r="A11" s="421" t="s">
        <v>257</v>
      </c>
      <c r="B11" s="422">
        <v>544.80962999999997</v>
      </c>
      <c r="C11" s="422">
        <v>0</v>
      </c>
      <c r="D11" s="423" t="str">
        <f t="shared" si="0"/>
        <v/>
      </c>
      <c r="E11" s="138"/>
      <c r="F11" s="138"/>
      <c r="G11" s="138"/>
      <c r="H11" s="138"/>
      <c r="I11" s="138"/>
      <c r="J11" s="138"/>
      <c r="K11" s="25"/>
      <c r="L11" s="712" t="s">
        <v>115</v>
      </c>
      <c r="M11" s="277">
        <v>0</v>
      </c>
      <c r="N11" s="277">
        <v>0</v>
      </c>
      <c r="O11" s="276"/>
    </row>
    <row r="12" spans="1:15" ht="9.75" customHeight="1">
      <c r="A12" s="418" t="s">
        <v>254</v>
      </c>
      <c r="B12" s="419">
        <v>460.58933000000002</v>
      </c>
      <c r="C12" s="419">
        <v>455.95588999999995</v>
      </c>
      <c r="D12" s="420">
        <f t="shared" si="0"/>
        <v>1.0162035630244981E-2</v>
      </c>
      <c r="E12" s="138"/>
      <c r="F12" s="138"/>
      <c r="G12" s="138"/>
      <c r="H12" s="138"/>
      <c r="I12" s="138"/>
      <c r="J12" s="138"/>
      <c r="K12" s="23"/>
      <c r="L12" s="711" t="s">
        <v>258</v>
      </c>
      <c r="M12" s="275">
        <v>0</v>
      </c>
      <c r="N12">
        <v>19.009140000000002</v>
      </c>
      <c r="O12" s="276"/>
    </row>
    <row r="13" spans="1:15" ht="9.75" customHeight="1">
      <c r="A13" s="421" t="s">
        <v>93</v>
      </c>
      <c r="B13" s="422">
        <v>365.22555</v>
      </c>
      <c r="C13" s="422">
        <v>360.40575999999999</v>
      </c>
      <c r="D13" s="423">
        <f t="shared" si="0"/>
        <v>1.3373232436684646E-2</v>
      </c>
      <c r="E13" s="138"/>
      <c r="F13" s="138"/>
      <c r="G13" s="138"/>
      <c r="H13" s="138"/>
      <c r="I13" s="138"/>
      <c r="J13" s="138"/>
      <c r="K13" s="26"/>
      <c r="L13" s="712" t="s">
        <v>121</v>
      </c>
      <c r="M13" s="277">
        <v>0</v>
      </c>
      <c r="N13" s="277">
        <v>0</v>
      </c>
      <c r="O13" s="276"/>
    </row>
    <row r="14" spans="1:15" ht="9.75" customHeight="1">
      <c r="A14" s="418" t="s">
        <v>259</v>
      </c>
      <c r="B14" s="419">
        <v>276.67604</v>
      </c>
      <c r="C14" s="419">
        <v>318.08104000000003</v>
      </c>
      <c r="D14" s="420">
        <f t="shared" si="0"/>
        <v>-0.13017122931942127</v>
      </c>
      <c r="E14" s="138"/>
      <c r="F14" s="138"/>
      <c r="G14" s="138"/>
      <c r="H14" s="138"/>
      <c r="I14" s="138"/>
      <c r="J14" s="138"/>
      <c r="K14" s="26"/>
      <c r="L14" s="712" t="s">
        <v>113</v>
      </c>
      <c r="M14" s="277">
        <v>0</v>
      </c>
      <c r="N14" s="277">
        <v>0</v>
      </c>
      <c r="O14" s="276"/>
    </row>
    <row r="15" spans="1:15" ht="9.75" customHeight="1">
      <c r="A15" s="421" t="s">
        <v>97</v>
      </c>
      <c r="B15" s="422">
        <v>212.89953</v>
      </c>
      <c r="C15" s="422">
        <v>215.80619999999999</v>
      </c>
      <c r="D15" s="423">
        <f t="shared" si="0"/>
        <v>-1.3468890143100598E-2</v>
      </c>
      <c r="E15" s="138"/>
      <c r="F15" s="138"/>
      <c r="G15" s="138"/>
      <c r="H15" s="138"/>
      <c r="I15" s="138"/>
      <c r="J15" s="138"/>
      <c r="K15" s="26"/>
      <c r="L15" s="712" t="s">
        <v>110</v>
      </c>
      <c r="M15" s="277">
        <v>0</v>
      </c>
      <c r="N15" s="277">
        <v>0</v>
      </c>
      <c r="O15" s="276"/>
    </row>
    <row r="16" spans="1:15" ht="9.75" customHeight="1">
      <c r="A16" s="418" t="s">
        <v>94</v>
      </c>
      <c r="B16" s="419">
        <v>170.60917000000001</v>
      </c>
      <c r="C16" s="419">
        <v>199.45930999999999</v>
      </c>
      <c r="D16" s="420">
        <f t="shared" si="0"/>
        <v>-0.14464173168953598</v>
      </c>
      <c r="E16" s="138"/>
      <c r="F16" s="138"/>
      <c r="G16" s="138"/>
      <c r="H16" s="138"/>
      <c r="I16" s="138"/>
      <c r="J16" s="138"/>
      <c r="K16" s="26"/>
      <c r="L16" s="711" t="s">
        <v>261</v>
      </c>
      <c r="M16" s="277">
        <v>0</v>
      </c>
      <c r="N16" s="277">
        <v>0</v>
      </c>
      <c r="O16" s="276"/>
    </row>
    <row r="17" spans="1:15" ht="9.75" customHeight="1">
      <c r="A17" s="421" t="s">
        <v>95</v>
      </c>
      <c r="B17" s="422">
        <v>168.76643000000001</v>
      </c>
      <c r="C17" s="422">
        <v>163.39222999999998</v>
      </c>
      <c r="D17" s="423">
        <f t="shared" si="0"/>
        <v>3.2891404934004775E-2</v>
      </c>
      <c r="E17" s="138"/>
      <c r="F17" s="138"/>
      <c r="G17" s="138"/>
      <c r="H17" s="138"/>
      <c r="I17" s="138"/>
      <c r="J17" s="138"/>
      <c r="K17" s="26"/>
      <c r="L17" s="711" t="s">
        <v>262</v>
      </c>
      <c r="M17">
        <v>0</v>
      </c>
      <c r="N17">
        <v>0</v>
      </c>
      <c r="O17" s="276"/>
    </row>
    <row r="18" spans="1:15" ht="9.75" customHeight="1">
      <c r="A18" s="418" t="s">
        <v>101</v>
      </c>
      <c r="B18" s="419">
        <v>124.72123000000001</v>
      </c>
      <c r="C18" s="419">
        <v>11.760109999999999</v>
      </c>
      <c r="D18" s="420">
        <f t="shared" si="0"/>
        <v>9.605447568092476</v>
      </c>
      <c r="E18" s="138"/>
      <c r="F18" s="138"/>
      <c r="G18" s="138"/>
      <c r="H18" s="138"/>
      <c r="I18" s="138"/>
      <c r="J18" s="138"/>
      <c r="K18" s="26"/>
      <c r="L18" s="711" t="s">
        <v>112</v>
      </c>
      <c r="M18" s="277">
        <v>0</v>
      </c>
      <c r="N18" s="277">
        <v>0</v>
      </c>
      <c r="O18" s="276"/>
    </row>
    <row r="19" spans="1:15" ht="9.75" customHeight="1">
      <c r="A19" s="421" t="s">
        <v>98</v>
      </c>
      <c r="B19" s="422">
        <v>110.87645000000001</v>
      </c>
      <c r="C19" s="422">
        <v>110.90493000000001</v>
      </c>
      <c r="D19" s="423">
        <f t="shared" si="0"/>
        <v>-2.5679651932519754E-4</v>
      </c>
      <c r="E19" s="138"/>
      <c r="F19" s="138"/>
      <c r="G19" s="138"/>
      <c r="H19" s="138"/>
      <c r="I19" s="138"/>
      <c r="J19" s="138"/>
      <c r="K19" s="26"/>
      <c r="L19" s="711" t="s">
        <v>103</v>
      </c>
      <c r="M19" s="277">
        <v>0</v>
      </c>
      <c r="N19" s="277">
        <v>0</v>
      </c>
      <c r="O19" s="276"/>
    </row>
    <row r="20" spans="1:15" ht="9.75" customHeight="1">
      <c r="A20" s="418" t="s">
        <v>255</v>
      </c>
      <c r="B20" s="419">
        <v>94.363419999999991</v>
      </c>
      <c r="C20" s="419">
        <v>94.394300000000001</v>
      </c>
      <c r="D20" s="420">
        <f t="shared" si="0"/>
        <v>-3.2713839712794623E-4</v>
      </c>
      <c r="E20" s="138"/>
      <c r="F20" s="138"/>
      <c r="G20" s="138"/>
      <c r="H20" s="138"/>
      <c r="I20" s="138"/>
      <c r="J20" s="138"/>
      <c r="K20" s="29"/>
      <c r="L20" s="711" t="s">
        <v>533</v>
      </c>
      <c r="M20" s="277">
        <v>0</v>
      </c>
      <c r="N20" s="277"/>
      <c r="O20" s="276"/>
    </row>
    <row r="21" spans="1:15" ht="9.75" customHeight="1">
      <c r="A21" s="421" t="s">
        <v>789</v>
      </c>
      <c r="B21" s="422">
        <v>92.071020000000004</v>
      </c>
      <c r="C21" s="422">
        <v>89.974540000000005</v>
      </c>
      <c r="D21" s="423">
        <f t="shared" si="0"/>
        <v>2.3300813763537986E-2</v>
      </c>
      <c r="E21" s="138"/>
      <c r="F21" s="138"/>
      <c r="G21" s="138"/>
      <c r="H21" s="138"/>
      <c r="I21" s="138"/>
      <c r="J21" s="138"/>
      <c r="K21" s="26"/>
      <c r="L21" s="711" t="s">
        <v>122</v>
      </c>
      <c r="M21">
        <v>0.43746000000000002</v>
      </c>
      <c r="N21">
        <v>0.99741000000000002</v>
      </c>
      <c r="O21" s="276"/>
    </row>
    <row r="22" spans="1:15" ht="9.75" customHeight="1">
      <c r="A22" s="418" t="s">
        <v>99</v>
      </c>
      <c r="B22" s="419">
        <v>86.646780000000007</v>
      </c>
      <c r="C22" s="419">
        <v>51.039430000000003</v>
      </c>
      <c r="D22" s="420">
        <f t="shared" si="0"/>
        <v>0.69764395879812935</v>
      </c>
      <c r="E22" s="138"/>
      <c r="F22" s="138"/>
      <c r="G22" s="138"/>
      <c r="H22" s="138"/>
      <c r="I22" s="138"/>
      <c r="J22" s="138"/>
      <c r="K22" s="26"/>
      <c r="L22" s="711" t="s">
        <v>504</v>
      </c>
      <c r="M22">
        <v>0.96699999999999997</v>
      </c>
      <c r="O22" s="276"/>
    </row>
    <row r="23" spans="1:15" ht="9.75" customHeight="1">
      <c r="A23" s="421" t="s">
        <v>108</v>
      </c>
      <c r="B23" s="422">
        <v>80.879400000000004</v>
      </c>
      <c r="C23" s="422">
        <v>84.815160000000006</v>
      </c>
      <c r="D23" s="423">
        <f t="shared" si="0"/>
        <v>-4.640396834716809E-2</v>
      </c>
      <c r="E23" s="138"/>
      <c r="F23" s="138"/>
      <c r="G23" s="138"/>
      <c r="H23" s="138"/>
      <c r="I23" s="138"/>
      <c r="J23" s="138"/>
      <c r="K23" s="26"/>
      <c r="L23" s="711" t="s">
        <v>120</v>
      </c>
      <c r="M23" s="277">
        <v>3.1259999999999999</v>
      </c>
      <c r="N23" s="277">
        <v>3.7359999999999998</v>
      </c>
      <c r="O23" s="276"/>
    </row>
    <row r="24" spans="1:15" ht="9.75" customHeight="1">
      <c r="A24" s="418" t="s">
        <v>102</v>
      </c>
      <c r="B24" s="419">
        <v>77.499799999999993</v>
      </c>
      <c r="C24" s="419">
        <v>78.918340000000001</v>
      </c>
      <c r="D24" s="420">
        <f t="shared" si="0"/>
        <v>-1.79747825410419E-2</v>
      </c>
      <c r="E24" s="138"/>
      <c r="F24" s="138"/>
      <c r="G24" s="138"/>
      <c r="H24" s="138"/>
      <c r="I24" s="138"/>
      <c r="J24" s="138"/>
      <c r="K24" s="29"/>
      <c r="L24" s="711" t="s">
        <v>118</v>
      </c>
      <c r="M24" s="277">
        <v>3.5899000000000001</v>
      </c>
      <c r="N24" s="277">
        <v>3.6574800000000001</v>
      </c>
      <c r="O24" s="276"/>
    </row>
    <row r="25" spans="1:15" ht="9.75" customHeight="1">
      <c r="A25" s="421" t="s">
        <v>104</v>
      </c>
      <c r="B25" s="422">
        <v>47.027180000000001</v>
      </c>
      <c r="C25" s="422">
        <v>42.62209</v>
      </c>
      <c r="D25" s="423">
        <f t="shared" si="0"/>
        <v>0.1033522757800005</v>
      </c>
      <c r="E25" s="138"/>
      <c r="F25" s="138"/>
      <c r="G25" s="138"/>
      <c r="H25" s="138"/>
      <c r="I25" s="138"/>
      <c r="J25" s="138"/>
      <c r="K25" s="26"/>
      <c r="L25" s="711" t="s">
        <v>119</v>
      </c>
      <c r="M25" s="275">
        <v>3.6</v>
      </c>
      <c r="N25">
        <v>3.2</v>
      </c>
      <c r="O25" s="276"/>
    </row>
    <row r="26" spans="1:15" ht="9.75" customHeight="1">
      <c r="A26" s="418" t="s">
        <v>256</v>
      </c>
      <c r="B26" s="419">
        <v>37.258279999999999</v>
      </c>
      <c r="C26" s="419">
        <v>37.096400000000003</v>
      </c>
      <c r="D26" s="420">
        <f t="shared" si="0"/>
        <v>4.3637657562458632E-3</v>
      </c>
      <c r="E26" s="138"/>
      <c r="F26" s="138"/>
      <c r="G26" s="138"/>
      <c r="H26" s="138"/>
      <c r="I26" s="138"/>
      <c r="J26" s="138"/>
      <c r="K26" s="26"/>
      <c r="L26" s="711" t="s">
        <v>117</v>
      </c>
      <c r="M26" s="277">
        <v>4.3472</v>
      </c>
      <c r="N26" s="277">
        <v>4.7</v>
      </c>
      <c r="O26" s="276"/>
    </row>
    <row r="27" spans="1:15" ht="9.75" customHeight="1">
      <c r="A27" s="421" t="s">
        <v>263</v>
      </c>
      <c r="B27" s="422">
        <v>32.765409999999996</v>
      </c>
      <c r="C27" s="422">
        <v>28.15119</v>
      </c>
      <c r="D27" s="423">
        <f t="shared" si="0"/>
        <v>0.16390852393806421</v>
      </c>
      <c r="E27" s="138"/>
      <c r="F27" s="138"/>
      <c r="G27" s="138"/>
      <c r="H27" s="138"/>
      <c r="I27" s="138"/>
      <c r="J27" s="138"/>
      <c r="K27" s="26"/>
      <c r="L27" s="711" t="s">
        <v>116</v>
      </c>
      <c r="M27" s="277">
        <v>5.7474600000000002</v>
      </c>
      <c r="N27" s="277">
        <v>7.7695299999999996</v>
      </c>
      <c r="O27" s="276"/>
    </row>
    <row r="28" spans="1:15" ht="9.75" customHeight="1">
      <c r="A28" s="418" t="s">
        <v>111</v>
      </c>
      <c r="B28" s="419">
        <v>32.669879999999999</v>
      </c>
      <c r="C28" s="419">
        <v>8.9586500000000004</v>
      </c>
      <c r="D28" s="420">
        <f t="shared" si="0"/>
        <v>2.6467414175126831</v>
      </c>
      <c r="E28" s="138"/>
      <c r="F28" s="138"/>
      <c r="G28" s="138"/>
      <c r="H28" s="138"/>
      <c r="I28" s="138"/>
      <c r="J28" s="138"/>
      <c r="K28" s="26"/>
      <c r="L28" s="711" t="s">
        <v>499</v>
      </c>
      <c r="M28" s="277">
        <v>8.0751600000000003</v>
      </c>
      <c r="N28" s="277">
        <v>5.8201299999999998</v>
      </c>
      <c r="O28" s="276"/>
    </row>
    <row r="29" spans="1:15" ht="9.75" customHeight="1">
      <c r="A29" s="424" t="s">
        <v>105</v>
      </c>
      <c r="B29" s="425">
        <v>26.839379999999998</v>
      </c>
      <c r="C29" s="425">
        <v>26.884260000000001</v>
      </c>
      <c r="D29" s="426">
        <f t="shared" si="0"/>
        <v>-1.6693782904942944E-3</v>
      </c>
      <c r="E29" s="138"/>
      <c r="F29" s="138"/>
      <c r="G29" s="138"/>
      <c r="H29" s="138"/>
      <c r="I29" s="138"/>
      <c r="J29" s="138"/>
      <c r="K29" s="26"/>
      <c r="L29" s="712" t="s">
        <v>109</v>
      </c>
      <c r="M29" s="277">
        <v>10.366490000000001</v>
      </c>
      <c r="N29" s="277">
        <v>13.00605</v>
      </c>
      <c r="O29" s="276"/>
    </row>
    <row r="30" spans="1:15" ht="9.75" customHeight="1">
      <c r="A30" s="427" t="s">
        <v>260</v>
      </c>
      <c r="B30" s="428">
        <v>22.2544</v>
      </c>
      <c r="C30" s="428">
        <v>23.36393</v>
      </c>
      <c r="D30" s="429">
        <f t="shared" si="0"/>
        <v>-4.7489014048578304E-2</v>
      </c>
      <c r="E30" s="138"/>
      <c r="F30" s="138"/>
      <c r="G30" s="138"/>
      <c r="H30" s="138"/>
      <c r="I30" s="138"/>
      <c r="J30" s="138"/>
      <c r="K30" s="26"/>
      <c r="L30" s="712" t="s">
        <v>107</v>
      </c>
      <c r="M30" s="277">
        <v>18.635080000000002</v>
      </c>
      <c r="N30" s="277">
        <v>16.785440000000001</v>
      </c>
      <c r="O30" s="276"/>
    </row>
    <row r="31" spans="1:15" ht="9.75" customHeight="1">
      <c r="A31" s="430" t="s">
        <v>124</v>
      </c>
      <c r="B31" s="431">
        <v>20.023609999999998</v>
      </c>
      <c r="C31" s="431">
        <v>20.382480000000001</v>
      </c>
      <c r="D31" s="432">
        <f t="shared" si="0"/>
        <v>-1.760678779029845E-2</v>
      </c>
      <c r="E31" s="138"/>
      <c r="F31" s="138"/>
      <c r="G31" s="138"/>
      <c r="H31" s="138"/>
      <c r="I31" s="138"/>
      <c r="J31" s="138"/>
      <c r="K31" s="26"/>
      <c r="L31" s="712" t="s">
        <v>541</v>
      </c>
      <c r="M31" s="277">
        <v>18.984090000000002</v>
      </c>
      <c r="N31" s="277">
        <v>19.47803</v>
      </c>
      <c r="O31" s="276"/>
    </row>
    <row r="32" spans="1:15" ht="9.75" customHeight="1">
      <c r="A32" s="427" t="s">
        <v>479</v>
      </c>
      <c r="B32" s="428">
        <v>19.949819999999999</v>
      </c>
      <c r="C32" s="428">
        <v>0</v>
      </c>
      <c r="D32" s="429" t="str">
        <f t="shared" si="0"/>
        <v/>
      </c>
      <c r="E32" s="138"/>
      <c r="F32" s="138"/>
      <c r="G32" s="138"/>
      <c r="H32" s="138"/>
      <c r="I32" s="138"/>
      <c r="J32" s="138"/>
      <c r="K32" s="26"/>
      <c r="L32" s="711" t="s">
        <v>100</v>
      </c>
      <c r="M32" s="277">
        <v>18.984220000000001</v>
      </c>
      <c r="N32" s="277">
        <v>60.1006</v>
      </c>
      <c r="O32" s="276"/>
    </row>
    <row r="33" spans="1:15" ht="9.75" customHeight="1">
      <c r="A33" s="430" t="s">
        <v>517</v>
      </c>
      <c r="B33" s="431">
        <v>19.88353</v>
      </c>
      <c r="C33" s="431"/>
      <c r="D33" s="432" t="str">
        <f t="shared" si="0"/>
        <v/>
      </c>
      <c r="E33" s="138"/>
      <c r="F33" s="138"/>
      <c r="G33" s="138"/>
      <c r="H33" s="138"/>
      <c r="I33" s="138"/>
      <c r="J33" s="138"/>
      <c r="K33" s="26"/>
      <c r="L33" s="712" t="s">
        <v>106</v>
      </c>
      <c r="M33" s="277">
        <v>19.235999999999997</v>
      </c>
      <c r="N33" s="277">
        <v>19.404</v>
      </c>
      <c r="O33" s="276"/>
    </row>
    <row r="34" spans="1:15" ht="9.75" customHeight="1">
      <c r="A34" s="427" t="s">
        <v>123</v>
      </c>
      <c r="B34" s="428">
        <v>19.384920000000001</v>
      </c>
      <c r="C34" s="428">
        <v>0</v>
      </c>
      <c r="D34" s="429" t="str">
        <f t="shared" si="0"/>
        <v/>
      </c>
      <c r="E34" s="138"/>
      <c r="F34" s="138"/>
      <c r="G34" s="138"/>
      <c r="H34" s="138"/>
      <c r="I34" s="138"/>
      <c r="J34" s="138"/>
      <c r="K34" s="26"/>
      <c r="L34" s="711" t="s">
        <v>123</v>
      </c>
      <c r="M34" s="277">
        <v>19.384920000000001</v>
      </c>
      <c r="N34" s="277">
        <v>0</v>
      </c>
      <c r="O34" s="276"/>
    </row>
    <row r="35" spans="1:15" ht="20.25" customHeight="1">
      <c r="A35" s="674" t="s">
        <v>106</v>
      </c>
      <c r="B35" s="431">
        <v>19.235999999999997</v>
      </c>
      <c r="C35" s="431">
        <v>19.404</v>
      </c>
      <c r="D35" s="432">
        <f t="shared" si="0"/>
        <v>-8.6580086580088089E-3</v>
      </c>
      <c r="E35" s="138"/>
      <c r="F35" s="138"/>
      <c r="G35" s="138"/>
      <c r="H35" s="138"/>
      <c r="I35" s="138"/>
      <c r="J35" s="138"/>
      <c r="K35" s="26"/>
      <c r="L35" s="712" t="s">
        <v>517</v>
      </c>
      <c r="M35" s="277">
        <v>19.88353</v>
      </c>
      <c r="N35" s="277"/>
      <c r="O35" s="276"/>
    </row>
    <row r="36" spans="1:15" ht="9.75" customHeight="1">
      <c r="A36" s="427" t="s">
        <v>100</v>
      </c>
      <c r="B36" s="428">
        <v>18.984220000000001</v>
      </c>
      <c r="C36" s="428">
        <v>60.1006</v>
      </c>
      <c r="D36" s="429">
        <f t="shared" si="0"/>
        <v>-0.68412594882580202</v>
      </c>
      <c r="E36" s="138"/>
      <c r="F36" s="138"/>
      <c r="G36" s="138"/>
      <c r="H36" s="138"/>
      <c r="I36" s="138"/>
      <c r="J36" s="138"/>
      <c r="K36" s="34"/>
      <c r="L36" s="712" t="s">
        <v>479</v>
      </c>
      <c r="M36" s="277">
        <v>19.949819999999999</v>
      </c>
      <c r="N36" s="277">
        <v>0</v>
      </c>
      <c r="O36" s="276"/>
    </row>
    <row r="37" spans="1:15" ht="9.75" customHeight="1">
      <c r="A37" s="430" t="s">
        <v>541</v>
      </c>
      <c r="B37" s="431">
        <v>18.984090000000002</v>
      </c>
      <c r="C37" s="431">
        <v>19.47803</v>
      </c>
      <c r="D37" s="432">
        <f t="shared" si="0"/>
        <v>-2.5358827355743796E-2</v>
      </c>
      <c r="E37" s="138"/>
      <c r="F37" s="138"/>
      <c r="G37" s="138"/>
      <c r="H37" s="138"/>
      <c r="I37" s="138"/>
      <c r="J37" s="138"/>
      <c r="K37" s="34"/>
      <c r="L37" s="711" t="s">
        <v>124</v>
      </c>
      <c r="M37" s="275">
        <v>20.023609999999998</v>
      </c>
      <c r="N37">
        <v>20.382480000000001</v>
      </c>
      <c r="O37" s="276"/>
    </row>
    <row r="38" spans="1:15" ht="9.75" customHeight="1">
      <c r="A38" s="427" t="s">
        <v>107</v>
      </c>
      <c r="B38" s="428">
        <v>18.635080000000002</v>
      </c>
      <c r="C38" s="428">
        <v>16.785440000000001</v>
      </c>
      <c r="D38" s="429">
        <f t="shared" si="0"/>
        <v>0.11019311975140367</v>
      </c>
      <c r="E38" s="138"/>
      <c r="F38" s="138"/>
      <c r="G38" s="138"/>
      <c r="H38" s="138"/>
      <c r="I38" s="138"/>
      <c r="J38" s="138"/>
      <c r="K38" s="29"/>
      <c r="L38" s="712" t="s">
        <v>260</v>
      </c>
      <c r="M38" s="277">
        <v>22.2544</v>
      </c>
      <c r="N38" s="277">
        <v>23.36393</v>
      </c>
      <c r="O38" s="276"/>
    </row>
    <row r="39" spans="1:15" ht="9.75" customHeight="1">
      <c r="A39" s="430" t="s">
        <v>109</v>
      </c>
      <c r="B39" s="431">
        <v>10.366490000000001</v>
      </c>
      <c r="C39" s="431">
        <v>13.00605</v>
      </c>
      <c r="D39" s="432">
        <f t="shared" si="0"/>
        <v>-0.20294862775400679</v>
      </c>
      <c r="E39" s="138"/>
      <c r="F39" s="138"/>
      <c r="G39" s="138"/>
      <c r="H39" s="138"/>
      <c r="I39" s="138"/>
      <c r="J39" s="138"/>
      <c r="K39" s="29"/>
      <c r="L39" s="712" t="s">
        <v>105</v>
      </c>
      <c r="M39" s="277">
        <v>26.839379999999998</v>
      </c>
      <c r="N39" s="277">
        <v>26.884260000000001</v>
      </c>
      <c r="O39" s="276"/>
    </row>
    <row r="40" spans="1:15" ht="9.75" customHeight="1">
      <c r="A40" s="427" t="s">
        <v>499</v>
      </c>
      <c r="B40" s="428">
        <v>8.0751600000000003</v>
      </c>
      <c r="C40" s="428">
        <v>5.8201299999999998</v>
      </c>
      <c r="D40" s="429">
        <f t="shared" si="0"/>
        <v>0.38745354485209105</v>
      </c>
      <c r="E40" s="138"/>
      <c r="F40" s="138"/>
      <c r="G40" s="138"/>
      <c r="H40" s="138"/>
      <c r="I40" s="138"/>
      <c r="J40" s="138"/>
      <c r="K40" s="29"/>
      <c r="L40" s="712" t="s">
        <v>111</v>
      </c>
      <c r="M40" s="277">
        <v>32.669879999999999</v>
      </c>
      <c r="N40" s="277">
        <v>8.9586500000000004</v>
      </c>
      <c r="O40" s="276"/>
    </row>
    <row r="41" spans="1:15" ht="9.75" customHeight="1">
      <c r="A41" s="430" t="s">
        <v>116</v>
      </c>
      <c r="B41" s="431">
        <v>5.7474600000000002</v>
      </c>
      <c r="C41" s="431">
        <v>7.7695299999999996</v>
      </c>
      <c r="D41" s="432">
        <f t="shared" si="0"/>
        <v>-0.26025641190651161</v>
      </c>
      <c r="E41" s="138"/>
      <c r="F41" s="138"/>
      <c r="G41" s="138"/>
      <c r="H41" s="138"/>
      <c r="I41" s="138"/>
      <c r="J41" s="138"/>
      <c r="K41" s="34"/>
      <c r="L41" s="712" t="s">
        <v>263</v>
      </c>
      <c r="M41" s="277">
        <v>32.765409999999996</v>
      </c>
      <c r="N41" s="277">
        <v>28.15119</v>
      </c>
      <c r="O41" s="276"/>
    </row>
    <row r="42" spans="1:15" ht="9.75" customHeight="1">
      <c r="A42" s="427" t="s">
        <v>117</v>
      </c>
      <c r="B42" s="428">
        <v>4.3472</v>
      </c>
      <c r="C42" s="428">
        <v>4.7</v>
      </c>
      <c r="D42" s="429">
        <f t="shared" si="0"/>
        <v>-7.5063829787234138E-2</v>
      </c>
      <c r="E42" s="138"/>
      <c r="F42" s="138"/>
      <c r="G42" s="138"/>
      <c r="H42" s="138"/>
      <c r="I42" s="138"/>
      <c r="J42" s="138"/>
      <c r="K42" s="34"/>
      <c r="L42" s="711" t="s">
        <v>256</v>
      </c>
      <c r="M42" s="277">
        <v>37.258279999999999</v>
      </c>
      <c r="N42" s="277">
        <v>37.096400000000003</v>
      </c>
      <c r="O42" s="276"/>
    </row>
    <row r="43" spans="1:15" ht="9.75" customHeight="1">
      <c r="A43" s="430" t="s">
        <v>119</v>
      </c>
      <c r="B43" s="431">
        <v>3.6</v>
      </c>
      <c r="C43" s="431">
        <v>3.2</v>
      </c>
      <c r="D43" s="432">
        <f t="shared" si="0"/>
        <v>0.125</v>
      </c>
      <c r="E43" s="138"/>
      <c r="F43" s="138"/>
      <c r="G43" s="138"/>
      <c r="H43" s="138"/>
      <c r="I43" s="138"/>
      <c r="J43" s="138"/>
      <c r="K43" s="34"/>
      <c r="L43" s="712" t="s">
        <v>104</v>
      </c>
      <c r="M43" s="277">
        <v>47.027180000000001</v>
      </c>
      <c r="N43" s="277">
        <v>42.62209</v>
      </c>
      <c r="O43" s="276"/>
    </row>
    <row r="44" spans="1:15" ht="9.75" customHeight="1">
      <c r="A44" s="427" t="s">
        <v>118</v>
      </c>
      <c r="B44" s="428">
        <v>3.5899000000000001</v>
      </c>
      <c r="C44" s="428">
        <v>3.6574800000000001</v>
      </c>
      <c r="D44" s="429">
        <f t="shared" si="0"/>
        <v>-1.8477202882859256E-2</v>
      </c>
      <c r="E44" s="138"/>
      <c r="F44" s="138"/>
      <c r="G44" s="138"/>
      <c r="H44" s="138"/>
      <c r="I44" s="138"/>
      <c r="J44" s="138"/>
      <c r="L44" s="712" t="s">
        <v>102</v>
      </c>
      <c r="M44" s="277">
        <v>77.499799999999993</v>
      </c>
      <c r="N44" s="277">
        <v>78.918340000000001</v>
      </c>
      <c r="O44" s="276"/>
    </row>
    <row r="45" spans="1:15" ht="9.75" customHeight="1">
      <c r="A45" s="430" t="s">
        <v>120</v>
      </c>
      <c r="B45" s="431">
        <v>3.1259999999999999</v>
      </c>
      <c r="C45" s="431">
        <v>3.7359999999999998</v>
      </c>
      <c r="D45" s="432">
        <f t="shared" si="0"/>
        <v>-0.16327623126338331</v>
      </c>
      <c r="E45" s="138"/>
      <c r="F45" s="138"/>
      <c r="G45" s="138"/>
      <c r="H45" s="138"/>
      <c r="I45" s="138"/>
      <c r="J45" s="138"/>
      <c r="L45" s="711" t="s">
        <v>108</v>
      </c>
      <c r="M45" s="277">
        <v>80.879400000000004</v>
      </c>
      <c r="N45" s="277">
        <v>84.815160000000006</v>
      </c>
      <c r="O45" s="276"/>
    </row>
    <row r="46" spans="1:15" ht="9.75" customHeight="1">
      <c r="A46" s="427" t="s">
        <v>504</v>
      </c>
      <c r="B46" s="428">
        <v>0.96699999999999997</v>
      </c>
      <c r="C46" s="428"/>
      <c r="D46" s="429" t="str">
        <f t="shared" si="0"/>
        <v/>
      </c>
      <c r="E46" s="138"/>
      <c r="F46" s="138"/>
      <c r="G46" s="138"/>
      <c r="H46" s="138"/>
      <c r="I46" s="138"/>
      <c r="J46" s="138"/>
      <c r="L46" s="711" t="s">
        <v>99</v>
      </c>
      <c r="M46" s="277">
        <v>86.646780000000007</v>
      </c>
      <c r="N46" s="277">
        <v>51.039430000000003</v>
      </c>
      <c r="O46" s="276"/>
    </row>
    <row r="47" spans="1:15" ht="9.75" customHeight="1">
      <c r="A47" s="430" t="s">
        <v>122</v>
      </c>
      <c r="B47" s="431">
        <v>0.43746000000000002</v>
      </c>
      <c r="C47" s="431">
        <v>0.99741000000000002</v>
      </c>
      <c r="D47" s="432">
        <f t="shared" si="0"/>
        <v>-0.56140403645441694</v>
      </c>
      <c r="E47" s="138"/>
      <c r="F47" s="138"/>
      <c r="G47" s="138"/>
      <c r="H47" s="138"/>
      <c r="I47" s="138"/>
      <c r="J47" s="138"/>
      <c r="L47" s="711" t="s">
        <v>789</v>
      </c>
      <c r="M47" s="277">
        <v>92.071020000000004</v>
      </c>
      <c r="N47" s="277">
        <v>89.974540000000005</v>
      </c>
      <c r="O47" s="276"/>
    </row>
    <row r="48" spans="1:15" ht="9.75" customHeight="1">
      <c r="A48" s="427" t="s">
        <v>125</v>
      </c>
      <c r="B48" s="428">
        <v>0</v>
      </c>
      <c r="C48" s="428">
        <v>0</v>
      </c>
      <c r="D48" s="429" t="str">
        <f t="shared" si="0"/>
        <v/>
      </c>
      <c r="E48" s="138"/>
      <c r="F48" s="138"/>
      <c r="G48" s="138"/>
      <c r="H48" s="138"/>
      <c r="I48" s="138"/>
      <c r="J48" s="138"/>
      <c r="L48" s="711" t="s">
        <v>255</v>
      </c>
      <c r="M48" s="277">
        <v>94.363419999999991</v>
      </c>
      <c r="N48" s="277">
        <v>94.394300000000001</v>
      </c>
      <c r="O48" s="276"/>
    </row>
    <row r="49" spans="1:15" ht="9.75" customHeight="1">
      <c r="A49" s="430" t="s">
        <v>253</v>
      </c>
      <c r="B49" s="431">
        <v>0</v>
      </c>
      <c r="C49" s="431">
        <v>0</v>
      </c>
      <c r="D49" s="432" t="str">
        <f t="shared" si="0"/>
        <v/>
      </c>
      <c r="E49" s="138"/>
      <c r="F49" s="138"/>
      <c r="G49" s="138"/>
      <c r="H49" s="138"/>
      <c r="I49" s="138"/>
      <c r="J49" s="138"/>
      <c r="L49" s="712" t="s">
        <v>98</v>
      </c>
      <c r="M49" s="277">
        <v>110.87645000000001</v>
      </c>
      <c r="N49" s="277">
        <v>110.90493000000001</v>
      </c>
      <c r="O49" s="276"/>
    </row>
    <row r="50" spans="1:15" ht="9.75" customHeight="1">
      <c r="A50" s="427" t="s">
        <v>96</v>
      </c>
      <c r="B50" s="428">
        <v>0</v>
      </c>
      <c r="C50" s="428">
        <v>192.19821999999999</v>
      </c>
      <c r="D50" s="429">
        <f t="shared" si="0"/>
        <v>-1</v>
      </c>
      <c r="E50" s="138"/>
      <c r="F50" s="138"/>
      <c r="G50" s="138"/>
      <c r="H50" s="138"/>
      <c r="I50" s="138"/>
      <c r="J50" s="138"/>
      <c r="L50" s="712" t="s">
        <v>101</v>
      </c>
      <c r="M50" s="277">
        <v>124.72123000000001</v>
      </c>
      <c r="N50" s="277">
        <v>11.760109999999999</v>
      </c>
      <c r="O50" s="276"/>
    </row>
    <row r="51" spans="1:15" ht="9.75" customHeight="1">
      <c r="A51" s="430" t="s">
        <v>114</v>
      </c>
      <c r="B51" s="431">
        <v>0</v>
      </c>
      <c r="C51" s="431">
        <v>0</v>
      </c>
      <c r="D51" s="432" t="str">
        <f t="shared" si="0"/>
        <v/>
      </c>
      <c r="E51" s="138"/>
      <c r="F51" s="138"/>
      <c r="G51" s="138"/>
      <c r="H51" s="138"/>
      <c r="I51" s="138"/>
      <c r="J51" s="138"/>
      <c r="L51" s="712" t="s">
        <v>95</v>
      </c>
      <c r="M51" s="277">
        <v>168.76643000000001</v>
      </c>
      <c r="N51" s="277">
        <v>163.39222999999998</v>
      </c>
      <c r="O51" s="276"/>
    </row>
    <row r="52" spans="1:15" ht="9.75" customHeight="1">
      <c r="A52" s="427" t="s">
        <v>115</v>
      </c>
      <c r="B52" s="428">
        <v>0</v>
      </c>
      <c r="C52" s="428">
        <v>0</v>
      </c>
      <c r="D52" s="429" t="str">
        <f t="shared" si="0"/>
        <v/>
      </c>
      <c r="E52" s="138"/>
      <c r="F52" s="138"/>
      <c r="G52" s="138"/>
      <c r="H52" s="138"/>
      <c r="I52" s="138"/>
      <c r="J52" s="138"/>
      <c r="L52" s="712" t="s">
        <v>94</v>
      </c>
      <c r="M52" s="277">
        <v>170.60917000000001</v>
      </c>
      <c r="N52" s="277">
        <v>199.45930999999999</v>
      </c>
      <c r="O52" s="276"/>
    </row>
    <row r="53" spans="1:15" ht="9.75" customHeight="1">
      <c r="A53" s="430" t="s">
        <v>258</v>
      </c>
      <c r="B53" s="431">
        <v>0</v>
      </c>
      <c r="C53" s="431">
        <v>19.009140000000002</v>
      </c>
      <c r="D53" s="432">
        <f t="shared" si="0"/>
        <v>-1</v>
      </c>
      <c r="E53" s="138"/>
      <c r="F53" s="138"/>
      <c r="G53" s="138"/>
      <c r="H53" s="138"/>
      <c r="I53" s="138"/>
      <c r="J53" s="138"/>
      <c r="L53" s="712" t="s">
        <v>97</v>
      </c>
      <c r="M53" s="277">
        <v>212.89953</v>
      </c>
      <c r="N53" s="277">
        <v>215.80619999999999</v>
      </c>
      <c r="O53" s="276"/>
    </row>
    <row r="54" spans="1:15" ht="9.75" customHeight="1">
      <c r="A54" s="427" t="s">
        <v>121</v>
      </c>
      <c r="B54" s="428">
        <v>0</v>
      </c>
      <c r="C54" s="428">
        <v>0</v>
      </c>
      <c r="D54" s="429" t="str">
        <f t="shared" si="0"/>
        <v/>
      </c>
      <c r="E54" s="138"/>
      <c r="F54" s="138"/>
      <c r="G54" s="138"/>
      <c r="H54" s="138"/>
      <c r="I54" s="138"/>
      <c r="J54" s="138"/>
      <c r="L54" s="712" t="s">
        <v>259</v>
      </c>
      <c r="M54" s="277">
        <v>276.67604</v>
      </c>
      <c r="N54" s="277">
        <v>318.08104000000003</v>
      </c>
      <c r="O54" s="276"/>
    </row>
    <row r="55" spans="1:15" ht="9.75" customHeight="1">
      <c r="A55" s="430" t="s">
        <v>113</v>
      </c>
      <c r="B55" s="431">
        <v>0</v>
      </c>
      <c r="C55" s="431">
        <v>0</v>
      </c>
      <c r="D55" s="432" t="str">
        <f t="shared" si="0"/>
        <v/>
      </c>
      <c r="E55" s="138"/>
      <c r="F55" s="138"/>
      <c r="G55" s="138"/>
      <c r="H55" s="138"/>
      <c r="I55" s="138"/>
      <c r="J55" s="138"/>
      <c r="L55" s="712" t="s">
        <v>93</v>
      </c>
      <c r="M55" s="277">
        <v>365.22555</v>
      </c>
      <c r="N55" s="277">
        <v>360.40575999999999</v>
      </c>
      <c r="O55" s="276"/>
    </row>
    <row r="56" spans="1:15" ht="9.75" customHeight="1">
      <c r="A56" s="427" t="s">
        <v>110</v>
      </c>
      <c r="B56" s="428">
        <v>0</v>
      </c>
      <c r="C56" s="428">
        <v>0</v>
      </c>
      <c r="D56" s="429" t="str">
        <f t="shared" si="0"/>
        <v/>
      </c>
      <c r="E56" s="138"/>
      <c r="F56" s="138"/>
      <c r="G56" s="138"/>
      <c r="H56" s="138"/>
      <c r="I56" s="138"/>
      <c r="J56" s="138"/>
      <c r="L56" s="712" t="s">
        <v>254</v>
      </c>
      <c r="M56" s="277">
        <v>460.58933000000002</v>
      </c>
      <c r="N56" s="277">
        <v>455.95588999999995</v>
      </c>
      <c r="O56" s="276"/>
    </row>
    <row r="57" spans="1:15" ht="9.75" customHeight="1">
      <c r="A57" s="430" t="s">
        <v>261</v>
      </c>
      <c r="B57" s="431">
        <v>0</v>
      </c>
      <c r="C57" s="431">
        <v>0</v>
      </c>
      <c r="D57" s="432" t="str">
        <f t="shared" si="0"/>
        <v/>
      </c>
      <c r="E57" s="138"/>
      <c r="F57" s="138"/>
      <c r="G57" s="138"/>
      <c r="H57" s="138"/>
      <c r="I57" s="138"/>
      <c r="J57" s="138"/>
      <c r="L57" s="712" t="s">
        <v>257</v>
      </c>
      <c r="M57" s="277">
        <v>544.80962999999997</v>
      </c>
      <c r="N57" s="277">
        <v>0</v>
      </c>
      <c r="O57" s="276"/>
    </row>
    <row r="58" spans="1:15" ht="9.75" customHeight="1">
      <c r="A58" s="427" t="s">
        <v>262</v>
      </c>
      <c r="B58" s="428">
        <v>0</v>
      </c>
      <c r="C58" s="428">
        <v>0</v>
      </c>
      <c r="D58" s="429" t="str">
        <f t="shared" si="0"/>
        <v/>
      </c>
      <c r="E58" s="138"/>
      <c r="F58" s="138"/>
      <c r="G58" s="138"/>
      <c r="H58" s="138"/>
      <c r="I58" s="138"/>
      <c r="J58" s="138"/>
      <c r="L58" s="712" t="s">
        <v>90</v>
      </c>
      <c r="M58" s="277">
        <v>720.06187999999997</v>
      </c>
      <c r="N58" s="277">
        <v>583.04831999999999</v>
      </c>
      <c r="O58" s="276"/>
    </row>
    <row r="59" spans="1:15" ht="9.75" customHeight="1">
      <c r="A59" s="410" t="s">
        <v>112</v>
      </c>
      <c r="B59" s="411">
        <v>0</v>
      </c>
      <c r="C59" s="411">
        <v>0</v>
      </c>
      <c r="D59" s="432" t="str">
        <f t="shared" si="0"/>
        <v/>
      </c>
      <c r="E59" s="138"/>
      <c r="F59" s="138"/>
      <c r="G59" s="138"/>
      <c r="H59" s="138"/>
      <c r="I59" s="138"/>
      <c r="J59" s="138"/>
      <c r="L59" s="711" t="s">
        <v>92</v>
      </c>
      <c r="M59" s="277">
        <v>852.77375999999992</v>
      </c>
      <c r="N59" s="277">
        <v>846.13872000000003</v>
      </c>
      <c r="O59" s="276"/>
    </row>
    <row r="60" spans="1:15" ht="9.75" customHeight="1">
      <c r="A60" s="433" t="s">
        <v>103</v>
      </c>
      <c r="B60" s="434">
        <v>0</v>
      </c>
      <c r="C60" s="434">
        <v>0</v>
      </c>
      <c r="D60" s="435" t="str">
        <f t="shared" si="0"/>
        <v/>
      </c>
      <c r="E60" s="138"/>
      <c r="F60" s="138"/>
      <c r="G60" s="138"/>
      <c r="H60" s="138"/>
      <c r="I60" s="138"/>
      <c r="J60" s="138"/>
      <c r="L60" s="712" t="s">
        <v>91</v>
      </c>
      <c r="M60" s="277">
        <v>945.05990000000008</v>
      </c>
      <c r="N60" s="277">
        <v>886.87415999999996</v>
      </c>
      <c r="O60" s="276"/>
    </row>
    <row r="61" spans="1:15" ht="9.75" customHeight="1">
      <c r="A61" s="410" t="s">
        <v>533</v>
      </c>
      <c r="B61" s="411">
        <v>0</v>
      </c>
      <c r="C61" s="411"/>
      <c r="D61" s="423" t="str">
        <f t="shared" si="0"/>
        <v/>
      </c>
      <c r="E61" s="138"/>
      <c r="F61" s="138"/>
      <c r="G61" s="138"/>
      <c r="H61" s="138"/>
      <c r="I61" s="138"/>
      <c r="J61" s="138"/>
      <c r="L61" s="712" t="s">
        <v>498</v>
      </c>
      <c r="M61" s="277">
        <v>1171.3151</v>
      </c>
      <c r="N61" s="277">
        <v>1468.6787600000002</v>
      </c>
      <c r="O61" s="276"/>
    </row>
    <row r="62" spans="1:15" ht="9.75" customHeight="1">
      <c r="A62" s="433" t="s">
        <v>790</v>
      </c>
      <c r="B62" s="434">
        <v>0</v>
      </c>
      <c r="C62" s="434">
        <v>0</v>
      </c>
      <c r="D62" s="435"/>
      <c r="E62" s="138"/>
      <c r="F62" s="138"/>
      <c r="G62" s="138"/>
      <c r="H62" s="138"/>
      <c r="I62" s="138"/>
      <c r="J62" s="138"/>
      <c r="L62" s="712"/>
      <c r="M62" s="277"/>
      <c r="N62" s="277"/>
      <c r="O62" s="276"/>
    </row>
    <row r="63" spans="1:15" ht="9.75" customHeight="1">
      <c r="A63" s="412" t="s">
        <v>44</v>
      </c>
      <c r="B63" s="796">
        <f>SUM(B7:B61)</f>
        <v>6949.9968900000003</v>
      </c>
      <c r="C63" s="413">
        <f>SUM(C7:C61)</f>
        <v>6576.9682299999995</v>
      </c>
      <c r="D63" s="414">
        <f>IF(C63=0,"",B63/C63-1)</f>
        <v>5.6717418566578859E-2</v>
      </c>
      <c r="E63" s="132"/>
      <c r="F63" s="132"/>
      <c r="G63" s="132"/>
      <c r="H63" s="159"/>
      <c r="I63" s="159"/>
      <c r="J63" s="159"/>
      <c r="L63" s="712"/>
      <c r="M63" s="277"/>
      <c r="N63" s="277"/>
    </row>
    <row r="64" spans="1:15" ht="32.25" customHeight="1">
      <c r="A64" s="912" t="str">
        <f>"Cuadro N° 8: Participación de las empresas generadoras del COES en la máxima potencia coincidente (MW) en "&amp;'1. Resumen'!Q4</f>
        <v>Cuadro N° 8: Participación de las empresas generadoras del COES en la máxima potencia coincidente (MW) en febrero</v>
      </c>
      <c r="B64" s="912"/>
      <c r="C64" s="912"/>
      <c r="D64" s="912"/>
      <c r="E64" s="150"/>
      <c r="F64" s="912" t="str">
        <f>"Gráfico N° 12: Comparación de la máxima potencia coincidente  (MW) de las empresas generadoras del COES en "&amp;'1. Resumen'!Q4</f>
        <v>Gráfico N° 12: Comparación de la máxima potencia coincidente  (MW) de las empresas generadoras del COES en febrero</v>
      </c>
      <c r="G64" s="912"/>
      <c r="H64" s="912"/>
      <c r="I64" s="912"/>
      <c r="J64" s="912"/>
    </row>
    <row r="65" spans="1:10" ht="7.5" customHeight="1">
      <c r="A65" s="407"/>
      <c r="B65" s="407"/>
      <c r="C65" s="407"/>
      <c r="D65" s="407"/>
      <c r="E65" s="150"/>
      <c r="F65" s="407"/>
      <c r="G65" s="407"/>
      <c r="H65" s="407"/>
      <c r="I65" s="407"/>
      <c r="J65" s="407"/>
    </row>
    <row r="66" spans="1:10" ht="12.75" customHeight="1">
      <c r="A66" s="914"/>
      <c r="B66" s="914"/>
      <c r="C66" s="914"/>
      <c r="D66" s="914"/>
      <c r="E66" s="914"/>
      <c r="F66" s="914"/>
      <c r="G66" s="914"/>
      <c r="H66" s="914"/>
      <c r="I66" s="914"/>
      <c r="J66" s="914"/>
    </row>
    <row r="67" spans="1:10" ht="12.75" customHeight="1">
      <c r="A67" s="914"/>
      <c r="B67" s="914"/>
      <c r="C67" s="914"/>
      <c r="D67" s="914"/>
      <c r="E67" s="914"/>
      <c r="F67" s="914"/>
      <c r="G67" s="914"/>
      <c r="H67" s="914"/>
      <c r="I67" s="914"/>
      <c r="J67" s="914"/>
    </row>
    <row r="68" spans="1:10" ht="12.75" customHeight="1">
      <c r="A68" s="914"/>
      <c r="B68" s="914"/>
      <c r="C68" s="914"/>
      <c r="D68" s="914"/>
      <c r="E68" s="914"/>
      <c r="F68" s="914"/>
      <c r="G68" s="914"/>
      <c r="H68" s="914"/>
      <c r="I68" s="914"/>
      <c r="J68" s="914"/>
    </row>
    <row r="69" spans="1:10">
      <c r="A69" s="914"/>
      <c r="B69" s="914"/>
      <c r="C69" s="914"/>
      <c r="D69" s="914"/>
      <c r="E69" s="914"/>
      <c r="F69" s="914"/>
      <c r="G69" s="914"/>
      <c r="H69" s="914"/>
      <c r="I69" s="914"/>
      <c r="J69" s="914"/>
    </row>
    <row r="70" spans="1:10">
      <c r="A70" s="907"/>
      <c r="B70" s="907"/>
      <c r="C70" s="907"/>
      <c r="D70" s="907"/>
      <c r="E70" s="907"/>
      <c r="F70" s="907"/>
      <c r="G70" s="907"/>
      <c r="H70" s="907"/>
      <c r="I70" s="907"/>
      <c r="J70" s="907"/>
    </row>
    <row r="71" spans="1:10">
      <c r="A71" s="906"/>
      <c r="B71" s="906"/>
      <c r="C71" s="906"/>
      <c r="D71" s="906"/>
      <c r="E71" s="906"/>
      <c r="F71" s="906"/>
      <c r="G71" s="906"/>
      <c r="H71" s="906"/>
      <c r="I71" s="906"/>
      <c r="J71" s="906"/>
    </row>
    <row r="72" spans="1:10">
      <c r="A72" s="925"/>
      <c r="B72" s="925"/>
      <c r="C72" s="925"/>
      <c r="D72" s="925"/>
      <c r="E72" s="925"/>
      <c r="F72" s="925"/>
      <c r="G72" s="925"/>
      <c r="H72" s="925"/>
      <c r="I72" s="925"/>
      <c r="J72" s="925"/>
    </row>
    <row r="73" spans="1:10">
      <c r="A73" s="926"/>
      <c r="B73" s="926"/>
      <c r="C73" s="926"/>
      <c r="D73" s="926"/>
      <c r="E73" s="926"/>
      <c r="F73" s="926"/>
      <c r="G73" s="926"/>
      <c r="H73" s="926"/>
      <c r="I73" s="926"/>
      <c r="J73" s="926"/>
    </row>
  </sheetData>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0866141732283472" right="0.59055118110236227"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L65"/>
  <sheetViews>
    <sheetView showGridLines="0" view="pageBreakPreview" topLeftCell="A22" zoomScaleNormal="100" zoomScaleSheetLayoutView="100" zoomScalePageLayoutView="130" workbookViewId="0">
      <selection activeCell="A3" sqref="A3"/>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40" customWidth="1"/>
    <col min="12" max="31" width="9.33203125" style="340"/>
    <col min="32" max="16384" width="9.33203125" style="46"/>
  </cols>
  <sheetData>
    <row r="1" spans="1:38" ht="11.25" customHeight="1"/>
    <row r="2" spans="1:38" ht="17.25" customHeight="1">
      <c r="A2" s="917" t="s">
        <v>271</v>
      </c>
      <c r="B2" s="917"/>
      <c r="C2" s="917"/>
      <c r="D2" s="917"/>
      <c r="E2" s="917"/>
      <c r="F2" s="917"/>
      <c r="G2" s="917"/>
      <c r="H2" s="917"/>
    </row>
    <row r="3" spans="1:38" ht="11.25" customHeight="1">
      <c r="A3" s="77"/>
      <c r="B3" s="77"/>
      <c r="C3" s="77"/>
      <c r="D3" s="77"/>
      <c r="E3" s="77"/>
      <c r="F3" s="82"/>
      <c r="G3" s="82"/>
      <c r="H3" s="82"/>
      <c r="I3" s="36"/>
      <c r="J3" s="351"/>
    </row>
    <row r="4" spans="1:38" ht="11.25" customHeight="1">
      <c r="A4" s="935" t="s">
        <v>272</v>
      </c>
      <c r="B4" s="935"/>
      <c r="C4" s="935"/>
      <c r="D4" s="935"/>
      <c r="E4" s="935"/>
      <c r="F4" s="935"/>
      <c r="G4" s="935"/>
      <c r="H4" s="935"/>
      <c r="I4" s="36"/>
      <c r="J4" s="351"/>
    </row>
    <row r="5" spans="1:38" ht="11.25" customHeight="1">
      <c r="A5" s="77"/>
      <c r="B5" s="165"/>
      <c r="C5" s="79"/>
      <c r="D5" s="79"/>
      <c r="E5" s="80"/>
      <c r="F5" s="76"/>
      <c r="G5" s="76"/>
      <c r="H5" s="81"/>
      <c r="I5" s="166"/>
      <c r="J5" s="352"/>
    </row>
    <row r="6" spans="1:38" ht="42.75" customHeight="1">
      <c r="A6" s="77"/>
      <c r="C6" s="585" t="s">
        <v>128</v>
      </c>
      <c r="D6" s="586" t="s">
        <v>791</v>
      </c>
      <c r="E6" s="586" t="s">
        <v>792</v>
      </c>
      <c r="F6" s="587" t="s">
        <v>129</v>
      </c>
      <c r="G6" s="170"/>
      <c r="H6" s="171"/>
    </row>
    <row r="7" spans="1:38" ht="11.25" customHeight="1">
      <c r="A7" s="77"/>
      <c r="C7" s="683" t="s">
        <v>130</v>
      </c>
      <c r="D7" s="684">
        <v>26.9340000152587</v>
      </c>
      <c r="E7" s="685">
        <v>19.805</v>
      </c>
      <c r="F7" s="686">
        <f>IF(E7=0,"",(D7-E7)/E7)</f>
        <v>0.35995960693050749</v>
      </c>
      <c r="G7" s="137"/>
      <c r="H7" s="280"/>
    </row>
    <row r="8" spans="1:38" ht="11.25" customHeight="1">
      <c r="A8" s="77"/>
      <c r="C8" s="687" t="s">
        <v>131</v>
      </c>
      <c r="D8" s="688">
        <v>121.794998168945</v>
      </c>
      <c r="E8" s="689">
        <v>110.00700000000001</v>
      </c>
      <c r="F8" s="690">
        <f t="shared" ref="F8:F20" si="0">IF(E8=0,"",(D8-E8)/E8)</f>
        <v>0.10715680064854959</v>
      </c>
      <c r="G8" s="137"/>
      <c r="H8" s="280"/>
    </row>
    <row r="9" spans="1:38" ht="11.25" customHeight="1">
      <c r="A9" s="77"/>
      <c r="C9" s="691" t="s">
        <v>132</v>
      </c>
      <c r="D9" s="692">
        <v>102.61499786376901</v>
      </c>
      <c r="E9" s="693">
        <v>36.674999999999997</v>
      </c>
      <c r="F9" s="694">
        <f t="shared" si="0"/>
        <v>1.7979549519773419</v>
      </c>
      <c r="G9" s="137"/>
      <c r="H9" s="280"/>
      <c r="M9" s="353" t="s">
        <v>278</v>
      </c>
      <c r="N9" s="354"/>
      <c r="O9" s="354"/>
      <c r="P9" s="354"/>
      <c r="Q9" s="354"/>
      <c r="R9" s="354"/>
      <c r="S9" s="354"/>
      <c r="T9" s="354"/>
      <c r="U9" s="354"/>
      <c r="V9" s="354"/>
      <c r="W9" s="354"/>
      <c r="X9" s="354"/>
      <c r="Y9" s="354"/>
      <c r="Z9" s="354"/>
      <c r="AA9" s="354"/>
      <c r="AB9" s="354"/>
      <c r="AC9" s="354"/>
      <c r="AD9" s="354"/>
      <c r="AE9" s="354"/>
      <c r="AF9" s="220"/>
      <c r="AG9" s="220"/>
      <c r="AH9" s="220"/>
      <c r="AI9" s="220"/>
      <c r="AJ9" s="220"/>
      <c r="AK9" s="220"/>
      <c r="AL9" s="220"/>
    </row>
    <row r="10" spans="1:38" ht="11.25" customHeight="1">
      <c r="A10" s="77"/>
      <c r="C10" s="687" t="s">
        <v>133</v>
      </c>
      <c r="D10" s="688">
        <v>77.112998962402301</v>
      </c>
      <c r="E10" s="689">
        <v>48.451000000000001</v>
      </c>
      <c r="F10" s="690">
        <f t="shared" si="0"/>
        <v>0.59156671611323397</v>
      </c>
      <c r="G10" s="137"/>
      <c r="H10" s="280"/>
      <c r="M10" s="353" t="s">
        <v>279</v>
      </c>
      <c r="N10" s="354"/>
      <c r="O10" s="354"/>
      <c r="P10" s="354"/>
      <c r="Q10" s="354"/>
      <c r="R10" s="354"/>
      <c r="S10" s="354"/>
      <c r="T10" s="354"/>
      <c r="AD10" s="354"/>
      <c r="AE10" s="354"/>
      <c r="AF10" s="220"/>
      <c r="AG10" s="220"/>
      <c r="AH10" s="220"/>
      <c r="AI10" s="220"/>
      <c r="AJ10" s="220"/>
      <c r="AK10" s="220"/>
      <c r="AL10" s="220"/>
    </row>
    <row r="11" spans="1:38" ht="11.25" customHeight="1">
      <c r="A11" s="77"/>
      <c r="C11" s="691" t="s">
        <v>134</v>
      </c>
      <c r="D11" s="692">
        <v>24.468000411987301</v>
      </c>
      <c r="E11" s="693">
        <v>15.744</v>
      </c>
      <c r="F11" s="694">
        <f>IF(E11=0,"",(D11-E11)/E11)</f>
        <v>0.55411587982642918</v>
      </c>
      <c r="G11" s="137"/>
      <c r="H11" s="280"/>
      <c r="M11" s="354"/>
      <c r="N11" s="355">
        <v>2016</v>
      </c>
      <c r="O11" s="355">
        <v>2017</v>
      </c>
      <c r="P11" s="355">
        <v>2018</v>
      </c>
      <c r="Q11" s="355">
        <v>2019</v>
      </c>
      <c r="R11" s="354"/>
      <c r="S11" s="354"/>
      <c r="T11" s="354"/>
      <c r="AD11" s="354"/>
      <c r="AE11" s="354"/>
      <c r="AF11" s="220"/>
      <c r="AG11" s="220"/>
      <c r="AH11" s="220"/>
      <c r="AI11" s="220"/>
      <c r="AJ11" s="220"/>
      <c r="AK11" s="220"/>
      <c r="AL11" s="220"/>
    </row>
    <row r="12" spans="1:38" ht="11.25" customHeight="1">
      <c r="A12" s="77"/>
      <c r="C12" s="687" t="s">
        <v>135</v>
      </c>
      <c r="D12" s="688">
        <v>26.649999618530199</v>
      </c>
      <c r="E12" s="689">
        <v>11.388</v>
      </c>
      <c r="F12" s="690">
        <f t="shared" si="0"/>
        <v>1.3401826149043028</v>
      </c>
      <c r="G12" s="137"/>
      <c r="H12" s="280"/>
      <c r="M12" s="356">
        <v>1</v>
      </c>
      <c r="N12" s="357">
        <v>138.54</v>
      </c>
      <c r="O12" s="357">
        <v>93.1</v>
      </c>
      <c r="P12" s="357">
        <v>104.46</v>
      </c>
      <c r="Q12" s="713">
        <v>117.2900009</v>
      </c>
      <c r="R12" s="354"/>
      <c r="S12" s="354"/>
      <c r="T12" s="354"/>
      <c r="AD12" s="354"/>
      <c r="AE12" s="354"/>
      <c r="AF12" s="220"/>
      <c r="AG12" s="220"/>
      <c r="AH12" s="220"/>
      <c r="AI12" s="220"/>
      <c r="AJ12" s="220"/>
      <c r="AK12" s="220"/>
      <c r="AL12" s="220"/>
    </row>
    <row r="13" spans="1:38" ht="11.25" customHeight="1">
      <c r="A13" s="77"/>
      <c r="C13" s="691" t="s">
        <v>136</v>
      </c>
      <c r="D13" s="692">
        <v>91.400001525878906</v>
      </c>
      <c r="E13" s="693">
        <v>72.721999999999994</v>
      </c>
      <c r="F13" s="694">
        <f t="shared" si="0"/>
        <v>0.25684114196362745</v>
      </c>
      <c r="G13" s="137"/>
      <c r="H13" s="280"/>
      <c r="M13" s="356">
        <v>2</v>
      </c>
      <c r="N13" s="357">
        <v>140.53</v>
      </c>
      <c r="O13" s="357">
        <v>93.1</v>
      </c>
      <c r="P13" s="357">
        <v>103.4720001</v>
      </c>
      <c r="Q13" s="713">
        <v>116.0110016</v>
      </c>
      <c r="R13" s="354"/>
      <c r="S13" s="354"/>
      <c r="T13" s="354"/>
      <c r="AD13" s="354"/>
      <c r="AE13" s="354"/>
      <c r="AF13" s="220"/>
      <c r="AG13" s="220"/>
      <c r="AH13" s="220"/>
      <c r="AI13" s="220"/>
      <c r="AJ13" s="220"/>
      <c r="AK13" s="220"/>
      <c r="AL13" s="220"/>
    </row>
    <row r="14" spans="1:38" ht="11.25" customHeight="1">
      <c r="A14" s="77"/>
      <c r="C14" s="687" t="s">
        <v>137</v>
      </c>
      <c r="D14" s="688">
        <v>240.25900268554599</v>
      </c>
      <c r="E14" s="689">
        <v>222.56899999999999</v>
      </c>
      <c r="F14" s="690">
        <f t="shared" si="0"/>
        <v>7.9480982012526485E-2</v>
      </c>
      <c r="G14" s="137"/>
      <c r="H14" s="280"/>
      <c r="M14" s="356">
        <v>3</v>
      </c>
      <c r="N14" s="357">
        <v>140.53</v>
      </c>
      <c r="O14" s="357">
        <v>98.74</v>
      </c>
      <c r="P14" s="357">
        <v>106.08699799999999</v>
      </c>
      <c r="Q14" s="713">
        <v>117.6</v>
      </c>
      <c r="R14" s="354"/>
      <c r="S14" s="354"/>
      <c r="T14" s="354"/>
      <c r="AD14" s="354"/>
      <c r="AE14" s="354"/>
      <c r="AF14" s="220"/>
      <c r="AG14" s="220"/>
      <c r="AH14" s="220"/>
      <c r="AI14" s="220"/>
      <c r="AJ14" s="220"/>
      <c r="AK14" s="220"/>
      <c r="AL14" s="220"/>
    </row>
    <row r="15" spans="1:38" ht="11.25" customHeight="1">
      <c r="A15" s="77"/>
      <c r="C15" s="691" t="s">
        <v>138</v>
      </c>
      <c r="D15" s="692">
        <v>29.597999572753899</v>
      </c>
      <c r="E15" s="693">
        <v>11.19999</v>
      </c>
      <c r="F15" s="694">
        <f t="shared" si="0"/>
        <v>1.6426808928181096</v>
      </c>
      <c r="G15" s="137"/>
      <c r="H15" s="280"/>
      <c r="M15" s="356">
        <v>4</v>
      </c>
      <c r="N15" s="357">
        <v>137.43800000000002</v>
      </c>
      <c r="O15" s="357">
        <v>98.74</v>
      </c>
      <c r="P15" s="357">
        <v>112.7200012</v>
      </c>
      <c r="Q15" s="713">
        <v>128.32000729999999</v>
      </c>
      <c r="R15" s="354"/>
      <c r="S15" s="354"/>
      <c r="T15" s="354"/>
      <c r="AD15" s="354"/>
      <c r="AE15" s="354"/>
      <c r="AF15" s="220"/>
      <c r="AG15" s="220"/>
      <c r="AH15" s="220"/>
      <c r="AI15" s="220"/>
      <c r="AJ15" s="220"/>
      <c r="AK15" s="220"/>
      <c r="AL15" s="220"/>
    </row>
    <row r="16" spans="1:38" ht="11.25" customHeight="1">
      <c r="A16" s="77"/>
      <c r="C16" s="687" t="s">
        <v>139</v>
      </c>
      <c r="D16" s="688">
        <v>292.489013671875</v>
      </c>
      <c r="E16" s="689">
        <v>249.13</v>
      </c>
      <c r="F16" s="690">
        <f t="shared" si="0"/>
        <v>0.17404171987265687</v>
      </c>
      <c r="G16" s="137"/>
      <c r="H16" s="280"/>
      <c r="M16" s="356">
        <v>5</v>
      </c>
      <c r="N16" s="357">
        <v>137.43800000000002</v>
      </c>
      <c r="O16" s="357">
        <v>125.15</v>
      </c>
      <c r="P16" s="357">
        <v>122.3190002</v>
      </c>
      <c r="Q16" s="354">
        <v>139.2400055</v>
      </c>
      <c r="R16" s="354"/>
      <c r="S16" s="354"/>
      <c r="T16" s="354"/>
      <c r="AD16" s="354"/>
      <c r="AE16" s="354"/>
      <c r="AF16" s="220"/>
      <c r="AG16" s="220"/>
      <c r="AH16" s="220"/>
      <c r="AI16" s="220"/>
      <c r="AJ16" s="220"/>
      <c r="AK16" s="220"/>
      <c r="AL16" s="220"/>
    </row>
    <row r="17" spans="1:38" ht="11.25" customHeight="1">
      <c r="A17" s="77"/>
      <c r="C17" s="691" t="s">
        <v>140</v>
      </c>
      <c r="D17" s="692">
        <v>140.77999877929599</v>
      </c>
      <c r="E17" s="693">
        <v>126.88</v>
      </c>
      <c r="F17" s="694">
        <f t="shared" si="0"/>
        <v>0.10955232329205548</v>
      </c>
      <c r="G17" s="137"/>
      <c r="H17" s="280"/>
      <c r="M17" s="356">
        <v>6</v>
      </c>
      <c r="N17" s="357">
        <v>137.43800000000002</v>
      </c>
      <c r="O17" s="357">
        <v>125.15</v>
      </c>
      <c r="P17" s="357">
        <v>126.1559982</v>
      </c>
      <c r="Q17" s="354">
        <v>150.94</v>
      </c>
      <c r="R17" s="354"/>
      <c r="S17" s="354"/>
      <c r="T17" s="354"/>
      <c r="AD17" s="354"/>
      <c r="AE17" s="354"/>
      <c r="AF17" s="220"/>
      <c r="AG17" s="220"/>
      <c r="AH17" s="220"/>
      <c r="AI17" s="220"/>
      <c r="AJ17" s="220"/>
      <c r="AK17" s="220"/>
      <c r="AL17" s="220"/>
    </row>
    <row r="18" spans="1:38" ht="11.25" customHeight="1">
      <c r="A18" s="77"/>
      <c r="C18" s="687" t="s">
        <v>141</v>
      </c>
      <c r="D18" s="688">
        <v>13.8210000991821</v>
      </c>
      <c r="E18" s="689">
        <v>14.64</v>
      </c>
      <c r="F18" s="690">
        <f t="shared" si="0"/>
        <v>-5.594261617608607E-2</v>
      </c>
      <c r="G18" s="137"/>
      <c r="H18" s="280"/>
      <c r="M18" s="356">
        <v>7</v>
      </c>
      <c r="N18" s="357">
        <v>151.05499267578099</v>
      </c>
      <c r="O18" s="357">
        <v>142.99</v>
      </c>
      <c r="P18" s="357">
        <v>142.9900055</v>
      </c>
      <c r="Q18" s="354">
        <v>162.4909973</v>
      </c>
      <c r="R18" s="354"/>
      <c r="S18" s="354"/>
      <c r="T18" s="354"/>
      <c r="AD18" s="354"/>
      <c r="AE18" s="354"/>
      <c r="AF18" s="220"/>
      <c r="AG18" s="220"/>
      <c r="AH18" s="220"/>
      <c r="AI18" s="220"/>
      <c r="AJ18" s="220"/>
      <c r="AK18" s="220"/>
      <c r="AL18" s="220"/>
    </row>
    <row r="19" spans="1:38" ht="12.75" customHeight="1">
      <c r="A19" s="77"/>
      <c r="C19" s="691" t="s">
        <v>142</v>
      </c>
      <c r="D19" s="692">
        <v>57.252998352050703</v>
      </c>
      <c r="E19" s="693">
        <v>36.450000000000003</v>
      </c>
      <c r="F19" s="694">
        <f t="shared" si="0"/>
        <v>0.5707269781083868</v>
      </c>
      <c r="G19" s="137"/>
      <c r="H19" s="280"/>
      <c r="M19" s="356">
        <v>8</v>
      </c>
      <c r="N19" s="357">
        <v>151.05499267578099</v>
      </c>
      <c r="O19" s="357">
        <v>142.99</v>
      </c>
      <c r="P19" s="357">
        <v>134.13600159999999</v>
      </c>
      <c r="Q19" s="354">
        <v>169.03700259999999</v>
      </c>
      <c r="R19" s="354"/>
      <c r="S19" s="354"/>
      <c r="T19" s="354"/>
      <c r="AD19" s="354"/>
      <c r="AE19" s="354"/>
      <c r="AF19" s="220"/>
      <c r="AG19" s="220"/>
      <c r="AH19" s="220"/>
      <c r="AI19" s="220"/>
      <c r="AJ19" s="220"/>
      <c r="AK19" s="220"/>
      <c r="AL19" s="220"/>
    </row>
    <row r="20" spans="1:38" ht="13.5" customHeight="1">
      <c r="A20" s="77"/>
      <c r="C20" s="687" t="s">
        <v>143</v>
      </c>
      <c r="D20" s="688">
        <v>11.008999824523899</v>
      </c>
      <c r="E20" s="689">
        <v>22.692</v>
      </c>
      <c r="F20" s="690">
        <f t="shared" si="0"/>
        <v>-0.51485105656073071</v>
      </c>
      <c r="G20" s="137"/>
      <c r="H20" s="280"/>
      <c r="M20" s="356">
        <v>9</v>
      </c>
      <c r="N20" s="357">
        <v>165.00500489999999</v>
      </c>
      <c r="O20" s="357">
        <v>159.53</v>
      </c>
      <c r="P20" s="357">
        <v>153.34500120000001</v>
      </c>
      <c r="Q20" s="354">
        <v>182.64300539999999</v>
      </c>
      <c r="R20" s="354"/>
      <c r="S20" s="354"/>
      <c r="T20" s="354"/>
      <c r="AD20" s="354"/>
      <c r="AE20" s="354"/>
      <c r="AF20" s="220"/>
      <c r="AG20" s="220"/>
      <c r="AH20" s="220"/>
      <c r="AI20" s="220"/>
      <c r="AJ20" s="220"/>
      <c r="AK20" s="220"/>
      <c r="AL20" s="220"/>
    </row>
    <row r="21" spans="1:38" ht="11.25" customHeight="1">
      <c r="A21" s="77"/>
      <c r="C21" s="687" t="s">
        <v>144</v>
      </c>
      <c r="D21" s="688">
        <v>3.58100008964538</v>
      </c>
      <c r="E21" s="689">
        <v>5.2690000000000001</v>
      </c>
      <c r="F21" s="690">
        <f t="shared" ref="F21:F27" si="1">IF(E21=0,"",(D21-E21)/E21)</f>
        <v>-0.32036437850723481</v>
      </c>
      <c r="M21" s="356">
        <v>10</v>
      </c>
      <c r="N21" s="357">
        <v>165.00500489999999</v>
      </c>
      <c r="O21" s="357">
        <v>159.53</v>
      </c>
      <c r="P21" s="357">
        <v>153.0590057</v>
      </c>
      <c r="Q21" s="354"/>
      <c r="R21" s="354"/>
      <c r="S21" s="354"/>
      <c r="T21" s="354"/>
      <c r="AD21" s="354"/>
      <c r="AE21" s="354"/>
      <c r="AF21" s="220"/>
      <c r="AG21" s="220"/>
      <c r="AH21" s="220"/>
      <c r="AI21" s="220"/>
      <c r="AJ21" s="220"/>
      <c r="AK21" s="220"/>
      <c r="AL21" s="220"/>
    </row>
    <row r="22" spans="1:38" ht="11.25" customHeight="1">
      <c r="A22" s="77"/>
      <c r="C22" s="691" t="s">
        <v>145</v>
      </c>
      <c r="D22" s="692">
        <v>5.2979998588562003</v>
      </c>
      <c r="E22" s="693">
        <v>8.9949999999999992</v>
      </c>
      <c r="F22" s="694">
        <f t="shared" si="1"/>
        <v>-0.41100613019942184</v>
      </c>
      <c r="G22" s="137"/>
      <c r="H22" s="280"/>
      <c r="M22" s="356">
        <v>11</v>
      </c>
      <c r="N22" s="357">
        <v>186.45199584960901</v>
      </c>
      <c r="O22" s="357">
        <v>184.94</v>
      </c>
      <c r="P22" s="357">
        <v>162.93200680000001</v>
      </c>
      <c r="AF22" s="281"/>
      <c r="AG22" s="281"/>
      <c r="AH22" s="281"/>
      <c r="AI22" s="281"/>
      <c r="AJ22" s="281"/>
      <c r="AK22" s="281"/>
      <c r="AL22" s="281"/>
    </row>
    <row r="23" spans="1:38" ht="11.25" customHeight="1">
      <c r="A23" s="77"/>
      <c r="C23" s="687" t="s">
        <v>510</v>
      </c>
      <c r="D23" s="688">
        <v>0.53399997949600198</v>
      </c>
      <c r="E23" s="689">
        <v>11.071</v>
      </c>
      <c r="F23" s="690">
        <f t="shared" si="1"/>
        <v>-0.95176587666010282</v>
      </c>
      <c r="G23" s="137"/>
      <c r="H23" s="280"/>
      <c r="M23" s="356">
        <v>12</v>
      </c>
      <c r="N23" s="357">
        <v>186.45199584960901</v>
      </c>
      <c r="O23" s="357">
        <v>184.94</v>
      </c>
      <c r="P23" s="357">
        <v>172.76199339999999</v>
      </c>
      <c r="AF23" s="281"/>
      <c r="AG23" s="281"/>
      <c r="AH23" s="281"/>
      <c r="AI23" s="281"/>
      <c r="AJ23" s="281"/>
      <c r="AK23" s="281"/>
      <c r="AL23" s="281"/>
    </row>
    <row r="24" spans="1:38" ht="11.25" customHeight="1">
      <c r="A24" s="77"/>
      <c r="C24" s="691" t="s">
        <v>146</v>
      </c>
      <c r="D24" s="692">
        <v>182.64300537109301</v>
      </c>
      <c r="E24" s="693">
        <v>159.52600000000001</v>
      </c>
      <c r="F24" s="694">
        <f t="shared" si="1"/>
        <v>0.14491058116603561</v>
      </c>
      <c r="G24" s="137"/>
      <c r="H24" s="280"/>
      <c r="M24" s="356">
        <v>13</v>
      </c>
      <c r="N24" s="357">
        <v>195.64999389648401</v>
      </c>
      <c r="O24" s="357">
        <v>203.73</v>
      </c>
      <c r="P24" s="357">
        <v>182.13900760000001</v>
      </c>
      <c r="AF24" s="281"/>
      <c r="AG24" s="281"/>
      <c r="AH24" s="281"/>
      <c r="AI24" s="281"/>
      <c r="AJ24" s="281"/>
      <c r="AK24" s="281"/>
      <c r="AL24" s="281"/>
    </row>
    <row r="25" spans="1:38" ht="11.25" customHeight="1">
      <c r="A25" s="77"/>
      <c r="C25" s="687" t="s">
        <v>147</v>
      </c>
      <c r="D25" s="688">
        <v>30.246999740600501</v>
      </c>
      <c r="E25" s="689">
        <v>35.874000000000002</v>
      </c>
      <c r="F25" s="690">
        <f t="shared" si="1"/>
        <v>-0.15685455369904391</v>
      </c>
      <c r="G25" s="137"/>
      <c r="H25" s="280"/>
      <c r="M25" s="356">
        <v>14</v>
      </c>
      <c r="N25" s="357">
        <v>195.64999389648401</v>
      </c>
      <c r="O25" s="357">
        <v>203.73</v>
      </c>
      <c r="P25" s="357">
        <v>191.4750061</v>
      </c>
      <c r="AF25" s="281"/>
      <c r="AG25" s="281"/>
      <c r="AH25" s="281"/>
      <c r="AI25" s="281"/>
      <c r="AJ25" s="281"/>
      <c r="AK25" s="281"/>
      <c r="AL25" s="281"/>
    </row>
    <row r="26" spans="1:38" ht="11.25" customHeight="1">
      <c r="A26" s="77"/>
      <c r="C26" s="691" t="s">
        <v>148</v>
      </c>
      <c r="D26" s="692">
        <v>43.170999999999999</v>
      </c>
      <c r="E26" s="693">
        <v>52.351999999999997</v>
      </c>
      <c r="F26" s="694">
        <f t="shared" si="1"/>
        <v>-0.17537056845965765</v>
      </c>
      <c r="G26" s="137"/>
      <c r="H26" s="137"/>
      <c r="M26" s="356">
        <v>15</v>
      </c>
      <c r="N26" s="357">
        <v>201.93600463867099</v>
      </c>
      <c r="O26" s="357">
        <v>203.73</v>
      </c>
      <c r="P26" s="357">
        <v>198.43899540000001</v>
      </c>
      <c r="AF26" s="281"/>
      <c r="AG26" s="281"/>
      <c r="AH26" s="281"/>
      <c r="AI26" s="281"/>
      <c r="AJ26" s="281"/>
      <c r="AK26" s="281"/>
      <c r="AL26" s="281"/>
    </row>
    <row r="27" spans="1:38" ht="11.25" customHeight="1">
      <c r="A27" s="77"/>
      <c r="C27" s="695" t="s">
        <v>149</v>
      </c>
      <c r="D27" s="696">
        <v>112.09700012207</v>
      </c>
      <c r="E27" s="697">
        <v>202.80799999999999</v>
      </c>
      <c r="F27" s="698">
        <f t="shared" si="1"/>
        <v>-0.44727525481208824</v>
      </c>
      <c r="G27" s="137"/>
      <c r="H27" s="137"/>
      <c r="M27" s="356">
        <v>16</v>
      </c>
      <c r="N27" s="357">
        <v>201.93600463867099</v>
      </c>
      <c r="O27" s="357">
        <v>222.8</v>
      </c>
      <c r="P27" s="357">
        <v>201.52999879999999</v>
      </c>
      <c r="AF27" s="281"/>
      <c r="AG27" s="281"/>
      <c r="AH27" s="281"/>
      <c r="AI27" s="281"/>
      <c r="AJ27" s="281"/>
      <c r="AK27" s="281"/>
      <c r="AL27" s="281"/>
    </row>
    <row r="28" spans="1:38" ht="26.25" customHeight="1">
      <c r="A28" s="77"/>
      <c r="C28" s="936" t="str">
        <f>"Cuadro N°9: Volúmen útil de los principales embalses y lagunas del SEIN al término del periodo mensual ("&amp;'1. Resumen'!Q7&amp;" de "&amp;'1. Resumen'!Q4&amp;") "</f>
        <v xml:space="preserve">Cuadro N°9: Volúmen útil de los principales embalses y lagunas del SEIN al término del periodo mensual (28 de febrero) </v>
      </c>
      <c r="D28" s="936"/>
      <c r="E28" s="936"/>
      <c r="F28" s="936"/>
      <c r="G28" s="137"/>
      <c r="H28" s="137"/>
      <c r="M28" s="356">
        <v>17</v>
      </c>
      <c r="N28" s="357">
        <v>201.93600463867099</v>
      </c>
      <c r="O28" s="357">
        <v>222.8</v>
      </c>
      <c r="P28" s="357">
        <v>206.03700259999999</v>
      </c>
      <c r="AF28" s="281"/>
      <c r="AG28" s="281"/>
      <c r="AH28" s="281"/>
      <c r="AI28" s="281"/>
      <c r="AJ28" s="281"/>
      <c r="AK28" s="281"/>
      <c r="AL28" s="281"/>
    </row>
    <row r="29" spans="1:38" ht="12" customHeight="1">
      <c r="A29" s="75"/>
      <c r="G29" s="137"/>
      <c r="H29" s="137"/>
      <c r="I29" s="168"/>
      <c r="J29" s="358"/>
      <c r="M29" s="356">
        <v>18</v>
      </c>
      <c r="N29" s="357">
        <v>207.58900451660099</v>
      </c>
      <c r="O29" s="357">
        <v>225.58</v>
      </c>
      <c r="P29" s="357">
        <v>213.67399599999999</v>
      </c>
      <c r="AF29" s="281"/>
      <c r="AG29" s="281"/>
      <c r="AH29" s="281"/>
      <c r="AI29" s="281"/>
      <c r="AJ29" s="281"/>
      <c r="AK29" s="281"/>
      <c r="AL29" s="281"/>
    </row>
    <row r="30" spans="1:38" ht="11.25" customHeight="1">
      <c r="A30" s="75"/>
      <c r="B30" s="174"/>
      <c r="C30" s="174"/>
      <c r="D30" s="174"/>
      <c r="E30" s="174"/>
      <c r="F30" s="172"/>
      <c r="G30" s="137"/>
      <c r="H30" s="137"/>
      <c r="M30" s="356">
        <v>19</v>
      </c>
      <c r="N30" s="357">
        <v>207.58900451660099</v>
      </c>
      <c r="O30" s="357">
        <v>225.58</v>
      </c>
      <c r="P30" s="357">
        <v>216.75700380000001</v>
      </c>
      <c r="AF30" s="281"/>
      <c r="AG30" s="281"/>
      <c r="AH30" s="281"/>
      <c r="AI30" s="281"/>
      <c r="AJ30" s="281"/>
      <c r="AK30" s="281"/>
      <c r="AL30" s="281"/>
    </row>
    <row r="31" spans="1:38" ht="11.25" customHeight="1">
      <c r="A31" s="75"/>
      <c r="B31" s="174"/>
      <c r="C31" s="174"/>
      <c r="D31" s="174"/>
      <c r="E31" s="174"/>
      <c r="F31" s="172"/>
      <c r="G31" s="172"/>
      <c r="H31" s="172"/>
      <c r="I31" s="168"/>
      <c r="J31" s="358"/>
      <c r="M31" s="356">
        <v>20</v>
      </c>
      <c r="N31" s="357">
        <v>205.7</v>
      </c>
      <c r="O31" s="357">
        <v>226.61</v>
      </c>
      <c r="P31" s="357">
        <v>217.29400630000001</v>
      </c>
      <c r="AF31" s="281"/>
      <c r="AG31" s="281"/>
      <c r="AH31" s="281"/>
      <c r="AI31" s="281"/>
      <c r="AJ31" s="281"/>
      <c r="AK31" s="281"/>
      <c r="AL31" s="281"/>
    </row>
    <row r="32" spans="1:38" ht="11.25" customHeight="1">
      <c r="A32" s="935" t="s">
        <v>456</v>
      </c>
      <c r="B32" s="935"/>
      <c r="C32" s="935"/>
      <c r="D32" s="935"/>
      <c r="E32" s="935"/>
      <c r="F32" s="935"/>
      <c r="G32" s="935"/>
      <c r="H32" s="935"/>
      <c r="I32" s="56"/>
      <c r="J32" s="358"/>
      <c r="M32" s="356">
        <v>21</v>
      </c>
      <c r="N32" s="357">
        <v>205.7</v>
      </c>
      <c r="O32" s="357">
        <v>226.61</v>
      </c>
      <c r="P32" s="357">
        <v>218.3190002</v>
      </c>
      <c r="AF32" s="281"/>
      <c r="AG32" s="281"/>
      <c r="AH32" s="281"/>
      <c r="AI32" s="281"/>
      <c r="AJ32" s="281"/>
      <c r="AK32" s="281"/>
      <c r="AL32" s="281"/>
    </row>
    <row r="33" spans="1:38" ht="11.25" customHeight="1">
      <c r="A33" s="75"/>
      <c r="B33" s="82"/>
      <c r="C33" s="82"/>
      <c r="D33" s="82"/>
      <c r="E33" s="82"/>
      <c r="F33" s="82"/>
      <c r="G33" s="82"/>
      <c r="H33" s="82"/>
      <c r="I33" s="56"/>
      <c r="J33" s="358"/>
      <c r="M33" s="356">
        <v>22</v>
      </c>
      <c r="N33" s="357">
        <v>204.65</v>
      </c>
      <c r="O33" s="357">
        <v>227.42</v>
      </c>
      <c r="P33" s="357">
        <v>218.79899599999999</v>
      </c>
      <c r="AF33" s="281"/>
      <c r="AG33" s="281"/>
      <c r="AH33" s="281"/>
      <c r="AI33" s="281"/>
      <c r="AJ33" s="281"/>
      <c r="AK33" s="281"/>
      <c r="AL33" s="281"/>
    </row>
    <row r="34" spans="1:38" ht="11.25" customHeight="1">
      <c r="A34" s="75"/>
      <c r="B34" s="82"/>
      <c r="C34" s="82"/>
      <c r="D34" s="82"/>
      <c r="E34" s="82"/>
      <c r="F34" s="82"/>
      <c r="G34" s="82"/>
      <c r="H34" s="82"/>
      <c r="I34" s="56"/>
      <c r="J34" s="358"/>
      <c r="M34" s="356">
        <v>23</v>
      </c>
      <c r="N34" s="357">
        <v>204.65</v>
      </c>
      <c r="O34" s="357">
        <v>227.42</v>
      </c>
      <c r="P34" s="357">
        <v>217.8880005</v>
      </c>
      <c r="AF34" s="281"/>
      <c r="AG34" s="281"/>
      <c r="AH34" s="281"/>
      <c r="AI34" s="281"/>
      <c r="AJ34" s="281"/>
      <c r="AK34" s="281"/>
      <c r="AL34" s="281"/>
    </row>
    <row r="35" spans="1:38" ht="11.25" customHeight="1">
      <c r="A35" s="75"/>
      <c r="B35" s="82"/>
      <c r="C35" s="82"/>
      <c r="D35" s="82"/>
      <c r="E35" s="82"/>
      <c r="F35" s="82"/>
      <c r="G35" s="82"/>
      <c r="H35" s="82"/>
      <c r="I35" s="169"/>
      <c r="J35" s="358"/>
      <c r="M35" s="356">
        <v>24</v>
      </c>
      <c r="N35" s="357">
        <v>200.38</v>
      </c>
      <c r="O35" s="357">
        <v>227.45</v>
      </c>
      <c r="P35" s="357">
        <v>216.04899599999999</v>
      </c>
      <c r="AF35" s="281"/>
      <c r="AG35" s="281"/>
      <c r="AH35" s="281"/>
      <c r="AI35" s="281"/>
      <c r="AJ35" s="281"/>
      <c r="AK35" s="281"/>
      <c r="AL35" s="281"/>
    </row>
    <row r="36" spans="1:38" ht="11.25" customHeight="1">
      <c r="A36" s="75"/>
      <c r="B36" s="82"/>
      <c r="C36" s="82"/>
      <c r="D36" s="82"/>
      <c r="E36" s="82"/>
      <c r="F36" s="82"/>
      <c r="G36" s="82"/>
      <c r="H36" s="82"/>
      <c r="I36" s="56"/>
      <c r="J36" s="358"/>
      <c r="M36" s="356">
        <v>25</v>
      </c>
      <c r="N36" s="357">
        <v>200.38</v>
      </c>
      <c r="O36" s="357">
        <v>227.45</v>
      </c>
      <c r="P36" s="357">
        <v>212.24600219999999</v>
      </c>
      <c r="AF36" s="281"/>
      <c r="AG36" s="281"/>
      <c r="AH36" s="281"/>
      <c r="AI36" s="281"/>
      <c r="AJ36" s="281"/>
      <c r="AK36" s="281"/>
      <c r="AL36" s="281"/>
    </row>
    <row r="37" spans="1:38" ht="11.25" customHeight="1">
      <c r="A37" s="75"/>
      <c r="B37" s="82"/>
      <c r="C37" s="82"/>
      <c r="D37" s="82"/>
      <c r="E37" s="82"/>
      <c r="F37" s="82"/>
      <c r="G37" s="82"/>
      <c r="H37" s="82"/>
      <c r="I37" s="56"/>
      <c r="J37" s="359"/>
      <c r="M37" s="356">
        <v>26</v>
      </c>
      <c r="N37" s="357">
        <v>193.55099487304599</v>
      </c>
      <c r="O37" s="357">
        <v>225.56</v>
      </c>
      <c r="P37" s="357">
        <v>210.22099299999999</v>
      </c>
      <c r="AF37" s="281"/>
      <c r="AG37" s="281"/>
      <c r="AH37" s="281"/>
      <c r="AI37" s="281"/>
      <c r="AJ37" s="281"/>
      <c r="AK37" s="281"/>
      <c r="AL37" s="281"/>
    </row>
    <row r="38" spans="1:38" ht="11.25" customHeight="1">
      <c r="A38" s="75"/>
      <c r="B38" s="82"/>
      <c r="C38" s="82"/>
      <c r="D38" s="82"/>
      <c r="E38" s="82"/>
      <c r="F38" s="82"/>
      <c r="G38" s="82"/>
      <c r="H38" s="82"/>
      <c r="I38" s="56"/>
      <c r="J38" s="359"/>
      <c r="M38" s="356">
        <v>27</v>
      </c>
      <c r="N38" s="357">
        <v>193.55099487304599</v>
      </c>
      <c r="O38" s="357">
        <v>225.56</v>
      </c>
      <c r="P38" s="357">
        <v>209.85200499999999</v>
      </c>
      <c r="AF38" s="281"/>
      <c r="AG38" s="281"/>
      <c r="AH38" s="281"/>
      <c r="AI38" s="281"/>
      <c r="AJ38" s="281"/>
      <c r="AK38" s="281"/>
      <c r="AL38" s="281"/>
    </row>
    <row r="39" spans="1:38" ht="11.25" customHeight="1">
      <c r="A39" s="75"/>
      <c r="B39" s="82"/>
      <c r="C39" s="82"/>
      <c r="D39" s="82"/>
      <c r="E39" s="82"/>
      <c r="F39" s="82"/>
      <c r="G39" s="82"/>
      <c r="H39" s="82"/>
      <c r="I39" s="56"/>
      <c r="J39" s="360"/>
      <c r="M39" s="356">
        <v>28</v>
      </c>
      <c r="N39" s="357">
        <v>186.01199339999999</v>
      </c>
      <c r="O39" s="361">
        <v>225.56</v>
      </c>
      <c r="P39" s="361">
        <v>203.92900090000001</v>
      </c>
      <c r="AF39" s="281"/>
      <c r="AG39" s="281"/>
      <c r="AH39" s="281"/>
      <c r="AI39" s="281"/>
      <c r="AJ39" s="281"/>
      <c r="AK39" s="281"/>
      <c r="AL39" s="281"/>
    </row>
    <row r="40" spans="1:38" ht="11.25" customHeight="1">
      <c r="A40" s="75"/>
      <c r="B40" s="82"/>
      <c r="C40" s="82"/>
      <c r="D40" s="82"/>
      <c r="E40" s="82"/>
      <c r="F40" s="82"/>
      <c r="G40" s="82"/>
      <c r="H40" s="82"/>
      <c r="I40" s="56"/>
      <c r="J40" s="360"/>
      <c r="M40" s="356">
        <v>29</v>
      </c>
      <c r="N40" s="357">
        <v>186.01199339999999</v>
      </c>
      <c r="O40" s="357">
        <v>222.04</v>
      </c>
      <c r="P40" s="357">
        <v>200.56300350000001</v>
      </c>
      <c r="AF40" s="281"/>
      <c r="AG40" s="281"/>
      <c r="AH40" s="281"/>
      <c r="AI40" s="281"/>
      <c r="AJ40" s="281"/>
      <c r="AK40" s="281"/>
      <c r="AL40" s="281"/>
    </row>
    <row r="41" spans="1:38" ht="11.25" customHeight="1">
      <c r="A41" s="75"/>
      <c r="B41" s="82"/>
      <c r="C41" s="82"/>
      <c r="D41" s="82"/>
      <c r="E41" s="82"/>
      <c r="F41" s="82"/>
      <c r="G41" s="82"/>
      <c r="H41" s="82"/>
      <c r="I41" s="56"/>
      <c r="J41" s="360"/>
      <c r="M41" s="356">
        <v>30</v>
      </c>
      <c r="N41" s="357">
        <v>186.01199339999999</v>
      </c>
      <c r="O41" s="357">
        <v>222.04</v>
      </c>
      <c r="P41" s="357">
        <v>194.94900509999999</v>
      </c>
      <c r="AF41" s="281"/>
      <c r="AG41" s="281"/>
      <c r="AH41" s="281"/>
      <c r="AI41" s="281"/>
      <c r="AJ41" s="281"/>
      <c r="AK41" s="281"/>
      <c r="AL41" s="281"/>
    </row>
    <row r="42" spans="1:38" ht="11.25" customHeight="1">
      <c r="A42" s="75"/>
      <c r="B42" s="82"/>
      <c r="C42" s="82"/>
      <c r="D42" s="82"/>
      <c r="E42" s="82"/>
      <c r="F42" s="82"/>
      <c r="G42" s="82"/>
      <c r="H42" s="82"/>
      <c r="I42" s="169"/>
      <c r="J42" s="359"/>
      <c r="M42" s="356">
        <v>31</v>
      </c>
      <c r="N42" s="357">
        <v>178.58200070000001</v>
      </c>
      <c r="O42" s="357">
        <v>213.13</v>
      </c>
      <c r="P42" s="357">
        <v>188.386</v>
      </c>
      <c r="AF42" s="281"/>
      <c r="AG42" s="281"/>
      <c r="AH42" s="281"/>
      <c r="AI42" s="281"/>
      <c r="AJ42" s="281"/>
      <c r="AK42" s="281"/>
      <c r="AL42" s="281"/>
    </row>
    <row r="43" spans="1:38" ht="11.25" customHeight="1">
      <c r="A43" s="75"/>
      <c r="B43" s="82"/>
      <c r="C43" s="82"/>
      <c r="D43" s="82"/>
      <c r="E43" s="82"/>
      <c r="F43" s="82"/>
      <c r="G43" s="82"/>
      <c r="H43" s="82"/>
      <c r="I43" s="56"/>
      <c r="J43" s="359"/>
      <c r="M43" s="356">
        <v>32</v>
      </c>
      <c r="N43" s="357">
        <v>178.58200070000001</v>
      </c>
      <c r="O43" s="357">
        <v>213.13</v>
      </c>
      <c r="P43" s="357">
        <v>184.72900390000001</v>
      </c>
      <c r="AF43" s="281"/>
      <c r="AG43" s="281"/>
      <c r="AH43" s="281"/>
      <c r="AI43" s="281"/>
      <c r="AJ43" s="281"/>
      <c r="AK43" s="281"/>
      <c r="AL43" s="281"/>
    </row>
    <row r="44" spans="1:38" ht="11.25" customHeight="1">
      <c r="A44" s="75"/>
      <c r="B44" s="82"/>
      <c r="C44" s="82"/>
      <c r="D44" s="82"/>
      <c r="E44" s="82"/>
      <c r="F44" s="82"/>
      <c r="G44" s="82"/>
      <c r="H44" s="82"/>
      <c r="I44" s="56"/>
      <c r="J44" s="359"/>
      <c r="M44" s="356">
        <v>33</v>
      </c>
      <c r="N44" s="357">
        <v>169.01100159999999</v>
      </c>
      <c r="O44" s="357">
        <v>205.97</v>
      </c>
      <c r="P44" s="357">
        <v>178.8809967</v>
      </c>
      <c r="AF44" s="281"/>
      <c r="AG44" s="281"/>
      <c r="AH44" s="281"/>
      <c r="AI44" s="281"/>
      <c r="AJ44" s="281"/>
      <c r="AK44" s="281"/>
      <c r="AL44" s="281"/>
    </row>
    <row r="45" spans="1:38" ht="11.25" customHeight="1">
      <c r="A45" s="75"/>
      <c r="B45" s="82"/>
      <c r="C45" s="82"/>
      <c r="D45" s="82"/>
      <c r="E45" s="82"/>
      <c r="F45" s="82"/>
      <c r="G45" s="82"/>
      <c r="H45" s="82"/>
      <c r="I45" s="59"/>
      <c r="J45" s="362"/>
      <c r="M45" s="356">
        <v>34</v>
      </c>
      <c r="N45" s="357">
        <v>169.01100159999999</v>
      </c>
      <c r="O45" s="357">
        <v>199.49</v>
      </c>
      <c r="P45" s="357">
        <v>176.98599239999999</v>
      </c>
      <c r="AF45" s="281"/>
      <c r="AG45" s="281"/>
      <c r="AH45" s="281"/>
      <c r="AI45" s="281"/>
      <c r="AJ45" s="281"/>
      <c r="AK45" s="281"/>
      <c r="AL45" s="281"/>
    </row>
    <row r="46" spans="1:38" ht="11.25" customHeight="1">
      <c r="A46" s="75"/>
      <c r="B46" s="82"/>
      <c r="C46" s="82"/>
      <c r="D46" s="82"/>
      <c r="E46" s="82"/>
      <c r="F46" s="82"/>
      <c r="G46" s="82"/>
      <c r="H46" s="82"/>
      <c r="I46" s="59"/>
      <c r="J46" s="362"/>
      <c r="M46" s="356">
        <v>35</v>
      </c>
      <c r="N46" s="363">
        <v>158.09199523925699</v>
      </c>
      <c r="O46" s="357">
        <v>193.4</v>
      </c>
      <c r="P46" s="357">
        <v>173.36999510000001</v>
      </c>
      <c r="AF46" s="281"/>
      <c r="AG46" s="281"/>
      <c r="AH46" s="281"/>
      <c r="AI46" s="281"/>
      <c r="AJ46" s="281"/>
      <c r="AK46" s="281"/>
      <c r="AL46" s="281"/>
    </row>
    <row r="47" spans="1:38" ht="11.25" customHeight="1">
      <c r="A47" s="75"/>
      <c r="B47" s="82"/>
      <c r="C47" s="82"/>
      <c r="D47" s="82"/>
      <c r="E47" s="82"/>
      <c r="F47" s="82"/>
      <c r="G47" s="82"/>
      <c r="H47" s="82"/>
      <c r="I47" s="59"/>
      <c r="J47" s="362"/>
      <c r="M47" s="356">
        <v>36</v>
      </c>
      <c r="N47" s="363">
        <v>158.09199523925699</v>
      </c>
      <c r="O47" s="357">
        <v>187.93</v>
      </c>
      <c r="P47" s="357">
        <v>167.63</v>
      </c>
      <c r="AF47" s="281"/>
      <c r="AG47" s="281"/>
      <c r="AH47" s="281"/>
      <c r="AI47" s="281"/>
      <c r="AJ47" s="281"/>
      <c r="AK47" s="281"/>
      <c r="AL47" s="281"/>
    </row>
    <row r="48" spans="1:38" ht="11.25" customHeight="1">
      <c r="A48" s="75"/>
      <c r="B48" s="82"/>
      <c r="C48" s="82"/>
      <c r="D48" s="82"/>
      <c r="E48" s="82"/>
      <c r="F48" s="82"/>
      <c r="G48" s="82"/>
      <c r="H48" s="82"/>
      <c r="I48" s="59"/>
      <c r="J48" s="362"/>
      <c r="M48" s="356">
        <v>37</v>
      </c>
      <c r="N48" s="357">
        <v>147.0650024</v>
      </c>
      <c r="O48" s="357">
        <v>182.85</v>
      </c>
      <c r="P48" s="357">
        <v>162.30700680000001</v>
      </c>
      <c r="AF48" s="281"/>
      <c r="AG48" s="281"/>
      <c r="AH48" s="281"/>
      <c r="AI48" s="281"/>
      <c r="AJ48" s="281"/>
      <c r="AK48" s="281"/>
      <c r="AL48" s="281"/>
    </row>
    <row r="49" spans="1:38" ht="11.25" customHeight="1">
      <c r="A49" s="75"/>
      <c r="B49" s="82"/>
      <c r="C49" s="82"/>
      <c r="D49" s="82"/>
      <c r="E49" s="82"/>
      <c r="F49" s="82"/>
      <c r="G49" s="82"/>
      <c r="H49" s="82"/>
      <c r="I49" s="59"/>
      <c r="J49" s="362"/>
      <c r="M49" s="356">
        <v>38</v>
      </c>
      <c r="N49" s="357">
        <v>147.0650024</v>
      </c>
      <c r="O49" s="357">
        <v>179.77</v>
      </c>
      <c r="P49" s="357">
        <v>159.02699279999999</v>
      </c>
      <c r="AF49" s="281"/>
      <c r="AG49" s="281"/>
      <c r="AH49" s="281"/>
      <c r="AI49" s="281"/>
      <c r="AJ49" s="281"/>
      <c r="AK49" s="281"/>
      <c r="AL49" s="281"/>
    </row>
    <row r="50" spans="1:38" ht="12.75">
      <c r="A50" s="75"/>
      <c r="B50" s="82"/>
      <c r="C50" s="82"/>
      <c r="D50" s="82"/>
      <c r="E50" s="82"/>
      <c r="F50" s="82"/>
      <c r="G50" s="82"/>
      <c r="H50" s="82"/>
      <c r="I50" s="59"/>
      <c r="J50" s="362"/>
      <c r="M50" s="356">
        <v>39</v>
      </c>
      <c r="N50" s="357">
        <v>139.11000060000001</v>
      </c>
      <c r="O50" s="357">
        <v>173.62</v>
      </c>
      <c r="P50" s="357">
        <v>153.61700440000001</v>
      </c>
      <c r="AF50" s="281"/>
      <c r="AG50" s="281"/>
      <c r="AH50" s="281"/>
      <c r="AI50" s="281"/>
      <c r="AJ50" s="281"/>
      <c r="AK50" s="281"/>
      <c r="AL50" s="281"/>
    </row>
    <row r="51" spans="1:38" ht="12.75">
      <c r="A51" s="75"/>
      <c r="B51" s="82"/>
      <c r="C51" s="82"/>
      <c r="D51" s="82"/>
      <c r="E51" s="82"/>
      <c r="F51" s="82"/>
      <c r="G51" s="82"/>
      <c r="H51" s="82"/>
      <c r="I51" s="59"/>
      <c r="J51" s="362"/>
      <c r="M51" s="356">
        <v>40</v>
      </c>
      <c r="N51" s="357">
        <v>139.11000060000001</v>
      </c>
      <c r="O51" s="357">
        <v>163</v>
      </c>
      <c r="P51" s="357">
        <v>151.72999569999999</v>
      </c>
      <c r="AF51" s="281"/>
      <c r="AG51" s="281"/>
      <c r="AH51" s="281"/>
      <c r="AI51" s="281"/>
      <c r="AJ51" s="281"/>
      <c r="AK51" s="281"/>
      <c r="AL51" s="281"/>
    </row>
    <row r="52" spans="1:38" ht="12.75">
      <c r="A52" s="75"/>
      <c r="B52" s="82"/>
      <c r="C52" s="82"/>
      <c r="D52" s="82"/>
      <c r="E52" s="82"/>
      <c r="F52" s="82"/>
      <c r="G52" s="82"/>
      <c r="H52" s="82"/>
      <c r="I52" s="59"/>
      <c r="J52" s="362"/>
      <c r="M52" s="356">
        <v>41</v>
      </c>
      <c r="N52" s="357">
        <v>139.11000060000001</v>
      </c>
      <c r="O52" s="357">
        <v>156.5</v>
      </c>
      <c r="P52" s="357">
        <v>147.996002197265</v>
      </c>
      <c r="AF52" s="281"/>
      <c r="AG52" s="281"/>
      <c r="AH52" s="281"/>
      <c r="AI52" s="281"/>
      <c r="AJ52" s="281"/>
      <c r="AK52" s="281"/>
      <c r="AL52" s="281"/>
    </row>
    <row r="53" spans="1:38" ht="12.75">
      <c r="A53" s="75"/>
      <c r="B53" s="82"/>
      <c r="C53" s="82"/>
      <c r="D53" s="82"/>
      <c r="E53" s="82"/>
      <c r="F53" s="82"/>
      <c r="G53" s="82"/>
      <c r="H53" s="82"/>
      <c r="I53" s="59"/>
      <c r="J53" s="362"/>
      <c r="M53" s="356">
        <v>42</v>
      </c>
      <c r="N53" s="357">
        <v>128.34500120000001</v>
      </c>
      <c r="O53" s="357">
        <v>152.78</v>
      </c>
      <c r="P53" s="357">
        <v>144.53999328613199</v>
      </c>
      <c r="AF53" s="281"/>
      <c r="AG53" s="281"/>
      <c r="AH53" s="281"/>
      <c r="AI53" s="281"/>
      <c r="AJ53" s="281"/>
      <c r="AK53" s="281"/>
      <c r="AL53" s="281"/>
    </row>
    <row r="54" spans="1:38" ht="12.75">
      <c r="A54" s="75"/>
      <c r="B54" s="82"/>
      <c r="C54" s="82"/>
      <c r="D54" s="82"/>
      <c r="E54" s="82"/>
      <c r="F54" s="82"/>
      <c r="G54" s="82"/>
      <c r="H54" s="82"/>
      <c r="I54" s="59"/>
      <c r="J54" s="362"/>
      <c r="M54" s="356">
        <v>43</v>
      </c>
      <c r="N54" s="357">
        <v>128.34500120000001</v>
      </c>
      <c r="O54" s="357">
        <v>148.63</v>
      </c>
      <c r="P54" s="357">
        <v>143.72300720214801</v>
      </c>
      <c r="AF54" s="281"/>
      <c r="AG54" s="281"/>
      <c r="AH54" s="281"/>
      <c r="AI54" s="281"/>
      <c r="AJ54" s="281"/>
      <c r="AK54" s="281"/>
      <c r="AL54" s="281"/>
    </row>
    <row r="55" spans="1:38" ht="12.75">
      <c r="A55" s="75"/>
      <c r="B55" s="82"/>
      <c r="C55" s="82"/>
      <c r="D55" s="82"/>
      <c r="E55" s="82"/>
      <c r="F55" s="82"/>
      <c r="G55" s="82"/>
      <c r="H55" s="82"/>
      <c r="I55" s="59"/>
      <c r="J55" s="362"/>
      <c r="M55" s="356">
        <v>44</v>
      </c>
      <c r="N55" s="357">
        <v>121.20099639999999</v>
      </c>
      <c r="O55" s="357">
        <v>142.91</v>
      </c>
      <c r="P55" s="357">
        <v>142.33900449999999</v>
      </c>
      <c r="AF55" s="281"/>
      <c r="AG55" s="281"/>
      <c r="AH55" s="281"/>
      <c r="AI55" s="281"/>
      <c r="AJ55" s="281"/>
      <c r="AK55" s="281"/>
      <c r="AL55" s="281"/>
    </row>
    <row r="56" spans="1:38" ht="12.75">
      <c r="A56" s="75"/>
      <c r="B56" s="82"/>
      <c r="C56" s="82"/>
      <c r="D56" s="82"/>
      <c r="E56" s="82"/>
      <c r="F56" s="82"/>
      <c r="G56" s="82"/>
      <c r="H56" s="82"/>
      <c r="I56" s="59"/>
      <c r="J56" s="362"/>
      <c r="M56" s="356">
        <v>45</v>
      </c>
      <c r="N56" s="357">
        <v>121.20099639999999</v>
      </c>
      <c r="O56" s="357">
        <v>137.04</v>
      </c>
      <c r="P56" s="357">
        <v>143.13200380000001</v>
      </c>
      <c r="AF56" s="281"/>
      <c r="AG56" s="281"/>
      <c r="AH56" s="281"/>
      <c r="AI56" s="281"/>
      <c r="AJ56" s="281"/>
      <c r="AK56" s="281"/>
      <c r="AL56" s="281"/>
    </row>
    <row r="57" spans="1:38" ht="12.75">
      <c r="A57" s="75"/>
      <c r="B57" s="82"/>
      <c r="C57" s="82"/>
      <c r="D57" s="82"/>
      <c r="E57" s="82"/>
      <c r="F57" s="82"/>
      <c r="G57" s="82"/>
      <c r="H57" s="82"/>
      <c r="M57" s="356">
        <v>46</v>
      </c>
      <c r="N57" s="357">
        <v>112.1429977</v>
      </c>
      <c r="O57" s="357">
        <v>131.22999999999999</v>
      </c>
      <c r="P57" s="357">
        <v>141.37</v>
      </c>
      <c r="AF57" s="281"/>
      <c r="AG57" s="281"/>
      <c r="AH57" s="281"/>
      <c r="AI57" s="281"/>
      <c r="AJ57" s="281"/>
      <c r="AK57" s="281"/>
      <c r="AL57" s="281"/>
    </row>
    <row r="58" spans="1:38" ht="12.75">
      <c r="A58" s="75"/>
      <c r="B58" s="82"/>
      <c r="C58" s="82"/>
      <c r="D58" s="82"/>
      <c r="E58" s="82"/>
      <c r="F58" s="82"/>
      <c r="G58" s="82"/>
      <c r="H58" s="82"/>
      <c r="M58" s="356">
        <v>47</v>
      </c>
      <c r="N58" s="357">
        <v>112.1429977</v>
      </c>
      <c r="O58" s="357">
        <v>125.5</v>
      </c>
      <c r="P58" s="357">
        <v>140.33900449999999</v>
      </c>
      <c r="AF58" s="281"/>
      <c r="AG58" s="281"/>
      <c r="AH58" s="281"/>
      <c r="AI58" s="281"/>
      <c r="AJ58" s="281"/>
      <c r="AK58" s="281"/>
      <c r="AL58" s="281"/>
    </row>
    <row r="59" spans="1:38" ht="12.75">
      <c r="A59" s="278" t="s">
        <v>574</v>
      </c>
      <c r="B59" s="82"/>
      <c r="C59" s="82"/>
      <c r="D59" s="82"/>
      <c r="E59" s="82"/>
      <c r="F59" s="82"/>
      <c r="G59" s="82"/>
      <c r="H59" s="82"/>
      <c r="M59" s="356">
        <v>48</v>
      </c>
      <c r="N59" s="357">
        <v>101.13500209999999</v>
      </c>
      <c r="O59" s="357">
        <v>120.41</v>
      </c>
      <c r="P59" s="357">
        <v>137.8150024</v>
      </c>
      <c r="AF59" s="281"/>
      <c r="AG59" s="281"/>
      <c r="AH59" s="281"/>
      <c r="AI59" s="281"/>
      <c r="AJ59" s="281"/>
      <c r="AK59" s="281"/>
      <c r="AL59" s="281"/>
    </row>
    <row r="60" spans="1:38" ht="12.75">
      <c r="A60" s="54"/>
      <c r="B60" s="82"/>
      <c r="C60" s="82"/>
      <c r="D60" s="82"/>
      <c r="E60" s="82"/>
      <c r="F60" s="82"/>
      <c r="G60" s="82"/>
      <c r="H60" s="82"/>
      <c r="M60" s="356">
        <v>49</v>
      </c>
      <c r="N60" s="357">
        <v>101.13500209999999</v>
      </c>
      <c r="O60" s="357">
        <v>115.91300200000001</v>
      </c>
      <c r="P60" s="357">
        <v>129.0279999</v>
      </c>
      <c r="AF60" s="281"/>
      <c r="AG60" s="281"/>
      <c r="AH60" s="281"/>
      <c r="AI60" s="281"/>
      <c r="AJ60" s="281"/>
      <c r="AK60" s="281"/>
      <c r="AL60" s="281"/>
    </row>
    <row r="61" spans="1:38">
      <c r="M61" s="356">
        <v>50</v>
      </c>
      <c r="N61" s="357">
        <v>96.752998349999999</v>
      </c>
      <c r="O61" s="357">
        <v>110.0599976</v>
      </c>
      <c r="P61" s="357">
        <v>129.30000000000001</v>
      </c>
      <c r="AD61" s="354"/>
      <c r="AE61" s="354"/>
      <c r="AF61" s="220"/>
      <c r="AG61" s="220"/>
      <c r="AH61" s="220"/>
      <c r="AI61" s="220"/>
      <c r="AJ61" s="220"/>
      <c r="AK61" s="220"/>
      <c r="AL61" s="220"/>
    </row>
    <row r="62" spans="1:38">
      <c r="M62" s="356">
        <v>51</v>
      </c>
      <c r="N62" s="357">
        <v>96.752998349999999</v>
      </c>
      <c r="O62" s="357">
        <v>107.5970001</v>
      </c>
      <c r="P62" s="357">
        <v>129</v>
      </c>
      <c r="AD62" s="354"/>
      <c r="AE62" s="354"/>
      <c r="AF62" s="220"/>
      <c r="AG62" s="220"/>
      <c r="AH62" s="220"/>
      <c r="AI62" s="220"/>
      <c r="AJ62" s="220"/>
      <c r="AK62" s="220"/>
      <c r="AL62" s="220"/>
    </row>
    <row r="63" spans="1:38">
      <c r="M63" s="356">
        <v>52</v>
      </c>
      <c r="N63" s="357">
        <v>96.752998349999999</v>
      </c>
      <c r="O63" s="357">
        <v>104.4029999</v>
      </c>
      <c r="P63" s="357">
        <v>130.4810028</v>
      </c>
      <c r="AD63" s="354"/>
      <c r="AE63" s="354"/>
      <c r="AF63" s="220"/>
      <c r="AG63" s="220"/>
      <c r="AH63" s="220"/>
      <c r="AI63" s="220"/>
      <c r="AJ63" s="220"/>
      <c r="AK63" s="220"/>
      <c r="AL63" s="220"/>
    </row>
    <row r="64" spans="1:38">
      <c r="M64" s="356">
        <v>53</v>
      </c>
      <c r="N64" s="357"/>
      <c r="O64" s="357"/>
      <c r="P64" s="364"/>
      <c r="AD64" s="354"/>
      <c r="AE64" s="354"/>
      <c r="AF64" s="220"/>
      <c r="AG64" s="220"/>
      <c r="AH64" s="220"/>
      <c r="AI64" s="220"/>
      <c r="AJ64" s="220"/>
      <c r="AK64" s="220"/>
      <c r="AL64" s="220"/>
    </row>
    <row r="65" spans="13:38">
      <c r="M65" s="354"/>
      <c r="N65" s="354"/>
      <c r="O65" s="354"/>
      <c r="P65" s="354"/>
      <c r="Q65" s="354"/>
      <c r="R65" s="354"/>
      <c r="S65" s="354"/>
      <c r="T65" s="354"/>
      <c r="AD65" s="354"/>
      <c r="AE65" s="354"/>
      <c r="AF65" s="220"/>
      <c r="AG65" s="220"/>
      <c r="AH65" s="220"/>
      <c r="AI65" s="220"/>
      <c r="AJ65" s="220"/>
      <c r="AK65" s="220"/>
      <c r="AL65" s="220"/>
    </row>
  </sheetData>
  <mergeCells count="4">
    <mergeCell ref="A2:H2"/>
    <mergeCell ref="A4:H4"/>
    <mergeCell ref="C28:F28"/>
    <mergeCell ref="A32:H32"/>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63"/>
  <sheetViews>
    <sheetView showGridLines="0" view="pageBreakPreview" zoomScaleNormal="100" zoomScaleSheetLayoutView="100" zoomScalePageLayoutView="115" workbookViewId="0">
      <selection activeCell="A3" sqref="A3"/>
    </sheetView>
  </sheetViews>
  <sheetFormatPr defaultColWidth="9.33203125" defaultRowHeight="11.25"/>
  <cols>
    <col min="10" max="11" width="9.33203125" customWidth="1"/>
    <col min="14" max="28" width="9.33203125" style="501"/>
    <col min="29" max="31" width="9.33203125" style="479"/>
  </cols>
  <sheetData>
    <row r="1" spans="1:23" ht="11.25" customHeight="1"/>
    <row r="2" spans="1:23" ht="11.25" customHeight="1">
      <c r="A2" s="330"/>
      <c r="B2" s="337"/>
      <c r="C2" s="337"/>
      <c r="D2" s="337"/>
      <c r="E2" s="337"/>
      <c r="F2" s="337"/>
      <c r="G2" s="338"/>
      <c r="H2" s="338"/>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504" t="s">
        <v>280</v>
      </c>
      <c r="T4" s="505" t="s">
        <v>281</v>
      </c>
    </row>
    <row r="5" spans="1:23" ht="11.25" customHeight="1">
      <c r="A5" s="937"/>
      <c r="B5" s="937"/>
      <c r="C5" s="937"/>
      <c r="D5" s="937"/>
      <c r="E5" s="937"/>
      <c r="F5" s="937"/>
      <c r="G5" s="937"/>
      <c r="H5" s="937"/>
      <c r="I5" s="937"/>
      <c r="J5" s="12"/>
      <c r="K5" s="12"/>
      <c r="L5" s="8"/>
      <c r="O5" s="506">
        <v>2016</v>
      </c>
      <c r="P5" s="506">
        <v>2017</v>
      </c>
      <c r="Q5" s="506">
        <v>2018</v>
      </c>
      <c r="R5" s="506">
        <v>2019</v>
      </c>
      <c r="T5" s="506">
        <v>2016</v>
      </c>
      <c r="U5" s="506">
        <v>2017</v>
      </c>
      <c r="V5" s="506">
        <v>2018</v>
      </c>
      <c r="W5" s="506">
        <v>2019</v>
      </c>
    </row>
    <row r="6" spans="1:23" ht="11.25" customHeight="1">
      <c r="A6" s="17"/>
      <c r="B6" s="160"/>
      <c r="C6" s="68"/>
      <c r="D6" s="69"/>
      <c r="E6" s="69"/>
      <c r="F6" s="70"/>
      <c r="G6" s="66"/>
      <c r="H6" s="66"/>
      <c r="I6" s="71"/>
      <c r="J6" s="12"/>
      <c r="K6" s="12"/>
      <c r="L6" s="5"/>
      <c r="N6" s="507">
        <v>1</v>
      </c>
      <c r="O6" s="508">
        <v>119.86</v>
      </c>
      <c r="P6" s="508">
        <v>27.559000019999999</v>
      </c>
      <c r="Q6" s="509">
        <v>34.76</v>
      </c>
      <c r="R6" s="501">
        <v>71.125</v>
      </c>
      <c r="S6" s="507">
        <v>1</v>
      </c>
      <c r="T6" s="508">
        <v>150.22999999999999</v>
      </c>
      <c r="U6" s="508">
        <v>122.19600180599998</v>
      </c>
      <c r="V6" s="509">
        <v>210.20000000000002</v>
      </c>
      <c r="W6" s="501">
        <v>190.20000426299998</v>
      </c>
    </row>
    <row r="7" spans="1:23" ht="11.25" customHeight="1">
      <c r="A7" s="17"/>
      <c r="B7" s="938"/>
      <c r="C7" s="938"/>
      <c r="D7" s="161"/>
      <c r="E7" s="161"/>
      <c r="F7" s="70"/>
      <c r="G7" s="66"/>
      <c r="H7" s="66"/>
      <c r="I7" s="71"/>
      <c r="J7" s="3"/>
      <c r="K7" s="3"/>
      <c r="L7" s="15"/>
      <c r="N7" s="507">
        <v>2</v>
      </c>
      <c r="O7" s="508">
        <v>113.21</v>
      </c>
      <c r="P7" s="508">
        <v>36.5890007</v>
      </c>
      <c r="Q7" s="509">
        <v>47.749000549999998</v>
      </c>
      <c r="R7" s="501">
        <v>79.228996280000004</v>
      </c>
      <c r="S7" s="507">
        <v>2</v>
      </c>
      <c r="T7" s="508">
        <v>145.21</v>
      </c>
      <c r="U7" s="508">
        <v>136.535000822</v>
      </c>
      <c r="V7" s="509">
        <v>216.70300435500002</v>
      </c>
      <c r="W7" s="501">
        <v>185.80498987600001</v>
      </c>
    </row>
    <row r="8" spans="1:23" ht="11.25" customHeight="1">
      <c r="A8" s="17"/>
      <c r="B8" s="162"/>
      <c r="C8" s="39"/>
      <c r="D8" s="163"/>
      <c r="E8" s="163"/>
      <c r="F8" s="70"/>
      <c r="G8" s="66"/>
      <c r="H8" s="66"/>
      <c r="I8" s="71"/>
      <c r="J8" s="4"/>
      <c r="K8" s="4"/>
      <c r="L8" s="12"/>
      <c r="N8" s="507">
        <v>3</v>
      </c>
      <c r="O8" s="508">
        <v>117.64</v>
      </c>
      <c r="P8" s="508">
        <v>63.17599869</v>
      </c>
      <c r="Q8" s="509">
        <v>67.130996699999997</v>
      </c>
      <c r="R8" s="501">
        <v>106.65</v>
      </c>
      <c r="S8" s="507">
        <v>3</v>
      </c>
      <c r="T8" s="508">
        <v>143.88</v>
      </c>
      <c r="U8" s="508">
        <v>170.80799961000002</v>
      </c>
      <c r="V8" s="509">
        <v>232.83600043999999</v>
      </c>
      <c r="W8" s="501">
        <v>190.06000000000003</v>
      </c>
    </row>
    <row r="9" spans="1:23" ht="11.25" customHeight="1">
      <c r="A9" s="17"/>
      <c r="B9" s="162"/>
      <c r="C9" s="39"/>
      <c r="D9" s="163"/>
      <c r="E9" s="163"/>
      <c r="F9" s="70"/>
      <c r="G9" s="66"/>
      <c r="H9" s="66"/>
      <c r="I9" s="71"/>
      <c r="J9" s="3"/>
      <c r="K9" s="6"/>
      <c r="L9" s="15"/>
      <c r="N9" s="507">
        <v>4</v>
      </c>
      <c r="O9" s="508">
        <v>117.64</v>
      </c>
      <c r="P9" s="508">
        <v>113.2139969</v>
      </c>
      <c r="Q9" s="509">
        <v>93.789001459999994</v>
      </c>
      <c r="R9" s="501">
        <v>140.34500120000001</v>
      </c>
      <c r="S9" s="507">
        <v>4</v>
      </c>
      <c r="T9" s="508">
        <v>139.38200000000001</v>
      </c>
      <c r="U9" s="508">
        <v>186.385000214</v>
      </c>
      <c r="V9" s="509">
        <v>271.78000545999998</v>
      </c>
      <c r="W9" s="501">
        <v>198.06799936900001</v>
      </c>
    </row>
    <row r="10" spans="1:23" ht="11.25" customHeight="1">
      <c r="A10" s="17"/>
      <c r="B10" s="162"/>
      <c r="C10" s="39"/>
      <c r="D10" s="163"/>
      <c r="E10" s="163"/>
      <c r="F10" s="70"/>
      <c r="G10" s="66"/>
      <c r="H10" s="66"/>
      <c r="I10" s="71"/>
      <c r="J10" s="3"/>
      <c r="K10" s="3"/>
      <c r="L10" s="15"/>
      <c r="N10" s="507">
        <v>5</v>
      </c>
      <c r="O10" s="508">
        <v>133.43</v>
      </c>
      <c r="P10" s="508">
        <v>156.8220062</v>
      </c>
      <c r="Q10" s="509">
        <v>111.01599880000001</v>
      </c>
      <c r="R10" s="501">
        <v>186.18299870000001</v>
      </c>
      <c r="S10" s="507">
        <v>5</v>
      </c>
      <c r="T10" s="508">
        <v>135.79099490000002</v>
      </c>
      <c r="U10" s="508">
        <v>204.80799868699998</v>
      </c>
      <c r="V10" s="509">
        <v>269.07999802</v>
      </c>
      <c r="W10" s="501">
        <v>217.55805158600003</v>
      </c>
    </row>
    <row r="11" spans="1:23" ht="11.25" customHeight="1">
      <c r="A11" s="17"/>
      <c r="B11" s="163"/>
      <c r="C11" s="39"/>
      <c r="D11" s="163"/>
      <c r="E11" s="163"/>
      <c r="F11" s="70"/>
      <c r="G11" s="66"/>
      <c r="H11" s="66"/>
      <c r="I11" s="71"/>
      <c r="J11" s="3"/>
      <c r="K11" s="3"/>
      <c r="L11" s="15"/>
      <c r="N11" s="507">
        <v>6</v>
      </c>
      <c r="O11" s="508">
        <v>159.2149963</v>
      </c>
      <c r="P11" s="508">
        <v>168.8840027</v>
      </c>
      <c r="Q11" s="509">
        <v>126.6029968</v>
      </c>
      <c r="R11" s="501">
        <v>222.22</v>
      </c>
      <c r="S11" s="507">
        <v>6</v>
      </c>
      <c r="T11" s="508">
        <v>150.04800029899999</v>
      </c>
      <c r="U11" s="508">
        <v>201.82999366799999</v>
      </c>
      <c r="V11" s="509">
        <v>273.52000047000001</v>
      </c>
      <c r="W11" s="501">
        <v>279.10000000000002</v>
      </c>
    </row>
    <row r="12" spans="1:23" ht="11.25" customHeight="1">
      <c r="A12" s="17"/>
      <c r="B12" s="163"/>
      <c r="C12" s="39"/>
      <c r="D12" s="163"/>
      <c r="E12" s="163"/>
      <c r="F12" s="70"/>
      <c r="G12" s="66"/>
      <c r="H12" s="66"/>
      <c r="I12" s="71"/>
      <c r="J12" s="3"/>
      <c r="K12" s="3"/>
      <c r="L12" s="15"/>
      <c r="N12" s="507">
        <v>7</v>
      </c>
      <c r="O12" s="508">
        <v>186.18299870000001</v>
      </c>
      <c r="P12" s="508">
        <v>196.28300479999999</v>
      </c>
      <c r="Q12" s="509">
        <v>135.7250061</v>
      </c>
      <c r="R12" s="501">
        <v>277.02099609999999</v>
      </c>
      <c r="S12" s="507">
        <v>7</v>
      </c>
      <c r="T12" s="508">
        <v>174.31999966699999</v>
      </c>
      <c r="U12" s="508">
        <v>199.59600258</v>
      </c>
      <c r="V12" s="509">
        <v>302.63299941999998</v>
      </c>
      <c r="W12" s="501">
        <v>338.21854399</v>
      </c>
    </row>
    <row r="13" spans="1:23" ht="11.25" customHeight="1">
      <c r="A13" s="17"/>
      <c r="B13" s="163"/>
      <c r="C13" s="39"/>
      <c r="D13" s="163"/>
      <c r="E13" s="163"/>
      <c r="F13" s="70"/>
      <c r="G13" s="66"/>
      <c r="H13" s="66"/>
      <c r="I13" s="71"/>
      <c r="J13" s="4"/>
      <c r="K13" s="4"/>
      <c r="L13" s="12"/>
      <c r="N13" s="507">
        <v>8</v>
      </c>
      <c r="O13" s="508">
        <v>206.53900150000001</v>
      </c>
      <c r="P13" s="508">
        <v>230.18899540000001</v>
      </c>
      <c r="Q13" s="509">
        <v>159.2149963</v>
      </c>
      <c r="R13" s="501">
        <v>293.06698610000001</v>
      </c>
      <c r="S13" s="507">
        <v>8</v>
      </c>
      <c r="T13" s="508">
        <v>262.93500039999998</v>
      </c>
      <c r="U13" s="508">
        <v>214.34299659800001</v>
      </c>
      <c r="V13" s="509">
        <v>328.23703</v>
      </c>
      <c r="W13" s="501">
        <v>388.64800643000001</v>
      </c>
    </row>
    <row r="14" spans="1:23" ht="11.25" customHeight="1">
      <c r="A14" s="17"/>
      <c r="B14" s="163"/>
      <c r="C14" s="39"/>
      <c r="D14" s="163"/>
      <c r="E14" s="163"/>
      <c r="F14" s="70"/>
      <c r="G14" s="66"/>
      <c r="H14" s="66"/>
      <c r="I14" s="71"/>
      <c r="J14" s="3"/>
      <c r="K14" s="6"/>
      <c r="L14" s="15"/>
      <c r="N14" s="507">
        <v>9</v>
      </c>
      <c r="O14" s="508">
        <v>240.9539948</v>
      </c>
      <c r="P14" s="508">
        <v>249.13000489999999</v>
      </c>
      <c r="Q14" s="509">
        <v>186.18299870000001</v>
      </c>
      <c r="R14" s="501">
        <v>294.29501340000002</v>
      </c>
      <c r="S14" s="507">
        <v>9</v>
      </c>
      <c r="T14" s="508">
        <v>279.08800121000002</v>
      </c>
      <c r="U14" s="508">
        <v>250.89400288000002</v>
      </c>
      <c r="V14" s="509">
        <v>343.54049999999995</v>
      </c>
      <c r="W14" s="501">
        <v>377.13099283000003</v>
      </c>
    </row>
    <row r="15" spans="1:23" ht="11.25" customHeight="1">
      <c r="A15" s="17"/>
      <c r="B15" s="163"/>
      <c r="C15" s="39"/>
      <c r="D15" s="163"/>
      <c r="E15" s="163"/>
      <c r="F15" s="70"/>
      <c r="G15" s="66"/>
      <c r="H15" s="66"/>
      <c r="I15" s="71"/>
      <c r="J15" s="3"/>
      <c r="K15" s="6"/>
      <c r="L15" s="15"/>
      <c r="N15" s="507">
        <v>10</v>
      </c>
      <c r="O15" s="508">
        <v>279.86401369999999</v>
      </c>
      <c r="P15" s="508">
        <v>311.77999999999997</v>
      </c>
      <c r="Q15" s="509">
        <v>203.96099849999999</v>
      </c>
      <c r="S15" s="507">
        <v>10</v>
      </c>
      <c r="T15" s="508">
        <v>283.79400062561007</v>
      </c>
      <c r="U15" s="508">
        <v>298.99899296000001</v>
      </c>
      <c r="V15" s="509">
        <v>371.29100467000001</v>
      </c>
    </row>
    <row r="16" spans="1:23" ht="11.25" customHeight="1">
      <c r="A16" s="17"/>
      <c r="B16" s="163"/>
      <c r="C16" s="39"/>
      <c r="D16" s="163"/>
      <c r="E16" s="163"/>
      <c r="F16" s="70"/>
      <c r="G16" s="66"/>
      <c r="H16" s="66"/>
      <c r="I16" s="71"/>
      <c r="J16" s="3"/>
      <c r="K16" s="6"/>
      <c r="L16" s="15"/>
      <c r="N16" s="507">
        <v>11</v>
      </c>
      <c r="O16" s="508">
        <v>308.83</v>
      </c>
      <c r="P16" s="508">
        <v>332.70800000000003</v>
      </c>
      <c r="Q16" s="509">
        <v>230.18899540000001</v>
      </c>
      <c r="R16" s="510"/>
      <c r="S16" s="507">
        <v>11</v>
      </c>
      <c r="T16" s="508">
        <v>286.24</v>
      </c>
      <c r="U16" s="508">
        <v>321.03300188000003</v>
      </c>
      <c r="V16" s="509">
        <v>390.38299555999998</v>
      </c>
    </row>
    <row r="17" spans="1:22" ht="11.25" customHeight="1">
      <c r="A17" s="17"/>
      <c r="B17" s="163"/>
      <c r="C17" s="39"/>
      <c r="D17" s="163"/>
      <c r="E17" s="163"/>
      <c r="F17" s="70"/>
      <c r="G17" s="66"/>
      <c r="H17" s="66"/>
      <c r="I17" s="71"/>
      <c r="J17" s="3"/>
      <c r="K17" s="6"/>
      <c r="L17" s="15"/>
      <c r="N17" s="507">
        <v>12</v>
      </c>
      <c r="O17" s="508">
        <v>308.829986572265</v>
      </c>
      <c r="P17" s="508">
        <v>344.881012</v>
      </c>
      <c r="Q17" s="509">
        <v>282.71701050000001</v>
      </c>
      <c r="R17" s="510"/>
      <c r="S17" s="507">
        <v>12</v>
      </c>
      <c r="T17" s="508">
        <v>285.01299476623473</v>
      </c>
      <c r="U17" s="508">
        <v>332.34900279999999</v>
      </c>
      <c r="V17" s="509">
        <v>412.41217171999995</v>
      </c>
    </row>
    <row r="18" spans="1:22" ht="11.25" customHeight="1">
      <c r="A18" s="17"/>
      <c r="B18" s="163"/>
      <c r="C18" s="39"/>
      <c r="D18" s="163"/>
      <c r="E18" s="163"/>
      <c r="F18" s="70"/>
      <c r="G18" s="66"/>
      <c r="H18" s="66"/>
      <c r="I18" s="71"/>
      <c r="J18" s="3"/>
      <c r="K18" s="6"/>
      <c r="L18" s="15"/>
      <c r="N18" s="507">
        <v>13</v>
      </c>
      <c r="O18" s="508">
        <v>308.829986572265</v>
      </c>
      <c r="P18" s="508">
        <v>338.77499390000003</v>
      </c>
      <c r="Q18" s="509">
        <v>329.68899540000001</v>
      </c>
      <c r="R18" s="510"/>
      <c r="S18" s="507">
        <v>13</v>
      </c>
      <c r="T18" s="508">
        <v>279.96900081634436</v>
      </c>
      <c r="U18" s="508">
        <v>366.02899361000004</v>
      </c>
      <c r="V18" s="509">
        <v>410.83199501000001</v>
      </c>
    </row>
    <row r="19" spans="1:22" ht="11.25" customHeight="1">
      <c r="A19" s="17"/>
      <c r="B19" s="163"/>
      <c r="C19" s="39"/>
      <c r="D19" s="163"/>
      <c r="E19" s="163"/>
      <c r="F19" s="70"/>
      <c r="G19" s="66"/>
      <c r="H19" s="66"/>
      <c r="I19" s="71"/>
      <c r="J19" s="3"/>
      <c r="K19" s="6"/>
      <c r="L19" s="15"/>
      <c r="N19" s="507">
        <v>14</v>
      </c>
      <c r="O19" s="508">
        <v>302.95901489257801</v>
      </c>
      <c r="P19" s="508">
        <v>338.77999390000002</v>
      </c>
      <c r="Q19" s="509">
        <v>329.68899540000001</v>
      </c>
      <c r="R19" s="510"/>
      <c r="S19" s="507">
        <v>14</v>
      </c>
      <c r="T19" s="508">
        <v>286.54100227355917</v>
      </c>
      <c r="U19" s="508">
        <v>382.58400344</v>
      </c>
      <c r="V19" s="509">
        <v>403.70400233999999</v>
      </c>
    </row>
    <row r="20" spans="1:22" ht="11.25" customHeight="1">
      <c r="A20" s="17"/>
      <c r="B20" s="163"/>
      <c r="C20" s="39"/>
      <c r="D20" s="163"/>
      <c r="E20" s="163"/>
      <c r="F20" s="70"/>
      <c r="G20" s="66"/>
      <c r="H20" s="66"/>
      <c r="I20" s="71"/>
      <c r="J20" s="3"/>
      <c r="K20" s="6"/>
      <c r="L20" s="15"/>
      <c r="N20" s="507">
        <v>15</v>
      </c>
      <c r="O20" s="508">
        <v>311.781005859375</v>
      </c>
      <c r="P20" s="508">
        <v>347.94900510000002</v>
      </c>
      <c r="Q20" s="509">
        <v>326.67999270000001</v>
      </c>
      <c r="R20" s="510"/>
      <c r="S20" s="507">
        <v>15</v>
      </c>
      <c r="T20" s="508">
        <v>288.78499984741165</v>
      </c>
      <c r="U20" s="508">
        <v>385.29699126999998</v>
      </c>
      <c r="V20" s="509">
        <v>399.27400204999998</v>
      </c>
    </row>
    <row r="21" spans="1:22" ht="11.25" customHeight="1">
      <c r="A21" s="17"/>
      <c r="B21" s="163"/>
      <c r="C21" s="39"/>
      <c r="D21" s="163"/>
      <c r="E21" s="163"/>
      <c r="F21" s="70"/>
      <c r="G21" s="66"/>
      <c r="H21" s="66"/>
      <c r="I21" s="71"/>
      <c r="J21" s="3"/>
      <c r="K21" s="7"/>
      <c r="L21" s="16"/>
      <c r="N21" s="507">
        <v>16</v>
      </c>
      <c r="O21" s="508">
        <v>320.69100952148398</v>
      </c>
      <c r="P21" s="508">
        <v>354.11401369999999</v>
      </c>
      <c r="Q21" s="509">
        <v>314.7409973</v>
      </c>
      <c r="R21" s="510"/>
      <c r="S21" s="507">
        <v>16</v>
      </c>
      <c r="T21" s="508">
        <v>293.26400000000001</v>
      </c>
      <c r="U21" s="508">
        <v>384.95899003</v>
      </c>
      <c r="V21" s="509">
        <v>394.58499913000003</v>
      </c>
    </row>
    <row r="22" spans="1:22" ht="11.25" customHeight="1">
      <c r="A22" s="77"/>
      <c r="B22" s="163"/>
      <c r="C22" s="39"/>
      <c r="D22" s="163"/>
      <c r="E22" s="163"/>
      <c r="F22" s="70"/>
      <c r="G22" s="66"/>
      <c r="H22" s="66"/>
      <c r="I22" s="71"/>
      <c r="J22" s="3"/>
      <c r="K22" s="6"/>
      <c r="L22" s="15"/>
      <c r="N22" s="507">
        <v>17</v>
      </c>
      <c r="O22" s="508">
        <v>326.67999267578102</v>
      </c>
      <c r="P22" s="508">
        <v>351.02700809999999</v>
      </c>
      <c r="Q22" s="509">
        <v>305.89001459999997</v>
      </c>
      <c r="R22" s="510"/>
      <c r="S22" s="507">
        <v>17</v>
      </c>
      <c r="T22" s="508">
        <v>292.87300071716299</v>
      </c>
      <c r="U22" s="508">
        <v>381.86699488000005</v>
      </c>
      <c r="V22" s="509">
        <v>392.29800030000007</v>
      </c>
    </row>
    <row r="23" spans="1:22" ht="11.25" customHeight="1">
      <c r="A23" s="77"/>
      <c r="B23" s="163"/>
      <c r="C23" s="39"/>
      <c r="D23" s="163"/>
      <c r="E23" s="163"/>
      <c r="F23" s="70"/>
      <c r="G23" s="66"/>
      <c r="H23" s="66"/>
      <c r="I23" s="71"/>
      <c r="J23" s="3"/>
      <c r="K23" s="6"/>
      <c r="L23" s="15"/>
      <c r="N23" s="507">
        <v>18</v>
      </c>
      <c r="O23" s="508">
        <v>314.74099731445301</v>
      </c>
      <c r="P23" s="508">
        <v>354.11401369999999</v>
      </c>
      <c r="Q23" s="509">
        <v>314.7409973</v>
      </c>
      <c r="R23" s="510"/>
      <c r="S23" s="507">
        <v>18</v>
      </c>
      <c r="T23" s="508">
        <v>289.06400012969908</v>
      </c>
      <c r="U23" s="508">
        <v>382.77999115</v>
      </c>
      <c r="V23" s="509">
        <v>390.15600400999995</v>
      </c>
    </row>
    <row r="24" spans="1:22" ht="11.25" customHeight="1">
      <c r="A24" s="77"/>
      <c r="B24" s="163"/>
      <c r="C24" s="39"/>
      <c r="D24" s="163"/>
      <c r="E24" s="163"/>
      <c r="F24" s="70"/>
      <c r="G24" s="66"/>
      <c r="H24" s="66"/>
      <c r="I24" s="71"/>
      <c r="J24" s="6"/>
      <c r="K24" s="6"/>
      <c r="L24" s="15"/>
      <c r="N24" s="507">
        <v>19</v>
      </c>
      <c r="O24" s="508">
        <v>308.829986572265</v>
      </c>
      <c r="P24" s="508">
        <v>363.43499759999997</v>
      </c>
      <c r="Q24" s="509">
        <v>314.7409973</v>
      </c>
      <c r="R24" s="510"/>
      <c r="S24" s="507">
        <v>19</v>
      </c>
      <c r="T24" s="508">
        <v>283.7310012817382</v>
      </c>
      <c r="U24" s="508">
        <v>381.91700169999996</v>
      </c>
      <c r="V24" s="509">
        <v>386.47099490999994</v>
      </c>
    </row>
    <row r="25" spans="1:22" ht="11.25" customHeight="1">
      <c r="A25" s="279" t="s">
        <v>575</v>
      </c>
      <c r="B25" s="163"/>
      <c r="C25" s="39"/>
      <c r="D25" s="163"/>
      <c r="E25" s="163"/>
      <c r="F25" s="70"/>
      <c r="G25" s="66"/>
      <c r="H25" s="66"/>
      <c r="I25" s="71"/>
      <c r="J25" s="3"/>
      <c r="K25" s="7"/>
      <c r="L25" s="16"/>
      <c r="N25" s="507">
        <v>20</v>
      </c>
      <c r="O25" s="508">
        <v>308.8</v>
      </c>
      <c r="P25" s="508">
        <v>366.56100459999999</v>
      </c>
      <c r="Q25" s="509">
        <v>314.7409973</v>
      </c>
      <c r="R25" s="510"/>
      <c r="S25" s="507">
        <v>20</v>
      </c>
      <c r="T25" s="508">
        <v>278.90000000000003</v>
      </c>
      <c r="U25" s="508">
        <v>379.35699083999998</v>
      </c>
      <c r="V25" s="509">
        <v>382.00799562999993</v>
      </c>
    </row>
    <row r="26" spans="1:22" ht="11.25" customHeight="1">
      <c r="A26" s="54"/>
      <c r="B26" s="163"/>
      <c r="C26" s="39"/>
      <c r="D26" s="163"/>
      <c r="E26" s="163"/>
      <c r="F26" s="70"/>
      <c r="G26" s="66"/>
      <c r="H26" s="66"/>
      <c r="I26" s="71"/>
      <c r="J26" s="4"/>
      <c r="K26" s="6"/>
      <c r="L26" s="15"/>
      <c r="N26" s="507">
        <v>21</v>
      </c>
      <c r="O26" s="508">
        <v>311.781005859375</v>
      </c>
      <c r="P26" s="508">
        <v>357.21099850000002</v>
      </c>
      <c r="Q26" s="509">
        <v>314.7409973</v>
      </c>
      <c r="R26" s="510"/>
      <c r="S26" s="507">
        <v>21</v>
      </c>
      <c r="T26" s="508">
        <v>274.65599975585928</v>
      </c>
      <c r="U26" s="508">
        <v>375.59600258</v>
      </c>
      <c r="V26" s="509">
        <v>378.52099610999994</v>
      </c>
    </row>
    <row r="27" spans="1:22" ht="11.25" customHeight="1">
      <c r="A27" s="77"/>
      <c r="B27" s="163"/>
      <c r="C27" s="39"/>
      <c r="D27" s="163"/>
      <c r="E27" s="163"/>
      <c r="F27" s="73"/>
      <c r="G27" s="73"/>
      <c r="H27" s="73"/>
      <c r="I27" s="73"/>
      <c r="J27" s="4"/>
      <c r="K27" s="6"/>
      <c r="L27" s="15"/>
      <c r="N27" s="507">
        <v>22</v>
      </c>
      <c r="O27" s="508">
        <v>314.74</v>
      </c>
      <c r="P27" s="508">
        <v>341.82</v>
      </c>
      <c r="Q27" s="509">
        <v>311.78100590000003</v>
      </c>
      <c r="R27" s="510"/>
      <c r="S27" s="507">
        <v>22</v>
      </c>
      <c r="T27" s="508">
        <v>269.74</v>
      </c>
      <c r="U27" s="508">
        <v>373.52000000000004</v>
      </c>
      <c r="V27" s="509">
        <v>375.20999716</v>
      </c>
    </row>
    <row r="28" spans="1:22" ht="11.25" customHeight="1">
      <c r="A28" s="77"/>
      <c r="B28" s="163"/>
      <c r="C28" s="39"/>
      <c r="D28" s="163"/>
      <c r="E28" s="163"/>
      <c r="F28" s="73"/>
      <c r="G28" s="73"/>
      <c r="H28" s="73"/>
      <c r="I28" s="73"/>
      <c r="J28" s="4"/>
      <c r="K28" s="6"/>
      <c r="L28" s="15"/>
      <c r="N28" s="507">
        <v>23</v>
      </c>
      <c r="O28" s="508">
        <v>308.83</v>
      </c>
      <c r="P28" s="508">
        <v>326.67999270000001</v>
      </c>
      <c r="Q28" s="509">
        <v>308.82998659999998</v>
      </c>
      <c r="R28" s="510"/>
      <c r="S28" s="507">
        <v>23</v>
      </c>
      <c r="T28" s="508">
        <v>265.4609997</v>
      </c>
      <c r="U28" s="508">
        <v>369.22100255000004</v>
      </c>
      <c r="V28" s="509">
        <v>374.07600211999994</v>
      </c>
    </row>
    <row r="29" spans="1:22" ht="11.25" customHeight="1">
      <c r="A29" s="77"/>
      <c r="B29" s="163"/>
      <c r="C29" s="39"/>
      <c r="D29" s="163"/>
      <c r="E29" s="163"/>
      <c r="F29" s="73"/>
      <c r="G29" s="73"/>
      <c r="H29" s="73"/>
      <c r="I29" s="73"/>
      <c r="J29" s="4"/>
      <c r="K29" s="6"/>
      <c r="L29" s="15"/>
      <c r="N29" s="507">
        <v>24</v>
      </c>
      <c r="O29" s="508">
        <v>300.04000000000002</v>
      </c>
      <c r="P29" s="508">
        <v>308.82998659999998</v>
      </c>
      <c r="Q29" s="509">
        <v>300.0379944</v>
      </c>
      <c r="R29" s="510"/>
      <c r="S29" s="507">
        <v>24</v>
      </c>
      <c r="T29" s="508">
        <v>261.10000000000002</v>
      </c>
      <c r="U29" s="508">
        <v>364.44200138999997</v>
      </c>
      <c r="V29" s="509">
        <v>370.89200402</v>
      </c>
    </row>
    <row r="30" spans="1:22" ht="11.25" customHeight="1">
      <c r="A30" s="74"/>
      <c r="B30" s="73"/>
      <c r="C30" s="73"/>
      <c r="D30" s="73"/>
      <c r="E30" s="73"/>
      <c r="F30" s="73"/>
      <c r="G30" s="73"/>
      <c r="H30" s="73"/>
      <c r="I30" s="73"/>
      <c r="J30" s="3"/>
      <c r="K30" s="6"/>
      <c r="L30" s="15"/>
      <c r="N30" s="507">
        <v>25</v>
      </c>
      <c r="O30" s="508">
        <v>282.71701050000001</v>
      </c>
      <c r="P30" s="508">
        <v>291.33300780000002</v>
      </c>
      <c r="Q30" s="509">
        <v>294.22500609999997</v>
      </c>
      <c r="R30" s="510"/>
      <c r="S30" s="507">
        <v>25</v>
      </c>
      <c r="T30" s="508">
        <v>256.25999989000002</v>
      </c>
      <c r="U30" s="508">
        <v>359.61999897999999</v>
      </c>
      <c r="V30" s="509">
        <v>366.71700096999996</v>
      </c>
    </row>
    <row r="31" spans="1:22" ht="11.25" customHeight="1">
      <c r="A31" s="74"/>
      <c r="B31" s="73"/>
      <c r="C31" s="73"/>
      <c r="D31" s="73"/>
      <c r="E31" s="73"/>
      <c r="F31" s="73"/>
      <c r="G31" s="73"/>
      <c r="H31" s="73"/>
      <c r="I31" s="73"/>
      <c r="J31" s="3"/>
      <c r="K31" s="6"/>
      <c r="L31" s="15"/>
      <c r="N31" s="507">
        <v>26</v>
      </c>
      <c r="O31" s="508">
        <v>262.95300292968699</v>
      </c>
      <c r="P31" s="508">
        <v>268.55099489999998</v>
      </c>
      <c r="Q31" s="509">
        <v>282.71701050000001</v>
      </c>
      <c r="R31" s="510"/>
      <c r="S31" s="507">
        <v>26</v>
      </c>
      <c r="T31" s="508">
        <v>252.54899978637627</v>
      </c>
      <c r="U31" s="508">
        <v>354.77499773999995</v>
      </c>
      <c r="V31" s="509">
        <v>361.43599508999995</v>
      </c>
    </row>
    <row r="32" spans="1:22" ht="11.25" customHeight="1">
      <c r="A32" s="74"/>
      <c r="B32" s="73"/>
      <c r="C32" s="73"/>
      <c r="D32" s="73"/>
      <c r="E32" s="73"/>
      <c r="F32" s="73"/>
      <c r="G32" s="73"/>
      <c r="H32" s="73"/>
      <c r="I32" s="73"/>
      <c r="J32" s="3"/>
      <c r="K32" s="6"/>
      <c r="L32" s="15"/>
      <c r="N32" s="507">
        <v>27</v>
      </c>
      <c r="O32" s="508">
        <v>254.63000489999999</v>
      </c>
      <c r="P32" s="508">
        <v>265.7470093</v>
      </c>
      <c r="Q32" s="509">
        <v>271.36</v>
      </c>
      <c r="R32" s="510"/>
      <c r="S32" s="507">
        <v>27</v>
      </c>
      <c r="T32" s="508">
        <v>248.26700022</v>
      </c>
      <c r="U32" s="508">
        <v>349.77999684000002</v>
      </c>
      <c r="V32" s="509">
        <v>355.34</v>
      </c>
    </row>
    <row r="33" spans="1:22" ht="11.25" customHeight="1">
      <c r="A33" s="74"/>
      <c r="B33" s="73"/>
      <c r="C33" s="73"/>
      <c r="D33" s="73"/>
      <c r="E33" s="73"/>
      <c r="F33" s="73"/>
      <c r="G33" s="73"/>
      <c r="H33" s="73"/>
      <c r="I33" s="73"/>
      <c r="J33" s="3"/>
      <c r="K33" s="6"/>
      <c r="L33" s="15"/>
      <c r="N33" s="507">
        <v>28</v>
      </c>
      <c r="O33" s="508">
        <v>240.9539948</v>
      </c>
      <c r="P33" s="511">
        <v>243.66999820000001</v>
      </c>
      <c r="Q33" s="509">
        <v>260.16900629999998</v>
      </c>
      <c r="R33" s="510"/>
      <c r="S33" s="507">
        <v>28</v>
      </c>
      <c r="T33" s="508">
        <v>243.86400222</v>
      </c>
      <c r="U33" s="508">
        <v>344.32400322999996</v>
      </c>
      <c r="V33" s="509">
        <v>349.01599981000004</v>
      </c>
    </row>
    <row r="34" spans="1:22" ht="11.25" customHeight="1">
      <c r="A34" s="74"/>
      <c r="B34" s="73"/>
      <c r="C34" s="73"/>
      <c r="D34" s="73"/>
      <c r="E34" s="73"/>
      <c r="F34" s="73"/>
      <c r="G34" s="73"/>
      <c r="H34" s="73"/>
      <c r="I34" s="73"/>
      <c r="J34" s="3"/>
      <c r="K34" s="6"/>
      <c r="L34" s="15"/>
      <c r="N34" s="507">
        <v>29</v>
      </c>
      <c r="O34" s="508">
        <v>227.5220032</v>
      </c>
      <c r="P34" s="508">
        <v>227.5220032</v>
      </c>
      <c r="Q34" s="509">
        <v>251.88</v>
      </c>
      <c r="R34" s="510"/>
      <c r="S34" s="507">
        <v>29</v>
      </c>
      <c r="T34" s="508">
        <v>239.07999988</v>
      </c>
      <c r="U34" s="508">
        <v>338.60699847999996</v>
      </c>
      <c r="V34" s="509">
        <v>343.97999999999996</v>
      </c>
    </row>
    <row r="35" spans="1:22" ht="11.25" customHeight="1">
      <c r="A35" s="74"/>
      <c r="B35" s="73"/>
      <c r="C35" s="73"/>
      <c r="D35" s="73"/>
      <c r="E35" s="73"/>
      <c r="F35" s="73"/>
      <c r="G35" s="73"/>
      <c r="H35" s="73"/>
      <c r="I35" s="73"/>
      <c r="J35" s="6"/>
      <c r="K35" s="6"/>
      <c r="L35" s="15"/>
      <c r="N35" s="507">
        <v>30</v>
      </c>
      <c r="O35" s="508">
        <v>216.95199584960901</v>
      </c>
      <c r="P35" s="508">
        <v>216.95199579999999</v>
      </c>
      <c r="Q35" s="509">
        <v>232.8650055</v>
      </c>
      <c r="R35" s="510"/>
      <c r="S35" s="507">
        <v>30</v>
      </c>
      <c r="T35" s="508">
        <v>234.2539968490598</v>
      </c>
      <c r="U35" s="508">
        <v>332.49400331000004</v>
      </c>
      <c r="V35" s="509">
        <v>342.06599807739167</v>
      </c>
    </row>
    <row r="36" spans="1:22" ht="11.25" customHeight="1">
      <c r="A36" s="74"/>
      <c r="B36" s="73"/>
      <c r="C36" s="73"/>
      <c r="D36" s="73"/>
      <c r="E36" s="73"/>
      <c r="F36" s="73"/>
      <c r="G36" s="73"/>
      <c r="H36" s="73"/>
      <c r="I36" s="73"/>
      <c r="J36" s="3"/>
      <c r="K36" s="6"/>
      <c r="L36" s="15"/>
      <c r="N36" s="507">
        <v>31</v>
      </c>
      <c r="O36" s="508">
        <v>216.95199579999999</v>
      </c>
      <c r="P36" s="508">
        <v>209.128006</v>
      </c>
      <c r="Q36" s="509">
        <v>211.726</v>
      </c>
      <c r="R36" s="510"/>
      <c r="S36" s="507">
        <v>31</v>
      </c>
      <c r="T36" s="508">
        <v>229.68000125999998</v>
      </c>
      <c r="U36" s="508">
        <v>324</v>
      </c>
      <c r="V36" s="509">
        <v>335.23199999999997</v>
      </c>
    </row>
    <row r="37" spans="1:22" ht="11.25" customHeight="1">
      <c r="A37" s="74"/>
      <c r="B37" s="73"/>
      <c r="C37" s="73"/>
      <c r="D37" s="73"/>
      <c r="E37" s="73"/>
      <c r="F37" s="73"/>
      <c r="G37" s="73"/>
      <c r="H37" s="73"/>
      <c r="I37" s="73"/>
      <c r="J37" s="3"/>
      <c r="K37" s="10"/>
      <c r="L37" s="15"/>
      <c r="N37" s="507">
        <v>32</v>
      </c>
      <c r="O37" s="508">
        <v>201.39199830000001</v>
      </c>
      <c r="P37" s="508">
        <v>198.83200070000001</v>
      </c>
      <c r="Q37" s="509">
        <v>181.19200129999999</v>
      </c>
      <c r="R37" s="510"/>
      <c r="S37" s="507">
        <v>32</v>
      </c>
      <c r="T37" s="508">
        <v>224.73799990999998</v>
      </c>
      <c r="U37" s="508">
        <v>320.73399734000003</v>
      </c>
      <c r="V37" s="509">
        <v>329.56800555999996</v>
      </c>
    </row>
    <row r="38" spans="1:22" ht="11.25" customHeight="1">
      <c r="A38" s="74"/>
      <c r="B38" s="73"/>
      <c r="C38" s="73"/>
      <c r="D38" s="73"/>
      <c r="E38" s="73"/>
      <c r="F38" s="73"/>
      <c r="G38" s="73"/>
      <c r="H38" s="73"/>
      <c r="I38" s="73"/>
      <c r="J38" s="3"/>
      <c r="K38" s="10"/>
      <c r="L38" s="38"/>
      <c r="N38" s="507">
        <v>33</v>
      </c>
      <c r="O38" s="508">
        <v>193.74299621582</v>
      </c>
      <c r="P38" s="508">
        <v>188.69299319999999</v>
      </c>
      <c r="Q38" s="509">
        <v>152.0650024</v>
      </c>
      <c r="R38" s="510"/>
      <c r="S38" s="507">
        <v>33</v>
      </c>
      <c r="T38" s="508">
        <v>219.00299835205058</v>
      </c>
      <c r="U38" s="508">
        <v>314.19900131999998</v>
      </c>
      <c r="V38" s="509">
        <v>323.79099748000004</v>
      </c>
    </row>
    <row r="39" spans="1:22" ht="11.25" customHeight="1">
      <c r="A39" s="74"/>
      <c r="B39" s="73"/>
      <c r="C39" s="73"/>
      <c r="D39" s="73"/>
      <c r="E39" s="73"/>
      <c r="F39" s="73"/>
      <c r="G39" s="73"/>
      <c r="H39" s="73"/>
      <c r="I39" s="73"/>
      <c r="J39" s="3"/>
      <c r="K39" s="7"/>
      <c r="L39" s="15"/>
      <c r="N39" s="507">
        <v>34</v>
      </c>
      <c r="O39" s="508">
        <v>181.19200129999999</v>
      </c>
      <c r="P39" s="508">
        <v>183.68200680000001</v>
      </c>
      <c r="Q39" s="509">
        <v>156.8220062</v>
      </c>
      <c r="R39" s="510"/>
      <c r="S39" s="507">
        <v>34</v>
      </c>
      <c r="T39" s="508">
        <v>214.38699817</v>
      </c>
      <c r="U39" s="508">
        <v>307.85200500000002</v>
      </c>
      <c r="V39" s="509">
        <v>317.64699750999995</v>
      </c>
    </row>
    <row r="40" spans="1:22" ht="11.25" customHeight="1">
      <c r="A40" s="74"/>
      <c r="B40" s="73"/>
      <c r="C40" s="73"/>
      <c r="D40" s="73"/>
      <c r="E40" s="73"/>
      <c r="F40" s="73"/>
      <c r="G40" s="73"/>
      <c r="H40" s="73"/>
      <c r="I40" s="73"/>
      <c r="J40" s="3"/>
      <c r="K40" s="7"/>
      <c r="L40" s="15"/>
      <c r="N40" s="507">
        <v>35</v>
      </c>
      <c r="O40" s="508">
        <v>171.32600400000001</v>
      </c>
      <c r="P40" s="512">
        <v>176.23899840000001</v>
      </c>
      <c r="Q40" s="509">
        <v>156.82</v>
      </c>
      <c r="R40" s="510"/>
      <c r="S40" s="507">
        <v>35</v>
      </c>
      <c r="T40" s="508">
        <v>208.95000171000001</v>
      </c>
      <c r="U40" s="508">
        <v>300.83900069999999</v>
      </c>
      <c r="V40" s="509">
        <v>311.42</v>
      </c>
    </row>
    <row r="41" spans="1:22" ht="11.25" customHeight="1">
      <c r="A41" s="74"/>
      <c r="B41" s="73"/>
      <c r="C41" s="73"/>
      <c r="D41" s="73"/>
      <c r="E41" s="73"/>
      <c r="F41" s="73"/>
      <c r="G41" s="73"/>
      <c r="H41" s="73"/>
      <c r="I41" s="73"/>
      <c r="J41" s="3"/>
      <c r="K41" s="7"/>
      <c r="L41" s="15"/>
      <c r="N41" s="507">
        <v>36</v>
      </c>
      <c r="O41" s="508">
        <v>164.02999879999999</v>
      </c>
      <c r="P41" s="512">
        <v>168.8840027</v>
      </c>
      <c r="Q41" s="509">
        <v>159.21</v>
      </c>
      <c r="R41" s="510"/>
      <c r="S41" s="507">
        <v>36</v>
      </c>
      <c r="T41" s="508">
        <v>202.97300145000003</v>
      </c>
      <c r="U41" s="508">
        <v>293.46100233999999</v>
      </c>
      <c r="V41" s="509">
        <v>305.20999999999998</v>
      </c>
    </row>
    <row r="42" spans="1:22" ht="11.25" customHeight="1">
      <c r="A42" s="74"/>
      <c r="B42" s="73"/>
      <c r="C42" s="73"/>
      <c r="D42" s="73"/>
      <c r="E42" s="73"/>
      <c r="F42" s="73"/>
      <c r="G42" s="73"/>
      <c r="H42" s="73"/>
      <c r="I42" s="73"/>
      <c r="J42" s="6"/>
      <c r="K42" s="10"/>
      <c r="L42" s="15"/>
      <c r="N42" s="507">
        <v>37</v>
      </c>
      <c r="O42" s="508">
        <v>147.34800720000001</v>
      </c>
      <c r="P42" s="512">
        <v>159.2149963</v>
      </c>
      <c r="Q42" s="509">
        <v>159.2149963</v>
      </c>
      <c r="R42" s="510"/>
      <c r="S42" s="507">
        <v>37</v>
      </c>
      <c r="T42" s="508">
        <v>196.95000080099999</v>
      </c>
      <c r="U42" s="508">
        <v>287.76599501999999</v>
      </c>
      <c r="V42" s="509">
        <v>299.17000225600003</v>
      </c>
    </row>
    <row r="43" spans="1:22" ht="11.25" customHeight="1">
      <c r="A43" s="74"/>
      <c r="B43" s="73"/>
      <c r="C43" s="73"/>
      <c r="D43" s="73"/>
      <c r="E43" s="73"/>
      <c r="F43" s="73"/>
      <c r="G43" s="73"/>
      <c r="H43" s="73"/>
      <c r="I43" s="73"/>
      <c r="J43" s="3"/>
      <c r="K43" s="10"/>
      <c r="L43" s="15"/>
      <c r="N43" s="507">
        <v>38</v>
      </c>
      <c r="O43" s="508">
        <v>131.14500430000001</v>
      </c>
      <c r="P43" s="512">
        <v>149.70199579999999</v>
      </c>
      <c r="Q43" s="509">
        <v>149.70199579999999</v>
      </c>
      <c r="R43" s="510"/>
      <c r="S43" s="507">
        <v>38</v>
      </c>
      <c r="T43" s="508">
        <v>190.78400421900002</v>
      </c>
      <c r="U43" s="508">
        <v>282.07300377000001</v>
      </c>
      <c r="V43" s="509">
        <v>292.45899891799996</v>
      </c>
    </row>
    <row r="44" spans="1:22" ht="11.25" customHeight="1">
      <c r="A44" s="74"/>
      <c r="B44" s="73"/>
      <c r="C44" s="73"/>
      <c r="D44" s="73"/>
      <c r="E44" s="73"/>
      <c r="F44" s="73"/>
      <c r="G44" s="73"/>
      <c r="H44" s="73"/>
      <c r="I44" s="73"/>
      <c r="J44" s="3"/>
      <c r="K44" s="10"/>
      <c r="L44" s="15"/>
      <c r="N44" s="507">
        <v>39</v>
      </c>
      <c r="O44" s="508">
        <v>119.8639984</v>
      </c>
      <c r="P44" s="512">
        <v>138.02999879999999</v>
      </c>
      <c r="Q44" s="509">
        <v>117.6380005</v>
      </c>
      <c r="R44" s="510"/>
      <c r="S44" s="507">
        <v>39</v>
      </c>
      <c r="T44" s="508">
        <v>184.44099947499998</v>
      </c>
      <c r="U44" s="508">
        <v>275.53000069000001</v>
      </c>
      <c r="V44" s="509">
        <v>286.11999916000002</v>
      </c>
    </row>
    <row r="45" spans="1:22" ht="11.25" customHeight="1">
      <c r="A45" s="74"/>
      <c r="B45" s="73"/>
      <c r="C45" s="73"/>
      <c r="D45" s="73"/>
      <c r="E45" s="73"/>
      <c r="F45" s="73"/>
      <c r="G45" s="73"/>
      <c r="H45" s="73"/>
      <c r="I45" s="73"/>
      <c r="J45" s="11"/>
      <c r="K45" s="11"/>
      <c r="L45" s="11"/>
      <c r="N45" s="507">
        <v>40</v>
      </c>
      <c r="O45" s="508">
        <v>119.8639984</v>
      </c>
      <c r="P45" s="508">
        <v>131.14500430000001</v>
      </c>
      <c r="Q45" s="509">
        <v>91.680000309999997</v>
      </c>
      <c r="R45" s="510"/>
      <c r="S45" s="507">
        <v>40</v>
      </c>
      <c r="T45" s="508">
        <v>177.93399906500002</v>
      </c>
      <c r="U45" s="508">
        <v>268.25699615000002</v>
      </c>
      <c r="V45" s="509">
        <v>278.57999837699998</v>
      </c>
    </row>
    <row r="46" spans="1:22" ht="11.25" customHeight="1">
      <c r="A46" s="74"/>
      <c r="B46" s="73"/>
      <c r="C46" s="73"/>
      <c r="D46" s="73"/>
      <c r="E46" s="73"/>
      <c r="F46" s="73"/>
      <c r="G46" s="73"/>
      <c r="H46" s="73"/>
      <c r="I46" s="73"/>
      <c r="J46" s="11"/>
      <c r="K46" s="11"/>
      <c r="L46" s="11"/>
      <c r="N46" s="507">
        <v>41</v>
      </c>
      <c r="O46" s="508">
        <v>113.213996887207</v>
      </c>
      <c r="P46" s="508">
        <v>108.82900239999999</v>
      </c>
      <c r="Q46" s="509">
        <v>71.125</v>
      </c>
      <c r="R46" s="510"/>
      <c r="S46" s="507">
        <v>41</v>
      </c>
      <c r="T46" s="508">
        <v>171.68900227546672</v>
      </c>
      <c r="U46" s="508">
        <v>261.21399689000003</v>
      </c>
      <c r="V46" s="509">
        <v>271.23250496387476</v>
      </c>
    </row>
    <row r="47" spans="1:22" ht="11.25" customHeight="1">
      <c r="A47" s="74"/>
      <c r="B47" s="73"/>
      <c r="C47" s="73"/>
      <c r="D47" s="73"/>
      <c r="E47" s="73"/>
      <c r="F47" s="73"/>
      <c r="G47" s="73"/>
      <c r="H47" s="73"/>
      <c r="I47" s="73"/>
      <c r="J47" s="11"/>
      <c r="K47" s="11"/>
      <c r="L47" s="11"/>
      <c r="N47" s="507">
        <v>42</v>
      </c>
      <c r="O47" s="508">
        <v>100.1760025</v>
      </c>
      <c r="P47" s="508">
        <v>95.908996579999993</v>
      </c>
      <c r="Q47" s="509">
        <v>59.261001586913999</v>
      </c>
      <c r="R47" s="510"/>
      <c r="S47" s="507">
        <v>42</v>
      </c>
      <c r="T47" s="508">
        <v>165.69499874400003</v>
      </c>
      <c r="U47" s="508">
        <v>255.58900451</v>
      </c>
      <c r="V47" s="509">
        <v>256.27199935913058</v>
      </c>
    </row>
    <row r="48" spans="1:22" ht="11.25" customHeight="1">
      <c r="A48" s="74"/>
      <c r="B48" s="73"/>
      <c r="C48" s="73"/>
      <c r="D48" s="73"/>
      <c r="E48" s="73"/>
      <c r="F48" s="73"/>
      <c r="G48" s="73"/>
      <c r="H48" s="73"/>
      <c r="I48" s="73"/>
      <c r="J48" s="11"/>
      <c r="K48" s="11"/>
      <c r="L48" s="11"/>
      <c r="N48" s="507">
        <v>43</v>
      </c>
      <c r="O48" s="508">
        <v>89.581001279999995</v>
      </c>
      <c r="P48" s="508">
        <v>83.341003420000007</v>
      </c>
      <c r="Q48" s="509">
        <v>47.749000549316399</v>
      </c>
      <c r="R48" s="510"/>
      <c r="S48" s="507">
        <v>43</v>
      </c>
      <c r="T48" s="508">
        <v>160.397996525</v>
      </c>
      <c r="U48" s="508">
        <v>249.85500335</v>
      </c>
      <c r="V48" s="509">
        <v>249.67099761962871</v>
      </c>
    </row>
    <row r="49" spans="1:22" ht="11.25" customHeight="1">
      <c r="A49" s="74"/>
      <c r="B49" s="73"/>
      <c r="C49" s="73"/>
      <c r="D49" s="73"/>
      <c r="E49" s="73"/>
      <c r="F49" s="73"/>
      <c r="G49" s="73"/>
      <c r="H49" s="73"/>
      <c r="I49" s="73"/>
      <c r="J49" s="11"/>
      <c r="K49" s="11"/>
      <c r="L49" s="11"/>
      <c r="N49" s="507">
        <v>44</v>
      </c>
      <c r="O49" s="508">
        <v>75.156997680000003</v>
      </c>
      <c r="P49" s="508">
        <v>75.16</v>
      </c>
      <c r="Q49" s="509">
        <v>38.424999239999998</v>
      </c>
      <c r="R49" s="510"/>
      <c r="S49" s="507">
        <v>44</v>
      </c>
      <c r="T49" s="508">
        <v>154.79199918699999</v>
      </c>
      <c r="U49" s="508">
        <v>242.79000000000002</v>
      </c>
      <c r="V49" s="509">
        <v>249.67099761962871</v>
      </c>
    </row>
    <row r="50" spans="1:22" ht="12.75">
      <c r="A50" s="74"/>
      <c r="B50" s="73"/>
      <c r="C50" s="73"/>
      <c r="D50" s="73"/>
      <c r="E50" s="73"/>
      <c r="F50" s="73"/>
      <c r="G50" s="73"/>
      <c r="H50" s="73"/>
      <c r="I50" s="73"/>
      <c r="J50" s="11"/>
      <c r="K50" s="11"/>
      <c r="L50" s="11"/>
      <c r="N50" s="507">
        <v>45</v>
      </c>
      <c r="O50" s="508">
        <v>61.2140007</v>
      </c>
      <c r="P50" s="508">
        <v>65.149002080000002</v>
      </c>
      <c r="Q50" s="509">
        <v>31.142000199999998</v>
      </c>
      <c r="R50" s="510"/>
      <c r="S50" s="507">
        <v>45</v>
      </c>
      <c r="T50" s="508">
        <v>149.715000041</v>
      </c>
      <c r="U50" s="508">
        <v>235.60499572000001</v>
      </c>
      <c r="V50" s="509">
        <v>243.378839739</v>
      </c>
    </row>
    <row r="51" spans="1:22" ht="12.75">
      <c r="A51" s="74"/>
      <c r="B51" s="73"/>
      <c r="C51" s="73"/>
      <c r="D51" s="73"/>
      <c r="E51" s="73"/>
      <c r="F51" s="73"/>
      <c r="G51" s="73"/>
      <c r="H51" s="73"/>
      <c r="I51" s="73"/>
      <c r="J51" s="11"/>
      <c r="K51" s="11"/>
      <c r="L51" s="11"/>
      <c r="N51" s="507">
        <v>46</v>
      </c>
      <c r="O51" s="508">
        <v>43.990001679999999</v>
      </c>
      <c r="P51" s="508">
        <v>47.749000549999998</v>
      </c>
      <c r="Q51" s="509">
        <v>22.26</v>
      </c>
      <c r="R51" s="510"/>
      <c r="S51" s="507">
        <v>46</v>
      </c>
      <c r="T51" s="508">
        <v>144.11800040400001</v>
      </c>
      <c r="U51" s="508">
        <v>230.54900361099999</v>
      </c>
      <c r="V51" s="509">
        <v>236.34</v>
      </c>
    </row>
    <row r="52" spans="1:22" ht="12.75">
      <c r="A52" s="74"/>
      <c r="B52" s="73"/>
      <c r="C52" s="73"/>
      <c r="D52" s="73"/>
      <c r="E52" s="73"/>
      <c r="F52" s="73"/>
      <c r="G52" s="73"/>
      <c r="H52" s="73"/>
      <c r="I52" s="73"/>
      <c r="J52" s="11"/>
      <c r="K52" s="11"/>
      <c r="L52" s="11"/>
      <c r="N52" s="507">
        <v>47</v>
      </c>
      <c r="O52" s="508">
        <v>25.781999590000002</v>
      </c>
      <c r="P52" s="508">
        <v>34.763999939999998</v>
      </c>
      <c r="Q52" s="509">
        <v>17.044000629999999</v>
      </c>
      <c r="R52" s="510"/>
      <c r="S52" s="507">
        <v>47</v>
      </c>
      <c r="T52" s="508">
        <v>138.82499813000001</v>
      </c>
      <c r="U52" s="508">
        <v>223.60000467499998</v>
      </c>
      <c r="V52" s="509">
        <v>227.62000255999999</v>
      </c>
    </row>
    <row r="53" spans="1:22" ht="12.75">
      <c r="A53" s="74"/>
      <c r="B53" s="73"/>
      <c r="C53" s="73"/>
      <c r="D53" s="73"/>
      <c r="E53" s="73"/>
      <c r="F53" s="73"/>
      <c r="G53" s="73"/>
      <c r="H53" s="73"/>
      <c r="I53" s="73"/>
      <c r="J53" s="11"/>
      <c r="K53" s="11"/>
      <c r="L53" s="11"/>
      <c r="N53" s="507">
        <v>48</v>
      </c>
      <c r="O53" s="508">
        <v>29.344999309999999</v>
      </c>
      <c r="P53" s="508">
        <v>13.618000029999999</v>
      </c>
      <c r="Q53" s="509">
        <v>36.5890007</v>
      </c>
      <c r="R53" s="510"/>
      <c r="S53" s="507">
        <v>48</v>
      </c>
      <c r="T53" s="508">
        <v>133.112998957</v>
      </c>
      <c r="U53" s="508">
        <v>217.17600035300001</v>
      </c>
      <c r="V53" s="509">
        <v>220.01436420799999</v>
      </c>
    </row>
    <row r="54" spans="1:22" ht="13.5">
      <c r="A54" s="74"/>
      <c r="B54" s="73"/>
      <c r="C54" s="73"/>
      <c r="D54" s="73"/>
      <c r="E54" s="73"/>
      <c r="F54" s="73"/>
      <c r="G54" s="73"/>
      <c r="H54" s="73"/>
      <c r="I54" s="73"/>
      <c r="J54" s="11"/>
      <c r="K54" s="11"/>
      <c r="L54" s="11"/>
      <c r="N54" s="507">
        <v>49</v>
      </c>
      <c r="O54" s="513">
        <v>34.763999939999998</v>
      </c>
      <c r="P54" s="508">
        <v>8.5520000459999999</v>
      </c>
      <c r="Q54" s="509">
        <v>36.590000000000003</v>
      </c>
      <c r="R54" s="510"/>
      <c r="S54" s="507">
        <v>49</v>
      </c>
      <c r="T54" s="508">
        <v>128.370002666</v>
      </c>
      <c r="U54" s="508">
        <v>210.45100211699997</v>
      </c>
      <c r="V54" s="509">
        <v>212.37999999999997</v>
      </c>
    </row>
    <row r="55" spans="1:22" ht="12.75">
      <c r="A55" s="74"/>
      <c r="B55" s="73"/>
      <c r="C55" s="73"/>
      <c r="D55" s="73"/>
      <c r="E55" s="73"/>
      <c r="F55" s="73"/>
      <c r="G55" s="73"/>
      <c r="H55" s="73"/>
      <c r="I55" s="73"/>
      <c r="J55" s="11"/>
      <c r="K55" s="11"/>
      <c r="L55" s="11"/>
      <c r="N55" s="507">
        <v>50</v>
      </c>
      <c r="O55" s="508">
        <v>32.948001859999998</v>
      </c>
      <c r="P55" s="508">
        <v>13.618000029999999</v>
      </c>
      <c r="Q55" s="509">
        <v>34.763999939999998</v>
      </c>
      <c r="R55" s="510"/>
      <c r="S55" s="507">
        <v>50</v>
      </c>
      <c r="T55" s="508">
        <v>122.71499820000001</v>
      </c>
      <c r="U55" s="508">
        <v>203.37099885499998</v>
      </c>
      <c r="V55" s="509">
        <v>205.46782675599999</v>
      </c>
    </row>
    <row r="56" spans="1:22" ht="12.75">
      <c r="A56" s="74"/>
      <c r="B56" s="73"/>
      <c r="C56" s="73"/>
      <c r="D56" s="73"/>
      <c r="E56" s="73"/>
      <c r="F56" s="73"/>
      <c r="G56" s="73"/>
      <c r="H56" s="73"/>
      <c r="I56" s="73"/>
      <c r="J56" s="11"/>
      <c r="K56" s="11"/>
      <c r="L56" s="11"/>
      <c r="N56" s="507">
        <v>51</v>
      </c>
      <c r="O56" s="508">
        <v>25.781999590000002</v>
      </c>
      <c r="P56" s="508">
        <v>18.771999359999999</v>
      </c>
      <c r="Q56" s="509">
        <v>38.4</v>
      </c>
      <c r="R56" s="510"/>
      <c r="S56" s="507">
        <v>51</v>
      </c>
      <c r="T56" s="508">
        <v>120.15600296300001</v>
      </c>
      <c r="U56" s="508">
        <v>202.35899971500001</v>
      </c>
      <c r="V56" s="509">
        <v>199</v>
      </c>
    </row>
    <row r="57" spans="1:22" ht="12.75">
      <c r="A57" s="74"/>
      <c r="B57" s="73"/>
      <c r="C57" s="73"/>
      <c r="D57" s="73"/>
      <c r="E57" s="73"/>
      <c r="F57" s="73"/>
      <c r="G57" s="73"/>
      <c r="H57" s="73"/>
      <c r="I57" s="73"/>
      <c r="N57" s="507">
        <v>52</v>
      </c>
      <c r="O57" s="508">
        <v>22.256999969999999</v>
      </c>
      <c r="P57" s="508">
        <v>25.781999590000002</v>
      </c>
      <c r="Q57" s="509">
        <v>59.261001589999999</v>
      </c>
      <c r="R57" s="510"/>
      <c r="S57" s="507">
        <v>52</v>
      </c>
      <c r="T57" s="508">
        <v>116.12899696700001</v>
      </c>
      <c r="U57" s="508">
        <v>201.25199794899999</v>
      </c>
      <c r="V57" s="509">
        <v>192.88799664499999</v>
      </c>
    </row>
    <row r="58" spans="1:22" ht="12.75">
      <c r="A58" s="74"/>
      <c r="B58" s="73"/>
      <c r="C58" s="73"/>
      <c r="D58" s="73"/>
      <c r="E58" s="73"/>
      <c r="F58" s="73"/>
      <c r="G58" s="73"/>
      <c r="H58" s="73"/>
      <c r="I58" s="73"/>
      <c r="N58" s="507">
        <v>53</v>
      </c>
      <c r="O58" s="510"/>
      <c r="P58" s="510"/>
      <c r="Q58" s="510"/>
      <c r="R58" s="510"/>
      <c r="S58" s="507">
        <v>53</v>
      </c>
      <c r="T58" s="508"/>
      <c r="U58" s="508"/>
      <c r="V58" s="509"/>
    </row>
    <row r="59" spans="1:22" ht="12.75">
      <c r="B59" s="73"/>
      <c r="C59" s="73"/>
      <c r="D59" s="73"/>
      <c r="E59" s="73"/>
      <c r="F59" s="73"/>
      <c r="G59" s="73"/>
      <c r="H59" s="73"/>
      <c r="I59" s="73"/>
    </row>
    <row r="60" spans="1:22" ht="12.75">
      <c r="A60" s="74"/>
      <c r="B60" s="73"/>
      <c r="C60" s="73"/>
      <c r="D60" s="73"/>
      <c r="E60" s="73"/>
      <c r="F60" s="73"/>
      <c r="G60" s="73"/>
      <c r="H60" s="73"/>
      <c r="I60" s="73"/>
    </row>
    <row r="63" spans="1:22">
      <c r="A63" s="279" t="s">
        <v>576</v>
      </c>
    </row>
  </sheetData>
  <mergeCells count="2">
    <mergeCell ref="A5:I5"/>
    <mergeCell ref="B7:C7"/>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U213"/>
  <sheetViews>
    <sheetView showGridLines="0" view="pageBreakPreview" topLeftCell="A44" zoomScale="115" zoomScaleNormal="100" zoomScaleSheetLayoutView="115" zoomScalePageLayoutView="130" workbookViewId="0">
      <selection activeCell="A3" sqref="A3"/>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501"/>
    <col min="12" max="12" width="3.1640625" style="502" bestFit="1" customWidth="1"/>
    <col min="13" max="21" width="9.33203125" style="501"/>
  </cols>
  <sheetData>
    <row r="1" spans="1:15" ht="11.25" customHeight="1"/>
    <row r="2" spans="1:15" ht="11.25" customHeight="1">
      <c r="A2" s="17"/>
      <c r="B2" s="17"/>
      <c r="C2" s="17"/>
      <c r="D2" s="17"/>
      <c r="E2" s="73"/>
      <c r="F2" s="73"/>
      <c r="G2" s="73"/>
    </row>
    <row r="3" spans="1:15" ht="17.25" customHeight="1">
      <c r="A3" s="939" t="s">
        <v>457</v>
      </c>
      <c r="B3" s="939"/>
      <c r="C3" s="939"/>
      <c r="D3" s="939"/>
      <c r="E3" s="939"/>
      <c r="F3" s="939"/>
      <c r="G3" s="939"/>
      <c r="H3" s="36"/>
      <c r="I3" s="36"/>
      <c r="K3" s="501" t="s">
        <v>282</v>
      </c>
      <c r="M3" s="501" t="s">
        <v>283</v>
      </c>
      <c r="N3" s="501" t="s">
        <v>284</v>
      </c>
      <c r="O3" s="501" t="s">
        <v>285</v>
      </c>
    </row>
    <row r="4" spans="1:15" ht="11.25" customHeight="1">
      <c r="A4" s="74"/>
      <c r="B4" s="73"/>
      <c r="C4" s="73"/>
      <c r="D4" s="73"/>
      <c r="E4" s="73"/>
      <c r="F4" s="73"/>
      <c r="G4" s="73"/>
      <c r="H4" s="36"/>
      <c r="I4" s="36"/>
      <c r="J4" s="25">
        <v>2016</v>
      </c>
      <c r="K4" s="501">
        <v>1</v>
      </c>
      <c r="L4" s="502">
        <v>1</v>
      </c>
      <c r="M4" s="503">
        <v>40.61</v>
      </c>
      <c r="N4" s="503">
        <v>96.75</v>
      </c>
      <c r="O4" s="503">
        <v>16.37</v>
      </c>
    </row>
    <row r="5" spans="1:15" ht="11.25" customHeight="1">
      <c r="A5" s="74"/>
      <c r="B5" s="73"/>
      <c r="C5" s="73"/>
      <c r="D5" s="73"/>
      <c r="E5" s="73"/>
      <c r="F5" s="73"/>
      <c r="G5" s="73"/>
      <c r="H5" s="12"/>
      <c r="I5" s="12"/>
      <c r="L5" s="502">
        <v>2</v>
      </c>
      <c r="M5" s="503">
        <v>29.82</v>
      </c>
      <c r="N5" s="503">
        <v>76.510000000000005</v>
      </c>
      <c r="O5" s="503">
        <v>15.9</v>
      </c>
    </row>
    <row r="6" spans="1:15" ht="29.25" customHeight="1">
      <c r="A6" s="136"/>
      <c r="C6" s="585" t="s">
        <v>150</v>
      </c>
      <c r="D6" s="588" t="str">
        <f>UPPER('1. Resumen'!Q4)&amp;"
 "&amp;'1. Resumen'!Q5</f>
        <v>FEBRERO
 2019</v>
      </c>
      <c r="E6" s="589" t="str">
        <f>UPPER('1. Resumen'!Q4)&amp;"
 "&amp;'1. Resumen'!Q5-1</f>
        <v>FEBRERO
 2018</v>
      </c>
      <c r="F6" s="590" t="s">
        <v>129</v>
      </c>
      <c r="G6" s="138"/>
      <c r="H6" s="24"/>
      <c r="I6" s="12"/>
      <c r="L6" s="502">
        <v>3</v>
      </c>
      <c r="M6" s="503">
        <v>27.06</v>
      </c>
      <c r="N6" s="503">
        <v>80.096000000000004</v>
      </c>
      <c r="O6" s="503">
        <v>29.21</v>
      </c>
    </row>
    <row r="7" spans="1:15" ht="11.25" customHeight="1">
      <c r="A7" s="175"/>
      <c r="C7" s="699" t="s">
        <v>151</v>
      </c>
      <c r="D7" s="700">
        <v>119.11535726274725</v>
      </c>
      <c r="E7" s="700">
        <v>102.1</v>
      </c>
      <c r="F7" s="701">
        <f>IF(E7=0,"",(D7-E7)/E7)</f>
        <v>0.16665384194659411</v>
      </c>
      <c r="G7" s="138"/>
      <c r="H7" s="25"/>
      <c r="I7" s="3"/>
      <c r="K7" s="501">
        <v>4</v>
      </c>
      <c r="L7" s="502">
        <v>4</v>
      </c>
      <c r="M7" s="503">
        <v>27.93</v>
      </c>
      <c r="N7" s="503">
        <v>77.09</v>
      </c>
      <c r="O7" s="503">
        <v>20.7</v>
      </c>
    </row>
    <row r="8" spans="1:15" ht="11.25" customHeight="1">
      <c r="A8" s="175"/>
      <c r="C8" s="702" t="s">
        <v>157</v>
      </c>
      <c r="D8" s="703">
        <v>43.789214406694654</v>
      </c>
      <c r="E8" s="703">
        <v>32.4</v>
      </c>
      <c r="F8" s="704">
        <f t="shared" ref="F8:F30" si="0">IF(E8=0,"",(D8-E8)/E8)</f>
        <v>0.35151896316958814</v>
      </c>
      <c r="G8" s="138"/>
      <c r="H8" s="23"/>
      <c r="I8" s="3"/>
      <c r="L8" s="502">
        <v>5</v>
      </c>
      <c r="M8" s="503">
        <v>49.585999999999999</v>
      </c>
      <c r="N8" s="503">
        <v>140.12</v>
      </c>
      <c r="O8" s="503">
        <v>74.02</v>
      </c>
    </row>
    <row r="9" spans="1:15" ht="11.25" customHeight="1">
      <c r="A9" s="175"/>
      <c r="C9" s="705" t="s">
        <v>158</v>
      </c>
      <c r="D9" s="706">
        <v>226.64132090977233</v>
      </c>
      <c r="E9" s="706">
        <v>180.6</v>
      </c>
      <c r="F9" s="707">
        <f t="shared" si="0"/>
        <v>0.25493533172631416</v>
      </c>
      <c r="G9" s="138"/>
      <c r="H9" s="25"/>
      <c r="I9" s="3"/>
      <c r="L9" s="502">
        <v>6</v>
      </c>
      <c r="M9" s="503">
        <v>57</v>
      </c>
      <c r="N9" s="503">
        <v>144.66999999999999</v>
      </c>
      <c r="O9" s="503">
        <v>78.08</v>
      </c>
    </row>
    <row r="10" spans="1:15" ht="11.25" customHeight="1">
      <c r="A10" s="175"/>
      <c r="C10" s="702" t="s">
        <v>165</v>
      </c>
      <c r="D10" s="703">
        <v>186.42821339198485</v>
      </c>
      <c r="E10" s="703">
        <v>105</v>
      </c>
      <c r="F10" s="704">
        <f t="shared" si="0"/>
        <v>0.77550679420937962</v>
      </c>
      <c r="G10" s="138"/>
      <c r="H10" s="25"/>
      <c r="I10" s="3"/>
      <c r="L10" s="502">
        <v>7</v>
      </c>
      <c r="M10" s="503">
        <v>52.31</v>
      </c>
      <c r="N10" s="503">
        <v>117.32</v>
      </c>
      <c r="O10" s="503">
        <v>41.34</v>
      </c>
    </row>
    <row r="11" spans="1:15" ht="11.25" customHeight="1">
      <c r="A11" s="175"/>
      <c r="C11" s="705" t="s">
        <v>166</v>
      </c>
      <c r="D11" s="706">
        <v>102.63392850330881</v>
      </c>
      <c r="E11" s="706">
        <v>38.700000000000003</v>
      </c>
      <c r="F11" s="707">
        <f t="shared" si="0"/>
        <v>1.6520394962095297</v>
      </c>
      <c r="G11" s="138"/>
      <c r="H11" s="25"/>
      <c r="I11" s="3"/>
      <c r="K11" s="501">
        <v>8</v>
      </c>
      <c r="L11" s="502">
        <v>8</v>
      </c>
      <c r="M11" s="503">
        <v>57.96</v>
      </c>
      <c r="N11" s="503">
        <v>140.31</v>
      </c>
      <c r="O11" s="503">
        <v>96.52</v>
      </c>
    </row>
    <row r="12" spans="1:15" ht="11.25" customHeight="1">
      <c r="A12" s="175"/>
      <c r="C12" s="702" t="s">
        <v>168</v>
      </c>
      <c r="D12" s="703">
        <v>71.960571561540732</v>
      </c>
      <c r="E12" s="703">
        <v>50.3</v>
      </c>
      <c r="F12" s="704">
        <f t="shared" si="0"/>
        <v>0.43062766523937845</v>
      </c>
      <c r="G12" s="138"/>
      <c r="H12" s="25"/>
      <c r="I12" s="3"/>
      <c r="L12" s="502">
        <v>9</v>
      </c>
      <c r="M12" s="503">
        <v>100.51885660000001</v>
      </c>
      <c r="N12" s="503">
        <v>268.94750210000001</v>
      </c>
      <c r="O12" s="503">
        <v>150.104332</v>
      </c>
    </row>
    <row r="13" spans="1:15" ht="11.25" customHeight="1">
      <c r="A13" s="175"/>
      <c r="C13" s="705" t="s">
        <v>156</v>
      </c>
      <c r="D13" s="706">
        <v>125.45</v>
      </c>
      <c r="E13" s="706">
        <v>61.838915074404731</v>
      </c>
      <c r="F13" s="707">
        <f t="shared" si="0"/>
        <v>1.0286578418954837</v>
      </c>
      <c r="G13" s="138"/>
      <c r="H13" s="23"/>
      <c r="I13" s="3"/>
      <c r="L13" s="502">
        <v>10</v>
      </c>
      <c r="M13" s="503">
        <v>75.15657152448378</v>
      </c>
      <c r="N13" s="503">
        <v>243.71150207519463</v>
      </c>
      <c r="O13" s="503">
        <v>181.79733530680286</v>
      </c>
    </row>
    <row r="14" spans="1:15" ht="11.25" customHeight="1">
      <c r="A14" s="175"/>
      <c r="C14" s="702" t="s">
        <v>273</v>
      </c>
      <c r="D14" s="703">
        <v>158.70474951607798</v>
      </c>
      <c r="E14" s="703">
        <v>64.2</v>
      </c>
      <c r="F14" s="704">
        <f t="shared" si="0"/>
        <v>1.4720365968236444</v>
      </c>
      <c r="G14" s="138"/>
      <c r="H14" s="25"/>
      <c r="I14" s="3"/>
      <c r="L14" s="502">
        <v>11</v>
      </c>
      <c r="M14" s="503">
        <v>52.24</v>
      </c>
      <c r="N14" s="503">
        <v>154.21</v>
      </c>
      <c r="O14" s="503">
        <v>79.12</v>
      </c>
    </row>
    <row r="15" spans="1:15" ht="11.25" customHeight="1">
      <c r="A15" s="175"/>
      <c r="C15" s="705" t="s">
        <v>274</v>
      </c>
      <c r="D15" s="706">
        <v>321.96714401245066</v>
      </c>
      <c r="E15" s="706">
        <v>330.9</v>
      </c>
      <c r="F15" s="707">
        <f t="shared" si="0"/>
        <v>-2.6995636106223384E-2</v>
      </c>
      <c r="G15" s="138"/>
      <c r="H15" s="25"/>
      <c r="I15" s="3"/>
      <c r="K15" s="501">
        <v>12</v>
      </c>
      <c r="L15" s="502">
        <v>12</v>
      </c>
      <c r="M15" s="503">
        <v>44.628571101597331</v>
      </c>
      <c r="N15" s="503">
        <v>116.62271445138057</v>
      </c>
      <c r="O15" s="503">
        <v>41.373285293579045</v>
      </c>
    </row>
    <row r="16" spans="1:15" ht="11.25" customHeight="1">
      <c r="A16" s="175"/>
      <c r="C16" s="702" t="s">
        <v>163</v>
      </c>
      <c r="D16" s="703">
        <v>98.656035014561056</v>
      </c>
      <c r="E16" s="703">
        <v>50.3</v>
      </c>
      <c r="F16" s="704">
        <f t="shared" si="0"/>
        <v>0.96135258478252605</v>
      </c>
      <c r="G16" s="138"/>
      <c r="H16" s="25"/>
      <c r="I16" s="3"/>
      <c r="L16" s="502">
        <v>13</v>
      </c>
      <c r="M16" s="503">
        <v>42.599998474121001</v>
      </c>
      <c r="N16" s="503">
        <v>120.78800201416</v>
      </c>
      <c r="O16" s="503">
        <v>93.665000915527301</v>
      </c>
    </row>
    <row r="17" spans="1:15" ht="11.25" customHeight="1">
      <c r="A17" s="175"/>
      <c r="C17" s="705" t="s">
        <v>167</v>
      </c>
      <c r="D17" s="706">
        <v>23.901393004826105</v>
      </c>
      <c r="E17" s="706">
        <v>16.399999999999999</v>
      </c>
      <c r="F17" s="707">
        <f t="shared" si="0"/>
        <v>0.45740201248939677</v>
      </c>
      <c r="G17" s="138"/>
      <c r="H17" s="25"/>
      <c r="I17" s="3"/>
      <c r="L17" s="502">
        <v>14</v>
      </c>
      <c r="M17" s="503">
        <v>49.743000030517535</v>
      </c>
      <c r="N17" s="503">
        <v>125.66285814557708</v>
      </c>
      <c r="O17" s="503">
        <v>131.74585723876913</v>
      </c>
    </row>
    <row r="18" spans="1:15" ht="11.25" customHeight="1">
      <c r="A18" s="175"/>
      <c r="C18" s="702" t="s">
        <v>275</v>
      </c>
      <c r="D18" s="703">
        <v>20.266383818217651</v>
      </c>
      <c r="E18" s="703">
        <v>17.7</v>
      </c>
      <c r="F18" s="704">
        <f t="shared" si="0"/>
        <v>0.14499343605749446</v>
      </c>
      <c r="G18" s="138"/>
      <c r="H18" s="25"/>
      <c r="I18" s="3"/>
      <c r="L18" s="502">
        <v>15</v>
      </c>
      <c r="M18" s="503">
        <v>54.414285387311615</v>
      </c>
      <c r="N18" s="503">
        <v>127.68985639299636</v>
      </c>
      <c r="O18" s="503">
        <v>71.706143515450577</v>
      </c>
    </row>
    <row r="19" spans="1:15" ht="11.25" customHeight="1">
      <c r="A19" s="175"/>
      <c r="C19" s="705" t="s">
        <v>276</v>
      </c>
      <c r="D19" s="706">
        <v>37.450000000000003</v>
      </c>
      <c r="E19" s="706">
        <v>39.295260193452378</v>
      </c>
      <c r="F19" s="707">
        <f t="shared" si="0"/>
        <v>-4.6958849091927997E-2</v>
      </c>
      <c r="G19" s="138"/>
      <c r="H19" s="25"/>
      <c r="I19" s="3"/>
      <c r="K19" s="501">
        <v>16</v>
      </c>
      <c r="L19" s="502">
        <v>16</v>
      </c>
      <c r="M19" s="503">
        <v>47.73</v>
      </c>
      <c r="N19" s="503">
        <v>97.4</v>
      </c>
      <c r="O19" s="503">
        <v>53.49</v>
      </c>
    </row>
    <row r="20" spans="1:15" ht="11.25" customHeight="1">
      <c r="A20" s="175"/>
      <c r="C20" s="702" t="s">
        <v>277</v>
      </c>
      <c r="D20" s="703">
        <v>1.5517857074737502</v>
      </c>
      <c r="E20" s="703">
        <v>1.5</v>
      </c>
      <c r="F20" s="704">
        <f t="shared" si="0"/>
        <v>3.4523804982500149E-2</v>
      </c>
      <c r="G20" s="138"/>
      <c r="H20" s="25"/>
      <c r="I20" s="3"/>
      <c r="L20" s="502">
        <v>17</v>
      </c>
      <c r="M20" s="503">
        <v>42.142857687813873</v>
      </c>
      <c r="N20" s="503">
        <v>85.487143380301248</v>
      </c>
      <c r="O20" s="503">
        <v>51.424428122384178</v>
      </c>
    </row>
    <row r="21" spans="1:15" ht="11.25" customHeight="1">
      <c r="A21" s="175"/>
      <c r="C21" s="705" t="s">
        <v>154</v>
      </c>
      <c r="D21" s="706">
        <v>503.04132080078108</v>
      </c>
      <c r="E21" s="706">
        <v>260.39999999999998</v>
      </c>
      <c r="F21" s="707">
        <f t="shared" si="0"/>
        <v>0.93180230722266177</v>
      </c>
      <c r="G21" s="138"/>
      <c r="H21" s="25"/>
      <c r="I21" s="3"/>
      <c r="L21" s="502">
        <v>18</v>
      </c>
      <c r="M21" s="503">
        <v>27.452428545270582</v>
      </c>
      <c r="N21" s="503">
        <v>62.369998931884716</v>
      </c>
      <c r="O21" s="503">
        <v>34.353571755545424</v>
      </c>
    </row>
    <row r="22" spans="1:15" ht="11.25" customHeight="1">
      <c r="A22" s="175"/>
      <c r="C22" s="702" t="s">
        <v>152</v>
      </c>
      <c r="D22" s="703">
        <v>0</v>
      </c>
      <c r="E22" s="703">
        <v>0</v>
      </c>
      <c r="F22" s="704" t="str">
        <f t="shared" si="0"/>
        <v/>
      </c>
      <c r="G22" s="138"/>
      <c r="H22" s="25"/>
      <c r="I22" s="3"/>
      <c r="L22" s="502">
        <v>19</v>
      </c>
      <c r="M22" s="503">
        <v>21.857142584664455</v>
      </c>
      <c r="N22" s="503">
        <v>58.684285300118525</v>
      </c>
      <c r="O22" s="503">
        <v>29.207143238612552</v>
      </c>
    </row>
    <row r="23" spans="1:15" ht="11.25" customHeight="1">
      <c r="A23" s="175"/>
      <c r="C23" s="705" t="s">
        <v>153</v>
      </c>
      <c r="D23" s="706">
        <v>54.672001293727284</v>
      </c>
      <c r="E23" s="706">
        <v>5.0999999999999996</v>
      </c>
      <c r="F23" s="707">
        <f t="shared" si="0"/>
        <v>9.7200002536720174</v>
      </c>
      <c r="G23" s="138"/>
      <c r="H23" s="25"/>
      <c r="I23" s="3"/>
      <c r="K23" s="501">
        <v>20</v>
      </c>
      <c r="L23" s="502">
        <v>20</v>
      </c>
      <c r="M23" s="503">
        <v>19.5</v>
      </c>
      <c r="N23" s="503">
        <v>54</v>
      </c>
      <c r="O23" s="503">
        <v>22.1</v>
      </c>
    </row>
    <row r="24" spans="1:15" ht="11.25" customHeight="1">
      <c r="A24" s="175"/>
      <c r="C24" s="702" t="s">
        <v>169</v>
      </c>
      <c r="D24" s="703">
        <v>18.452500036784549</v>
      </c>
      <c r="E24" s="703">
        <v>27.5</v>
      </c>
      <c r="F24" s="704">
        <f t="shared" si="0"/>
        <v>-0.32899999866238</v>
      </c>
      <c r="G24" s="138"/>
      <c r="H24" s="26"/>
      <c r="I24" s="3"/>
      <c r="L24" s="502">
        <v>21</v>
      </c>
      <c r="M24" s="503">
        <v>19.485713958740185</v>
      </c>
      <c r="N24" s="503">
        <v>50.756999969482365</v>
      </c>
      <c r="O24" s="503">
        <v>17.473428726196214</v>
      </c>
    </row>
    <row r="25" spans="1:15" ht="11.25" customHeight="1">
      <c r="A25" s="138"/>
      <c r="C25" s="705" t="s">
        <v>159</v>
      </c>
      <c r="D25" s="706">
        <v>0.62545750396592248</v>
      </c>
      <c r="E25" s="706">
        <v>0</v>
      </c>
      <c r="F25" s="707" t="str">
        <f t="shared" si="0"/>
        <v/>
      </c>
      <c r="G25" s="159"/>
      <c r="H25" s="25"/>
      <c r="I25" s="3"/>
      <c r="L25" s="502">
        <v>22</v>
      </c>
      <c r="M25" s="503">
        <v>16.329999999999998</v>
      </c>
      <c r="N25" s="503">
        <v>46.59</v>
      </c>
      <c r="O25" s="503">
        <v>17.04</v>
      </c>
    </row>
    <row r="26" spans="1:15" ht="11.25" customHeight="1">
      <c r="A26" s="176"/>
      <c r="C26" s="702" t="s">
        <v>160</v>
      </c>
      <c r="D26" s="703">
        <v>1.6200000345706898</v>
      </c>
      <c r="E26" s="703">
        <v>0.9</v>
      </c>
      <c r="F26" s="704">
        <f t="shared" si="0"/>
        <v>0.8000000384118775</v>
      </c>
      <c r="G26" s="138"/>
      <c r="H26" s="23"/>
      <c r="I26" s="3"/>
      <c r="L26" s="502">
        <v>23</v>
      </c>
      <c r="M26" s="503">
        <v>15.18</v>
      </c>
      <c r="N26" s="503">
        <v>40.29</v>
      </c>
      <c r="O26" s="503">
        <v>22.12</v>
      </c>
    </row>
    <row r="27" spans="1:15" ht="11.25" customHeight="1">
      <c r="A27" s="138"/>
      <c r="C27" s="705" t="s">
        <v>161</v>
      </c>
      <c r="D27" s="706">
        <v>0</v>
      </c>
      <c r="E27" s="706">
        <v>0.3</v>
      </c>
      <c r="F27" s="707">
        <f t="shared" si="0"/>
        <v>-1</v>
      </c>
      <c r="G27" s="138"/>
      <c r="H27" s="23"/>
      <c r="I27" s="3"/>
      <c r="K27" s="501">
        <v>24</v>
      </c>
      <c r="L27" s="502">
        <v>24</v>
      </c>
      <c r="M27" s="503">
        <v>15.1</v>
      </c>
      <c r="N27" s="503">
        <v>35.630000000000003</v>
      </c>
      <c r="O27" s="503">
        <v>13.87</v>
      </c>
    </row>
    <row r="28" spans="1:15" ht="11.25" customHeight="1">
      <c r="A28" s="138"/>
      <c r="C28" s="702" t="s">
        <v>162</v>
      </c>
      <c r="D28" s="703">
        <v>0</v>
      </c>
      <c r="E28" s="703">
        <v>0</v>
      </c>
      <c r="F28" s="704" t="str">
        <f t="shared" si="0"/>
        <v/>
      </c>
      <c r="G28" s="138"/>
      <c r="H28" s="23"/>
      <c r="I28" s="3"/>
      <c r="L28" s="502">
        <v>25</v>
      </c>
      <c r="M28" s="503">
        <v>18.016999930000001</v>
      </c>
      <c r="N28" s="503">
        <v>34.608428410000002</v>
      </c>
      <c r="O28" s="503">
        <v>10.78285721</v>
      </c>
    </row>
    <row r="29" spans="1:15" ht="11.25" customHeight="1">
      <c r="A29" s="159"/>
      <c r="C29" s="705" t="s">
        <v>164</v>
      </c>
      <c r="D29" s="706">
        <v>3.1844239469085389</v>
      </c>
      <c r="E29" s="706">
        <v>1.6</v>
      </c>
      <c r="F29" s="707">
        <f t="shared" si="0"/>
        <v>0.99026496681783671</v>
      </c>
      <c r="G29" s="177"/>
      <c r="H29" s="23"/>
      <c r="I29" s="3"/>
      <c r="L29" s="502">
        <v>26</v>
      </c>
      <c r="M29" s="503">
        <v>16.489714209999999</v>
      </c>
      <c r="N29" s="503">
        <v>34.074285510000003</v>
      </c>
      <c r="O29" s="503">
        <v>9.5958572120000003</v>
      </c>
    </row>
    <row r="30" spans="1:15" ht="11.25" customHeight="1">
      <c r="A30" s="176"/>
      <c r="C30" s="708" t="s">
        <v>155</v>
      </c>
      <c r="D30" s="709">
        <v>0</v>
      </c>
      <c r="E30" s="709">
        <v>6.0223214285714288</v>
      </c>
      <c r="F30" s="710">
        <f t="shared" si="0"/>
        <v>-1</v>
      </c>
      <c r="G30" s="138"/>
      <c r="H30" s="25"/>
      <c r="I30" s="3"/>
      <c r="L30" s="502">
        <v>27</v>
      </c>
      <c r="M30" s="503">
        <v>16.199999810000001</v>
      </c>
      <c r="N30" s="503">
        <v>29.599571770000001</v>
      </c>
      <c r="O30" s="503">
        <v>7.8892858370000001</v>
      </c>
    </row>
    <row r="31" spans="1:15" ht="11.25" customHeight="1">
      <c r="A31" s="137"/>
      <c r="C31" s="280" t="str">
        <f>"Cuadro N°10: Promedio de caudales en "&amp;'1. Resumen'!Q4</f>
        <v>Cuadro N°10: Promedio de caudales en febrero</v>
      </c>
      <c r="D31" s="137"/>
      <c r="E31" s="137"/>
      <c r="F31" s="137"/>
      <c r="G31" s="137"/>
      <c r="H31" s="25"/>
      <c r="I31" s="6"/>
      <c r="K31" s="501">
        <v>28</v>
      </c>
      <c r="L31" s="502">
        <v>28</v>
      </c>
      <c r="M31" s="503">
        <v>12.016285760000001</v>
      </c>
      <c r="N31" s="503">
        <v>29.3955713</v>
      </c>
      <c r="O31" s="503">
        <v>7.2334286140000001</v>
      </c>
    </row>
    <row r="32" spans="1:15" ht="11.25" customHeight="1">
      <c r="A32" s="137"/>
      <c r="B32" s="137"/>
      <c r="C32" s="137"/>
      <c r="D32" s="137"/>
      <c r="E32" s="137"/>
      <c r="F32" s="137"/>
      <c r="G32" s="137"/>
      <c r="H32" s="25"/>
      <c r="I32" s="6"/>
      <c r="L32" s="502">
        <v>29</v>
      </c>
      <c r="M32" s="503">
        <v>10.423571450000001</v>
      </c>
      <c r="N32" s="503">
        <v>32.468857079999999</v>
      </c>
      <c r="O32" s="503">
        <v>6.729428564</v>
      </c>
    </row>
    <row r="33" spans="1:15" ht="11.25" customHeight="1">
      <c r="A33" s="137"/>
      <c r="B33" s="137"/>
      <c r="C33" s="137"/>
      <c r="D33" s="137"/>
      <c r="E33" s="137"/>
      <c r="F33" s="137"/>
      <c r="G33" s="137"/>
      <c r="H33" s="25"/>
      <c r="I33" s="6"/>
      <c r="L33" s="502">
        <v>30</v>
      </c>
      <c r="M33" s="503">
        <v>10.043285640000001</v>
      </c>
      <c r="N33" s="503">
        <v>32.112285890000003</v>
      </c>
      <c r="O33" s="503">
        <v>5.6338571819999999</v>
      </c>
    </row>
    <row r="34" spans="1:15" ht="11.25" customHeight="1">
      <c r="A34" s="137"/>
      <c r="B34" s="137"/>
      <c r="C34" s="137"/>
      <c r="D34" s="137"/>
      <c r="E34" s="137"/>
      <c r="F34" s="137"/>
      <c r="G34" s="137"/>
      <c r="H34" s="25"/>
      <c r="I34" s="6"/>
      <c r="L34" s="502">
        <v>31</v>
      </c>
      <c r="M34" s="503">
        <v>10.086428642272944</v>
      </c>
      <c r="N34" s="503">
        <v>29.132714407784558</v>
      </c>
      <c r="O34" s="503">
        <v>5.181999887738904</v>
      </c>
    </row>
    <row r="35" spans="1:15" ht="11.25" customHeight="1">
      <c r="A35" s="939" t="s">
        <v>458</v>
      </c>
      <c r="B35" s="939"/>
      <c r="C35" s="939"/>
      <c r="D35" s="939"/>
      <c r="E35" s="939"/>
      <c r="F35" s="939"/>
      <c r="G35" s="939"/>
      <c r="H35" s="25"/>
      <c r="I35" s="6"/>
      <c r="K35" s="501">
        <v>32</v>
      </c>
      <c r="L35" s="502">
        <v>32</v>
      </c>
      <c r="M35" s="503">
        <v>12.08228561</v>
      </c>
      <c r="N35" s="503">
        <v>34.150143489999998</v>
      </c>
      <c r="O35" s="503">
        <v>4.8032856669999999</v>
      </c>
    </row>
    <row r="36" spans="1:15" ht="11.25" customHeight="1">
      <c r="A36" s="137"/>
      <c r="B36" s="137"/>
      <c r="C36" s="137"/>
      <c r="D36" s="137"/>
      <c r="E36" s="137"/>
      <c r="F36" s="137"/>
      <c r="G36" s="137"/>
      <c r="H36" s="25"/>
      <c r="I36" s="6"/>
      <c r="L36" s="502">
        <v>33</v>
      </c>
      <c r="M36" s="503">
        <v>11.874000004359614</v>
      </c>
      <c r="N36" s="503">
        <v>35.225571223667643</v>
      </c>
      <c r="O36" s="503">
        <v>4.3821428843906904</v>
      </c>
    </row>
    <row r="37" spans="1:15" ht="11.25" customHeight="1">
      <c r="A37" s="136"/>
      <c r="B37" s="138"/>
      <c r="C37" s="138"/>
      <c r="D37" s="138"/>
      <c r="E37" s="138"/>
      <c r="F37" s="138"/>
      <c r="G37" s="138"/>
      <c r="H37" s="26"/>
      <c r="I37" s="6"/>
      <c r="L37" s="502">
        <v>34</v>
      </c>
      <c r="M37" s="503">
        <v>10.842857090000001</v>
      </c>
      <c r="N37" s="503">
        <v>35.168570930000001</v>
      </c>
      <c r="O37" s="503">
        <v>13.837000059999999</v>
      </c>
    </row>
    <row r="38" spans="1:15" ht="11.25" customHeight="1">
      <c r="A38" s="74"/>
      <c r="B38" s="73"/>
      <c r="C38" s="73"/>
      <c r="D38" s="73"/>
      <c r="E38" s="73"/>
      <c r="F38" s="73"/>
      <c r="G38" s="73"/>
      <c r="H38" s="3"/>
      <c r="I38" s="6"/>
      <c r="L38" s="502">
        <v>35</v>
      </c>
      <c r="M38" s="503">
        <v>10.48142842</v>
      </c>
      <c r="N38" s="503">
        <v>37.824428560000001</v>
      </c>
      <c r="O38" s="503">
        <v>3.922857182</v>
      </c>
    </row>
    <row r="39" spans="1:15" ht="11.25" customHeight="1">
      <c r="A39" s="74"/>
      <c r="B39" s="73"/>
      <c r="C39" s="73"/>
      <c r="D39" s="73"/>
      <c r="E39" s="73"/>
      <c r="F39" s="73"/>
      <c r="G39" s="73"/>
      <c r="H39" s="3"/>
      <c r="I39" s="10"/>
      <c r="K39" s="501">
        <v>36</v>
      </c>
      <c r="L39" s="502">
        <v>36</v>
      </c>
      <c r="M39" s="503">
        <v>11.85</v>
      </c>
      <c r="N39" s="503">
        <v>39.78</v>
      </c>
      <c r="O39" s="503">
        <v>4.9800000000000004</v>
      </c>
    </row>
    <row r="40" spans="1:15" ht="11.25" customHeight="1">
      <c r="A40" s="74"/>
      <c r="B40" s="73"/>
      <c r="C40" s="73"/>
      <c r="D40" s="73"/>
      <c r="E40" s="73"/>
      <c r="F40" s="73"/>
      <c r="G40" s="73"/>
      <c r="H40" s="3"/>
      <c r="I40" s="10"/>
      <c r="L40" s="502">
        <v>37</v>
      </c>
      <c r="M40" s="503">
        <v>12.08</v>
      </c>
      <c r="N40" s="503">
        <v>44.25</v>
      </c>
      <c r="O40" s="503">
        <v>4.92</v>
      </c>
    </row>
    <row r="41" spans="1:15" ht="11.25" customHeight="1">
      <c r="A41" s="74"/>
      <c r="B41" s="73"/>
      <c r="C41" s="73"/>
      <c r="D41" s="73"/>
      <c r="E41" s="73"/>
      <c r="F41" s="73"/>
      <c r="G41" s="73"/>
      <c r="H41" s="3"/>
      <c r="I41" s="7"/>
      <c r="L41" s="502">
        <v>38</v>
      </c>
      <c r="M41" s="503">
        <v>11.88371427</v>
      </c>
      <c r="N41" s="503">
        <v>41.311858039999997</v>
      </c>
      <c r="O41" s="503">
        <v>4.6447142870000002</v>
      </c>
    </row>
    <row r="42" spans="1:15" ht="11.25" customHeight="1">
      <c r="A42" s="74"/>
      <c r="B42" s="73"/>
      <c r="C42" s="73"/>
      <c r="D42" s="73"/>
      <c r="E42" s="73"/>
      <c r="F42" s="73"/>
      <c r="G42" s="73"/>
      <c r="H42" s="3"/>
      <c r="I42" s="7"/>
      <c r="K42" s="501">
        <v>39</v>
      </c>
      <c r="L42" s="502">
        <v>39</v>
      </c>
      <c r="M42" s="503">
        <v>13.06</v>
      </c>
      <c r="N42" s="503">
        <v>41.13</v>
      </c>
      <c r="O42" s="503">
        <v>4.2699999999999996</v>
      </c>
    </row>
    <row r="43" spans="1:15" ht="11.25" customHeight="1">
      <c r="A43" s="74"/>
      <c r="B43" s="73"/>
      <c r="C43" s="73"/>
      <c r="D43" s="73"/>
      <c r="E43" s="73"/>
      <c r="F43" s="73"/>
      <c r="G43" s="73"/>
      <c r="H43" s="3"/>
      <c r="I43" s="7"/>
      <c r="L43" s="502">
        <v>40</v>
      </c>
      <c r="M43" s="503">
        <v>15.945571764285715</v>
      </c>
      <c r="N43" s="503">
        <v>46.466000694285704</v>
      </c>
      <c r="O43" s="503">
        <v>5.3634285927142864</v>
      </c>
    </row>
    <row r="44" spans="1:15" ht="11.25" customHeight="1">
      <c r="A44" s="74"/>
      <c r="B44" s="73"/>
      <c r="C44" s="73"/>
      <c r="D44" s="73"/>
      <c r="E44" s="73"/>
      <c r="F44" s="73"/>
      <c r="G44" s="73"/>
      <c r="H44" s="6"/>
      <c r="I44" s="10"/>
      <c r="L44" s="502">
        <v>41</v>
      </c>
      <c r="M44" s="503">
        <v>15.848856789725129</v>
      </c>
      <c r="N44" s="503">
        <v>37.273714882986837</v>
      </c>
      <c r="O44" s="503">
        <v>6.9682856968470812</v>
      </c>
    </row>
    <row r="45" spans="1:15" ht="11.25" customHeight="1">
      <c r="A45" s="74"/>
      <c r="B45" s="73"/>
      <c r="C45" s="73"/>
      <c r="D45" s="73"/>
      <c r="E45" s="73"/>
      <c r="F45" s="73"/>
      <c r="G45" s="73"/>
      <c r="H45" s="3"/>
      <c r="I45" s="10"/>
      <c r="L45" s="502">
        <v>42</v>
      </c>
      <c r="M45" s="503">
        <v>15.549142972857144</v>
      </c>
      <c r="N45" s="503">
        <v>48.572000228571433</v>
      </c>
      <c r="O45" s="503">
        <v>11.100428648285714</v>
      </c>
    </row>
    <row r="46" spans="1:15" ht="11.25" customHeight="1">
      <c r="A46" s="74"/>
      <c r="B46" s="73"/>
      <c r="C46" s="73"/>
      <c r="D46" s="73"/>
      <c r="E46" s="73"/>
      <c r="F46" s="73"/>
      <c r="G46" s="73"/>
      <c r="H46" s="3"/>
      <c r="I46" s="10"/>
      <c r="K46" s="501">
        <v>43</v>
      </c>
      <c r="L46" s="502">
        <v>43</v>
      </c>
      <c r="M46" s="503">
        <v>13.17</v>
      </c>
      <c r="N46" s="503">
        <v>35.32</v>
      </c>
      <c r="O46" s="503">
        <v>6.01</v>
      </c>
    </row>
    <row r="47" spans="1:15" ht="11.25" customHeight="1">
      <c r="A47" s="74"/>
      <c r="B47" s="73"/>
      <c r="C47" s="73"/>
      <c r="D47" s="73"/>
      <c r="E47" s="73"/>
      <c r="F47" s="73"/>
      <c r="G47" s="73"/>
      <c r="H47" s="11"/>
      <c r="I47" s="11"/>
      <c r="L47" s="502">
        <v>44</v>
      </c>
      <c r="M47" s="503">
        <v>13.18</v>
      </c>
      <c r="N47" s="503">
        <v>36.83</v>
      </c>
      <c r="O47" s="503">
        <v>4.57</v>
      </c>
    </row>
    <row r="48" spans="1:15" ht="11.25" customHeight="1">
      <c r="A48" s="74"/>
      <c r="B48" s="73"/>
      <c r="C48" s="73"/>
      <c r="D48" s="73"/>
      <c r="E48" s="73"/>
      <c r="F48" s="73"/>
      <c r="G48" s="73"/>
      <c r="H48" s="11"/>
      <c r="I48" s="11"/>
      <c r="L48" s="502">
        <v>45</v>
      </c>
      <c r="M48" s="503">
        <v>13.49</v>
      </c>
      <c r="N48" s="503">
        <v>39.520000000000003</v>
      </c>
      <c r="O48" s="503">
        <v>4.83</v>
      </c>
    </row>
    <row r="49" spans="1:15" ht="11.25" customHeight="1">
      <c r="A49" s="74"/>
      <c r="B49" s="73"/>
      <c r="C49" s="73"/>
      <c r="D49" s="73"/>
      <c r="E49" s="73"/>
      <c r="F49" s="73"/>
      <c r="G49" s="73"/>
      <c r="H49" s="11"/>
      <c r="I49" s="11"/>
      <c r="L49" s="502">
        <v>46</v>
      </c>
      <c r="M49" s="503">
        <v>15.4</v>
      </c>
      <c r="N49" s="503">
        <v>53.38</v>
      </c>
      <c r="O49" s="503">
        <v>3.73</v>
      </c>
    </row>
    <row r="50" spans="1:15" ht="11.25" customHeight="1">
      <c r="A50" s="74"/>
      <c r="B50" s="73"/>
      <c r="C50" s="73"/>
      <c r="D50" s="73"/>
      <c r="E50" s="73"/>
      <c r="F50" s="73"/>
      <c r="G50" s="73"/>
      <c r="H50" s="11"/>
      <c r="I50" s="11"/>
      <c r="L50" s="502">
        <v>47</v>
      </c>
      <c r="M50" s="503">
        <v>16.408999999999999</v>
      </c>
      <c r="N50" s="503">
        <v>61.853000000000002</v>
      </c>
      <c r="O50" s="503">
        <v>2.5211429999999999</v>
      </c>
    </row>
    <row r="51" spans="1:15" ht="11.25" customHeight="1">
      <c r="A51" s="74"/>
      <c r="B51" s="73"/>
      <c r="C51" s="73"/>
      <c r="D51" s="73"/>
      <c r="E51" s="73"/>
      <c r="F51" s="73"/>
      <c r="G51" s="73"/>
      <c r="H51" s="11"/>
      <c r="I51" s="11"/>
      <c r="K51" s="501">
        <v>48</v>
      </c>
      <c r="L51" s="502">
        <v>48</v>
      </c>
      <c r="M51" s="503">
        <v>16.328857422857144</v>
      </c>
      <c r="N51" s="503">
        <v>65.330427987142869</v>
      </c>
      <c r="O51" s="503">
        <v>3.571428503285714</v>
      </c>
    </row>
    <row r="52" spans="1:15" ht="11.25" customHeight="1">
      <c r="A52" s="74"/>
      <c r="B52" s="73"/>
      <c r="C52" s="73"/>
      <c r="D52" s="73"/>
      <c r="E52" s="73"/>
      <c r="F52" s="73"/>
      <c r="G52" s="73"/>
      <c r="H52" s="11"/>
      <c r="I52" s="11"/>
      <c r="L52" s="502">
        <v>49</v>
      </c>
      <c r="M52" s="503">
        <v>20.236285890000001</v>
      </c>
      <c r="N52" s="503">
        <v>66.680000000000007</v>
      </c>
      <c r="O52" s="503">
        <v>6.1</v>
      </c>
    </row>
    <row r="53" spans="1:15" ht="11.25" customHeight="1">
      <c r="A53" s="74"/>
      <c r="B53" s="73"/>
      <c r="C53" s="73"/>
      <c r="D53" s="73"/>
      <c r="E53" s="73"/>
      <c r="F53" s="73"/>
      <c r="G53" s="73"/>
      <c r="H53" s="11"/>
      <c r="I53" s="11"/>
      <c r="L53" s="502">
        <v>50</v>
      </c>
      <c r="M53" s="503">
        <v>19.809999999999999</v>
      </c>
      <c r="N53" s="503">
        <v>61.31</v>
      </c>
      <c r="O53" s="503">
        <v>6.69</v>
      </c>
    </row>
    <row r="54" spans="1:15" ht="11.25" customHeight="1">
      <c r="A54" s="74"/>
      <c r="B54" s="73"/>
      <c r="C54" s="73"/>
      <c r="D54" s="73"/>
      <c r="E54" s="73"/>
      <c r="F54" s="73"/>
      <c r="G54" s="73"/>
      <c r="H54" s="11"/>
      <c r="I54" s="11"/>
      <c r="L54" s="502">
        <v>51</v>
      </c>
      <c r="M54" s="503">
        <v>21.91</v>
      </c>
      <c r="N54" s="503">
        <v>70.790000000000006</v>
      </c>
      <c r="O54" s="503">
        <v>13.15</v>
      </c>
    </row>
    <row r="55" spans="1:15" ht="12.75">
      <c r="A55" s="74"/>
      <c r="B55" s="73"/>
      <c r="C55" s="73"/>
      <c r="D55" s="73"/>
      <c r="E55" s="73"/>
      <c r="F55" s="73"/>
      <c r="G55" s="73"/>
      <c r="H55" s="11"/>
      <c r="I55" s="11"/>
      <c r="L55" s="502">
        <v>52</v>
      </c>
      <c r="M55" s="503">
        <v>22</v>
      </c>
      <c r="N55" s="503">
        <v>77.434859137142865</v>
      </c>
      <c r="O55" s="503">
        <v>17.75700037857143</v>
      </c>
    </row>
    <row r="56" spans="1:15" ht="12.75">
      <c r="A56" s="74"/>
      <c r="B56" s="73"/>
      <c r="C56" s="73"/>
      <c r="D56" s="73"/>
      <c r="E56" s="73"/>
      <c r="F56" s="73"/>
      <c r="G56" s="73"/>
      <c r="H56" s="11"/>
      <c r="I56" s="11"/>
      <c r="J56" s="25">
        <v>2017</v>
      </c>
      <c r="K56" s="501">
        <v>1</v>
      </c>
      <c r="L56" s="502">
        <v>1</v>
      </c>
      <c r="M56" s="503">
        <v>41.55</v>
      </c>
      <c r="N56" s="503">
        <v>103.58</v>
      </c>
      <c r="O56" s="503">
        <v>29.67</v>
      </c>
    </row>
    <row r="57" spans="1:15" ht="12.75">
      <c r="A57" s="74"/>
      <c r="B57" s="73"/>
      <c r="C57" s="73"/>
      <c r="D57" s="73"/>
      <c r="E57" s="73"/>
      <c r="F57" s="73"/>
      <c r="G57" s="73"/>
      <c r="H57" s="11"/>
      <c r="I57" s="11"/>
      <c r="L57" s="502">
        <v>2</v>
      </c>
      <c r="M57" s="503">
        <v>39.6</v>
      </c>
      <c r="N57" s="503">
        <v>105.01</v>
      </c>
      <c r="O57" s="503">
        <v>51.2</v>
      </c>
    </row>
    <row r="58" spans="1:15" ht="12.75">
      <c r="A58" s="74"/>
      <c r="B58" s="73"/>
      <c r="C58" s="73"/>
      <c r="D58" s="73"/>
      <c r="E58" s="73"/>
      <c r="F58" s="73"/>
      <c r="G58" s="73"/>
      <c r="H58" s="11"/>
      <c r="I58" s="11"/>
      <c r="L58" s="502">
        <v>3</v>
      </c>
      <c r="M58" s="503">
        <v>73.650000000000006</v>
      </c>
      <c r="N58" s="503">
        <v>137.41</v>
      </c>
      <c r="O58" s="503">
        <v>43.26</v>
      </c>
    </row>
    <row r="59" spans="1:15" ht="12.75">
      <c r="A59" s="74"/>
      <c r="B59" s="73"/>
      <c r="C59" s="73"/>
      <c r="D59" s="73"/>
      <c r="E59" s="73"/>
      <c r="F59" s="73"/>
      <c r="G59" s="73"/>
      <c r="H59" s="11"/>
      <c r="I59" s="11"/>
      <c r="K59" s="501">
        <v>4</v>
      </c>
      <c r="L59" s="502">
        <v>4</v>
      </c>
      <c r="M59" s="503">
        <v>65.03</v>
      </c>
      <c r="N59" s="503">
        <v>127.83</v>
      </c>
      <c r="O59" s="503">
        <v>32.72</v>
      </c>
    </row>
    <row r="60" spans="1:15" ht="12.75">
      <c r="A60" s="74"/>
      <c r="B60" s="73"/>
      <c r="C60" s="73"/>
      <c r="D60" s="73"/>
      <c r="E60" s="73"/>
      <c r="F60" s="73"/>
      <c r="G60" s="73"/>
      <c r="H60" s="11"/>
      <c r="I60" s="11"/>
      <c r="L60" s="502">
        <v>5</v>
      </c>
      <c r="M60" s="503">
        <v>56.95</v>
      </c>
      <c r="N60" s="503">
        <v>97.31</v>
      </c>
      <c r="O60" s="503">
        <v>48.46</v>
      </c>
    </row>
    <row r="61" spans="1:15" ht="12.75">
      <c r="A61" s="280" t="s">
        <v>577</v>
      </c>
      <c r="B61" s="73"/>
      <c r="C61" s="73"/>
      <c r="D61" s="73"/>
      <c r="E61" s="73"/>
      <c r="F61" s="73"/>
      <c r="G61" s="73"/>
      <c r="H61" s="11"/>
      <c r="I61" s="11"/>
      <c r="L61" s="502">
        <v>6</v>
      </c>
      <c r="M61" s="503">
        <v>61.87</v>
      </c>
      <c r="N61" s="503">
        <v>123.44</v>
      </c>
      <c r="O61" s="503">
        <v>72.52</v>
      </c>
    </row>
    <row r="62" spans="1:15">
      <c r="L62" s="502">
        <v>7</v>
      </c>
      <c r="M62" s="503">
        <v>77.569999999999993</v>
      </c>
      <c r="N62" s="503">
        <v>145.02000000000001</v>
      </c>
      <c r="O62" s="503">
        <v>59.16</v>
      </c>
    </row>
    <row r="63" spans="1:15">
      <c r="K63" s="501">
        <v>8</v>
      </c>
      <c r="L63" s="502">
        <v>8</v>
      </c>
      <c r="M63" s="503">
        <v>86.94</v>
      </c>
      <c r="N63" s="503">
        <v>175.03</v>
      </c>
      <c r="O63" s="503">
        <v>24.36</v>
      </c>
    </row>
    <row r="64" spans="1:15">
      <c r="L64" s="502">
        <v>9</v>
      </c>
      <c r="M64" s="503">
        <v>85.13</v>
      </c>
      <c r="N64" s="503">
        <v>206.14</v>
      </c>
      <c r="O64" s="503">
        <v>39.07</v>
      </c>
    </row>
    <row r="65" spans="11:15">
      <c r="L65" s="502">
        <v>10</v>
      </c>
      <c r="M65" s="503">
        <v>84.78</v>
      </c>
      <c r="N65" s="503">
        <v>270.17</v>
      </c>
      <c r="O65" s="503">
        <v>109.16</v>
      </c>
    </row>
    <row r="66" spans="11:15">
      <c r="L66" s="502">
        <v>11</v>
      </c>
      <c r="M66" s="503">
        <v>84.78</v>
      </c>
      <c r="N66" s="503">
        <v>376.42</v>
      </c>
      <c r="O66" s="503">
        <v>188.18</v>
      </c>
    </row>
    <row r="67" spans="11:15">
      <c r="K67" s="501">
        <v>12</v>
      </c>
      <c r="L67" s="502">
        <v>12</v>
      </c>
      <c r="M67" s="503">
        <v>106.16</v>
      </c>
      <c r="N67" s="503">
        <v>351.57</v>
      </c>
      <c r="O67" s="503">
        <v>159.6</v>
      </c>
    </row>
    <row r="68" spans="11:15">
      <c r="L68" s="502">
        <v>13</v>
      </c>
      <c r="M68" s="503">
        <v>101.71</v>
      </c>
      <c r="N68" s="503">
        <v>384.37</v>
      </c>
      <c r="O68" s="503">
        <v>161.77000000000001</v>
      </c>
    </row>
    <row r="69" spans="11:15">
      <c r="L69" s="502">
        <v>14</v>
      </c>
      <c r="M69" s="503">
        <v>83.1</v>
      </c>
      <c r="N69" s="503">
        <v>337.84</v>
      </c>
      <c r="O69" s="503">
        <v>115.43</v>
      </c>
    </row>
    <row r="70" spans="11:15">
      <c r="L70" s="502">
        <v>15</v>
      </c>
      <c r="M70" s="503">
        <v>61.23</v>
      </c>
      <c r="N70" s="503">
        <v>282.32</v>
      </c>
      <c r="O70" s="503">
        <v>98.92</v>
      </c>
    </row>
    <row r="71" spans="11:15">
      <c r="K71" s="501">
        <v>16</v>
      </c>
      <c r="L71" s="502">
        <v>16</v>
      </c>
      <c r="M71" s="503">
        <v>49.8</v>
      </c>
      <c r="N71" s="503">
        <v>191.65</v>
      </c>
      <c r="O71" s="503">
        <v>82.48</v>
      </c>
    </row>
    <row r="72" spans="11:15">
      <c r="L72" s="502">
        <v>17</v>
      </c>
      <c r="M72" s="503">
        <v>40.21</v>
      </c>
      <c r="N72" s="503">
        <v>160.35</v>
      </c>
      <c r="O72" s="503">
        <v>77.02</v>
      </c>
    </row>
    <row r="73" spans="11:15">
      <c r="L73" s="502">
        <v>18</v>
      </c>
      <c r="M73" s="503">
        <v>43.46</v>
      </c>
      <c r="N73" s="503">
        <v>136.65</v>
      </c>
      <c r="O73" s="503">
        <v>62.63</v>
      </c>
    </row>
    <row r="74" spans="11:15">
      <c r="L74" s="502">
        <v>19</v>
      </c>
      <c r="M74" s="503">
        <v>35.65</v>
      </c>
      <c r="N74" s="503">
        <v>135.97</v>
      </c>
      <c r="O74" s="503">
        <v>93.03</v>
      </c>
    </row>
    <row r="75" spans="11:15">
      <c r="K75" s="501">
        <v>20</v>
      </c>
      <c r="L75" s="502">
        <v>20</v>
      </c>
      <c r="M75" s="503">
        <v>26.22</v>
      </c>
      <c r="N75" s="503">
        <v>135.66</v>
      </c>
      <c r="O75" s="503">
        <v>72.349999999999994</v>
      </c>
    </row>
    <row r="76" spans="11:15">
      <c r="L76" s="502">
        <v>21</v>
      </c>
      <c r="M76" s="503">
        <v>27.95</v>
      </c>
      <c r="N76" s="503">
        <v>113.82</v>
      </c>
      <c r="O76" s="503">
        <v>90.75</v>
      </c>
    </row>
    <row r="77" spans="11:15">
      <c r="L77" s="502">
        <v>22</v>
      </c>
      <c r="M77" s="503">
        <v>32.409999999999997</v>
      </c>
      <c r="N77" s="503">
        <v>64.03</v>
      </c>
      <c r="O77" s="503">
        <v>53.02</v>
      </c>
    </row>
    <row r="78" spans="11:15">
      <c r="L78" s="502">
        <v>23</v>
      </c>
      <c r="M78" s="503">
        <v>28.93</v>
      </c>
      <c r="N78" s="503">
        <v>53.15</v>
      </c>
      <c r="O78" s="503">
        <v>32.43</v>
      </c>
    </row>
    <row r="79" spans="11:15">
      <c r="K79" s="501">
        <v>24</v>
      </c>
      <c r="L79" s="502">
        <v>24</v>
      </c>
      <c r="M79" s="503">
        <v>26.59</v>
      </c>
      <c r="N79" s="503">
        <v>45.98</v>
      </c>
      <c r="O79" s="503">
        <v>27.75</v>
      </c>
    </row>
    <row r="80" spans="11:15">
      <c r="L80" s="502">
        <v>25</v>
      </c>
      <c r="M80" s="503">
        <v>23.61</v>
      </c>
      <c r="N80" s="503">
        <v>38.68</v>
      </c>
      <c r="O80" s="503">
        <v>24.81</v>
      </c>
    </row>
    <row r="81" spans="11:15">
      <c r="L81" s="502">
        <v>26</v>
      </c>
      <c r="M81" s="503">
        <v>24.94</v>
      </c>
      <c r="N81" s="503">
        <v>34.68</v>
      </c>
      <c r="O81" s="503">
        <v>21.81</v>
      </c>
    </row>
    <row r="82" spans="11:15">
      <c r="L82" s="502">
        <v>27</v>
      </c>
      <c r="M82" s="503">
        <v>25.54</v>
      </c>
      <c r="N82" s="503">
        <v>31.72</v>
      </c>
      <c r="O82" s="503">
        <v>18.649999999999999</v>
      </c>
    </row>
    <row r="83" spans="11:15">
      <c r="K83" s="501">
        <v>28</v>
      </c>
      <c r="L83" s="502">
        <v>28</v>
      </c>
      <c r="M83" s="503">
        <v>23.56</v>
      </c>
      <c r="N83" s="503">
        <v>29.25</v>
      </c>
      <c r="O83" s="503">
        <v>14.27</v>
      </c>
    </row>
    <row r="84" spans="11:15">
      <c r="L84" s="502">
        <v>29</v>
      </c>
      <c r="M84" s="503">
        <v>22.4</v>
      </c>
      <c r="N84" s="503">
        <v>29.53</v>
      </c>
      <c r="O84" s="503">
        <v>11.51</v>
      </c>
    </row>
    <row r="85" spans="11:15">
      <c r="L85" s="502">
        <v>30</v>
      </c>
      <c r="M85" s="503">
        <v>21.29</v>
      </c>
      <c r="N85" s="503">
        <v>27.62</v>
      </c>
      <c r="O85" s="503">
        <v>9.7200000000000006</v>
      </c>
    </row>
    <row r="86" spans="11:15">
      <c r="L86" s="502">
        <v>31</v>
      </c>
      <c r="M86" s="503">
        <v>19.34</v>
      </c>
      <c r="N86" s="503">
        <v>27.99</v>
      </c>
      <c r="O86" s="503">
        <v>8.09</v>
      </c>
    </row>
    <row r="87" spans="11:15">
      <c r="K87" s="501">
        <v>32</v>
      </c>
      <c r="L87" s="502">
        <v>32</v>
      </c>
      <c r="M87" s="503">
        <v>19.649999999999999</v>
      </c>
      <c r="N87" s="503">
        <v>31.42</v>
      </c>
      <c r="O87" s="503">
        <v>7.62</v>
      </c>
    </row>
    <row r="88" spans="11:15">
      <c r="L88" s="502">
        <v>33</v>
      </c>
      <c r="M88" s="503">
        <v>18.420000000000002</v>
      </c>
      <c r="N88" s="503">
        <v>29.71</v>
      </c>
      <c r="O88" s="503">
        <v>9.5500000000000007</v>
      </c>
    </row>
    <row r="89" spans="11:15">
      <c r="L89" s="502">
        <v>34</v>
      </c>
      <c r="M89" s="503">
        <v>17.170000000000002</v>
      </c>
      <c r="N89" s="503">
        <v>30.51</v>
      </c>
      <c r="O89" s="503">
        <v>10.75</v>
      </c>
    </row>
    <row r="90" spans="11:15">
      <c r="L90" s="502">
        <v>35</v>
      </c>
      <c r="M90" s="503">
        <v>17.47</v>
      </c>
      <c r="N90" s="503">
        <v>27.5</v>
      </c>
      <c r="O90" s="503">
        <v>8.31</v>
      </c>
    </row>
    <row r="91" spans="11:15">
      <c r="K91" s="501">
        <v>36</v>
      </c>
      <c r="L91" s="502">
        <v>36</v>
      </c>
      <c r="M91" s="503">
        <v>13.42</v>
      </c>
      <c r="N91" s="503">
        <v>26.21</v>
      </c>
      <c r="O91" s="503">
        <v>6.53</v>
      </c>
    </row>
    <row r="92" spans="11:15">
      <c r="L92" s="502">
        <v>37</v>
      </c>
      <c r="M92" s="503">
        <v>11.2</v>
      </c>
      <c r="N92" s="503">
        <v>29.98</v>
      </c>
      <c r="O92" s="503">
        <v>9.7799999999999994</v>
      </c>
    </row>
    <row r="93" spans="11:15">
      <c r="L93" s="502">
        <v>38</v>
      </c>
      <c r="M93" s="503">
        <v>11</v>
      </c>
      <c r="N93" s="503">
        <v>34.369999999999997</v>
      </c>
      <c r="O93" s="503">
        <v>7.47</v>
      </c>
    </row>
    <row r="94" spans="11:15">
      <c r="K94" s="501">
        <v>39</v>
      </c>
      <c r="L94" s="502">
        <v>39</v>
      </c>
      <c r="M94" s="503">
        <v>11.14</v>
      </c>
      <c r="N94" s="503">
        <v>42.17</v>
      </c>
      <c r="O94" s="503">
        <v>7.49</v>
      </c>
    </row>
    <row r="95" spans="11:15">
      <c r="L95" s="502">
        <v>40</v>
      </c>
      <c r="M95" s="503">
        <v>12.8</v>
      </c>
      <c r="N95" s="503">
        <v>37.270000000000003</v>
      </c>
      <c r="O95" s="503">
        <v>15.47</v>
      </c>
    </row>
    <row r="96" spans="11:15">
      <c r="L96" s="502">
        <v>41</v>
      </c>
      <c r="M96" s="503">
        <v>14.41</v>
      </c>
      <c r="N96" s="503">
        <v>40.04</v>
      </c>
      <c r="O96" s="503">
        <v>18</v>
      </c>
    </row>
    <row r="97" spans="10:15">
      <c r="L97" s="502">
        <v>42</v>
      </c>
      <c r="M97" s="503">
        <v>15.87</v>
      </c>
      <c r="N97" s="503">
        <v>35.79</v>
      </c>
      <c r="O97" s="503">
        <v>12.74</v>
      </c>
    </row>
    <row r="98" spans="10:15">
      <c r="K98" s="501">
        <v>43</v>
      </c>
      <c r="L98" s="502">
        <v>43</v>
      </c>
      <c r="M98" s="503">
        <v>19.61</v>
      </c>
      <c r="N98" s="503">
        <v>50.36</v>
      </c>
      <c r="O98" s="503">
        <v>30.75</v>
      </c>
    </row>
    <row r="99" spans="10:15">
      <c r="L99" s="502">
        <v>44</v>
      </c>
      <c r="M99" s="503">
        <v>21.85</v>
      </c>
      <c r="N99" s="503">
        <v>54.94</v>
      </c>
      <c r="O99" s="503">
        <v>23.58</v>
      </c>
    </row>
    <row r="100" spans="10:15">
      <c r="L100" s="502">
        <v>45</v>
      </c>
      <c r="M100" s="503">
        <v>16.79</v>
      </c>
      <c r="N100" s="503">
        <v>41.16</v>
      </c>
      <c r="O100" s="503">
        <v>11.77</v>
      </c>
    </row>
    <row r="101" spans="10:15">
      <c r="L101" s="502">
        <v>46</v>
      </c>
      <c r="M101" s="503">
        <v>16.010000000000002</v>
      </c>
      <c r="N101" s="503">
        <v>42.65</v>
      </c>
      <c r="O101" s="503">
        <v>9.33</v>
      </c>
    </row>
    <row r="102" spans="10:15">
      <c r="L102" s="502">
        <v>47</v>
      </c>
      <c r="M102" s="503">
        <v>14.72</v>
      </c>
      <c r="N102" s="503">
        <v>39.76</v>
      </c>
      <c r="O102" s="503">
        <v>8.19</v>
      </c>
    </row>
    <row r="103" spans="10:15">
      <c r="K103" s="501">
        <v>48</v>
      </c>
      <c r="L103" s="502">
        <v>48</v>
      </c>
      <c r="M103" s="503">
        <v>18.932000297142856</v>
      </c>
      <c r="N103" s="503">
        <v>47.388000487142854</v>
      </c>
      <c r="O103" s="503">
        <v>19.661285946</v>
      </c>
    </row>
    <row r="104" spans="10:15">
      <c r="L104" s="502">
        <v>49</v>
      </c>
      <c r="M104" s="503">
        <v>28.48371397</v>
      </c>
      <c r="N104" s="503">
        <v>78.087428497142852</v>
      </c>
      <c r="O104" s="503">
        <v>19.181428364285715</v>
      </c>
    </row>
    <row r="105" spans="10:15">
      <c r="L105" s="502">
        <v>50</v>
      </c>
      <c r="M105" s="503">
        <v>32.583286012857144</v>
      </c>
      <c r="N105" s="503">
        <v>69.764142717142846</v>
      </c>
      <c r="O105" s="503">
        <v>23.7245715</v>
      </c>
    </row>
    <row r="106" spans="10:15">
      <c r="L106" s="502">
        <v>51</v>
      </c>
      <c r="M106" s="503">
        <v>34.501856668571428</v>
      </c>
      <c r="N106" s="503">
        <v>71.14499991142857</v>
      </c>
      <c r="O106" s="503">
        <v>26.158142907142857</v>
      </c>
    </row>
    <row r="107" spans="10:15">
      <c r="K107" s="501">
        <v>52</v>
      </c>
      <c r="L107" s="502">
        <v>52</v>
      </c>
      <c r="M107" s="503">
        <v>27.781857355714287</v>
      </c>
      <c r="N107" s="503">
        <v>83.196000228571435</v>
      </c>
      <c r="O107" s="503">
        <v>21.776999882857144</v>
      </c>
    </row>
    <row r="108" spans="10:15">
      <c r="J108" s="25">
        <v>2018</v>
      </c>
      <c r="K108" s="501">
        <v>1</v>
      </c>
      <c r="L108" s="502">
        <v>1</v>
      </c>
      <c r="M108" s="503">
        <v>29.44</v>
      </c>
      <c r="N108" s="503">
        <v>69.087142857142865</v>
      </c>
      <c r="O108" s="503">
        <v>15.747142857142856</v>
      </c>
    </row>
    <row r="109" spans="10:15">
      <c r="L109" s="502">
        <v>2</v>
      </c>
      <c r="M109" s="503">
        <v>42.880857194285717</v>
      </c>
      <c r="N109" s="503">
        <v>96.785858138571413</v>
      </c>
      <c r="O109" s="503">
        <v>37.6</v>
      </c>
    </row>
    <row r="110" spans="10:15">
      <c r="L110" s="502">
        <v>3</v>
      </c>
      <c r="M110" s="503">
        <v>74.002572194285705</v>
      </c>
      <c r="N110" s="503">
        <v>158.17728531428571</v>
      </c>
      <c r="O110" s="503">
        <v>101.26128550142856</v>
      </c>
    </row>
    <row r="111" spans="10:15">
      <c r="K111" s="501">
        <v>4</v>
      </c>
      <c r="L111" s="502">
        <v>4</v>
      </c>
      <c r="M111" s="503">
        <v>77.812570845714291</v>
      </c>
      <c r="N111" s="503">
        <v>167.02357267142858</v>
      </c>
      <c r="O111" s="503">
        <v>77.354000085714276</v>
      </c>
    </row>
    <row r="112" spans="10:15">
      <c r="L112" s="502">
        <v>5</v>
      </c>
      <c r="M112" s="503">
        <v>61.531714848571433</v>
      </c>
      <c r="N112" s="503">
        <v>113.19585745142855</v>
      </c>
      <c r="O112" s="503">
        <v>30.667142595714285</v>
      </c>
    </row>
    <row r="113" spans="11:15">
      <c r="L113" s="502">
        <v>6</v>
      </c>
      <c r="M113" s="503">
        <v>54.024142672857138</v>
      </c>
      <c r="N113" s="503">
        <v>88.535714287142852</v>
      </c>
      <c r="O113" s="503">
        <v>32.444142750000005</v>
      </c>
    </row>
    <row r="114" spans="11:15">
      <c r="L114" s="502">
        <v>7</v>
      </c>
      <c r="M114" s="503">
        <v>59.271427155714285</v>
      </c>
      <c r="N114" s="503">
        <v>99.37822619047617</v>
      </c>
      <c r="O114" s="503">
        <v>30.338148809523812</v>
      </c>
    </row>
    <row r="115" spans="11:15">
      <c r="K115" s="501">
        <v>8</v>
      </c>
      <c r="L115" s="502">
        <v>8</v>
      </c>
      <c r="M115" s="503">
        <v>78.025571005714284</v>
      </c>
      <c r="N115" s="503">
        <v>140.28</v>
      </c>
      <c r="O115" s="503">
        <v>62.97</v>
      </c>
    </row>
    <row r="116" spans="11:15">
      <c r="L116" s="502">
        <v>9</v>
      </c>
      <c r="M116" s="503">
        <v>61.11871501571428</v>
      </c>
      <c r="N116" s="503">
        <v>102.99642836285715</v>
      </c>
      <c r="O116" s="503">
        <v>31.244571685714288</v>
      </c>
    </row>
    <row r="117" spans="11:15">
      <c r="L117" s="502">
        <v>10</v>
      </c>
      <c r="M117" s="503">
        <v>84.500714981428573</v>
      </c>
      <c r="N117" s="503">
        <v>175.90485927142853</v>
      </c>
      <c r="O117" s="503">
        <v>36.038285662857142</v>
      </c>
    </row>
    <row r="118" spans="11:15">
      <c r="L118" s="502">
        <v>11</v>
      </c>
      <c r="M118" s="503">
        <v>83.643855504285725</v>
      </c>
      <c r="N118" s="503">
        <v>169.64671761428571</v>
      </c>
      <c r="O118" s="503">
        <v>25.076428275714282</v>
      </c>
    </row>
    <row r="119" spans="11:15">
      <c r="K119" s="501">
        <v>12</v>
      </c>
      <c r="L119" s="502">
        <v>12</v>
      </c>
      <c r="M119" s="503">
        <v>98.99</v>
      </c>
      <c r="N119" s="503">
        <v>198.22</v>
      </c>
      <c r="O119" s="503">
        <v>24.63</v>
      </c>
    </row>
    <row r="120" spans="11:15">
      <c r="L120" s="502">
        <v>13</v>
      </c>
      <c r="M120" s="503">
        <v>106.64928652857144</v>
      </c>
      <c r="N120" s="503">
        <v>312.6314304857143</v>
      </c>
      <c r="O120" s="503">
        <v>38.701428550000003</v>
      </c>
    </row>
    <row r="121" spans="11:15">
      <c r="L121" s="502">
        <v>14</v>
      </c>
      <c r="M121" s="503">
        <v>86.488428389999996</v>
      </c>
      <c r="N121" s="503">
        <v>235.31328691428573</v>
      </c>
      <c r="O121" s="503">
        <v>94.596427907142839</v>
      </c>
    </row>
    <row r="122" spans="11:15">
      <c r="L122" s="502">
        <v>15</v>
      </c>
      <c r="M122" s="503">
        <v>88.217001778571429</v>
      </c>
      <c r="N122" s="503">
        <v>294.1721409428572</v>
      </c>
      <c r="O122" s="503">
        <v>92.07</v>
      </c>
    </row>
    <row r="123" spans="11:15">
      <c r="K123" s="501">
        <v>16</v>
      </c>
      <c r="L123" s="502">
        <v>16</v>
      </c>
      <c r="M123" s="503">
        <v>65.84</v>
      </c>
      <c r="N123" s="503">
        <v>149.18</v>
      </c>
      <c r="O123" s="503">
        <v>45.4</v>
      </c>
    </row>
    <row r="124" spans="11:15">
      <c r="L124" s="502">
        <v>17</v>
      </c>
      <c r="M124" s="503">
        <v>51.88</v>
      </c>
      <c r="N124" s="503">
        <v>104.35</v>
      </c>
      <c r="O124" s="503">
        <v>41.47</v>
      </c>
    </row>
    <row r="125" spans="11:15">
      <c r="L125" s="502">
        <v>18</v>
      </c>
      <c r="M125" s="503">
        <v>49.672285897142856</v>
      </c>
      <c r="N125" s="503">
        <v>78.038143701428567</v>
      </c>
      <c r="O125" s="503">
        <v>65.800999782857133</v>
      </c>
    </row>
    <row r="126" spans="11:15">
      <c r="L126" s="502">
        <v>19</v>
      </c>
      <c r="M126" s="503">
        <v>45.203000204285708</v>
      </c>
      <c r="N126" s="503">
        <v>78.313856942857129</v>
      </c>
      <c r="O126" s="503">
        <v>75.104713441428572</v>
      </c>
    </row>
    <row r="127" spans="11:15">
      <c r="K127" s="501">
        <v>20</v>
      </c>
      <c r="L127" s="502">
        <v>20</v>
      </c>
      <c r="M127" s="503">
        <v>37.385857718571437</v>
      </c>
      <c r="N127" s="503">
        <v>130.92628696285712</v>
      </c>
      <c r="O127" s="503">
        <v>97.861000055714285</v>
      </c>
    </row>
    <row r="128" spans="11:15">
      <c r="L128" s="502">
        <v>21</v>
      </c>
      <c r="M128" s="503">
        <v>31.609713962857143</v>
      </c>
      <c r="N128" s="503">
        <v>64.449287412857146</v>
      </c>
      <c r="O128" s="503">
        <v>107.7964292242857</v>
      </c>
    </row>
    <row r="129" spans="11:15">
      <c r="L129" s="502">
        <v>22</v>
      </c>
      <c r="M129" s="503">
        <v>23.360142844285715</v>
      </c>
      <c r="N129" s="503">
        <v>64.449287412857146</v>
      </c>
      <c r="O129" s="503">
        <v>107.7964292242857</v>
      </c>
    </row>
    <row r="130" spans="11:15">
      <c r="L130" s="502">
        <v>23</v>
      </c>
      <c r="M130" s="503">
        <v>22.118571418571431</v>
      </c>
      <c r="N130" s="503">
        <v>39.50100054</v>
      </c>
      <c r="O130" s="503">
        <v>35.176713670000005</v>
      </c>
    </row>
    <row r="131" spans="11:15">
      <c r="K131" s="501">
        <v>24</v>
      </c>
      <c r="L131" s="502">
        <v>24</v>
      </c>
      <c r="M131" s="503">
        <v>18.655142918571432</v>
      </c>
      <c r="N131" s="503">
        <v>33.690285274285714</v>
      </c>
      <c r="O131" s="503">
        <v>23.41942841571429</v>
      </c>
    </row>
    <row r="132" spans="11:15">
      <c r="L132" s="502">
        <v>25</v>
      </c>
      <c r="M132" s="503">
        <v>15.664428437142856</v>
      </c>
      <c r="N132" s="503">
        <v>30.228428704285715</v>
      </c>
      <c r="O132" s="503">
        <v>15.98614284142857</v>
      </c>
    </row>
    <row r="133" spans="11:15">
      <c r="L133" s="502">
        <v>26</v>
      </c>
      <c r="M133" s="503">
        <v>13.848143032857147</v>
      </c>
      <c r="N133" s="503">
        <v>27.872285568571431</v>
      </c>
      <c r="O133" s="503">
        <v>14.09042848857143</v>
      </c>
    </row>
    <row r="134" spans="11:15">
      <c r="L134" s="502">
        <v>27</v>
      </c>
      <c r="M134" s="503">
        <v>12.865857259999999</v>
      </c>
      <c r="N134" s="503">
        <v>27.257571358571429</v>
      </c>
      <c r="O134" s="503">
        <v>11.838857105714284</v>
      </c>
    </row>
    <row r="135" spans="11:15">
      <c r="K135" s="501">
        <v>28</v>
      </c>
      <c r="L135" s="502">
        <v>28</v>
      </c>
      <c r="M135" s="503">
        <v>12.915285789999999</v>
      </c>
      <c r="N135" s="533">
        <v>27.217285974285712</v>
      </c>
      <c r="O135" s="503">
        <v>9.7789998731428565</v>
      </c>
    </row>
    <row r="136" spans="11:15">
      <c r="L136" s="502">
        <v>29</v>
      </c>
      <c r="M136" s="503">
        <v>15.908571428571426</v>
      </c>
      <c r="N136" s="533">
        <v>24.955714285714286</v>
      </c>
      <c r="O136" s="503">
        <v>8.4957142857142856</v>
      </c>
    </row>
    <row r="137" spans="11:15">
      <c r="L137" s="502">
        <v>30</v>
      </c>
      <c r="M137" s="503">
        <v>16.584000042857145</v>
      </c>
      <c r="N137" s="533">
        <v>24.80942862142857</v>
      </c>
      <c r="O137" s="503">
        <v>7.807428428142857</v>
      </c>
    </row>
    <row r="138" spans="11:15">
      <c r="L138" s="502">
        <v>31</v>
      </c>
      <c r="M138" s="503">
        <v>18.553000000000001</v>
      </c>
      <c r="N138" s="533">
        <v>25.690999999999999</v>
      </c>
      <c r="O138" s="503">
        <v>7.53</v>
      </c>
    </row>
    <row r="139" spans="11:15">
      <c r="K139" s="501">
        <v>32</v>
      </c>
      <c r="L139" s="502">
        <v>32</v>
      </c>
      <c r="M139" s="503">
        <v>17.769714355714285</v>
      </c>
      <c r="N139" s="533">
        <v>27.630000251428573</v>
      </c>
      <c r="O139" s="503">
        <v>6.4074286734285701</v>
      </c>
    </row>
    <row r="140" spans="11:15">
      <c r="L140" s="502">
        <v>33</v>
      </c>
      <c r="M140" s="503">
        <v>14.782857348571428</v>
      </c>
      <c r="N140" s="533">
        <v>23.78</v>
      </c>
      <c r="O140" s="503">
        <v>4.9400000000000004</v>
      </c>
    </row>
    <row r="141" spans="11:15">
      <c r="L141" s="502">
        <v>34</v>
      </c>
      <c r="M141" s="503">
        <v>15.984000069999999</v>
      </c>
      <c r="N141" s="533">
        <v>23.527999878571428</v>
      </c>
      <c r="O141" s="503">
        <v>4.6688571658571432</v>
      </c>
    </row>
    <row r="142" spans="11:15">
      <c r="L142" s="502">
        <v>35</v>
      </c>
      <c r="M142" s="503">
        <v>15.55</v>
      </c>
      <c r="N142" s="533">
        <v>23.29</v>
      </c>
      <c r="O142" s="503">
        <v>4.5999999999999996</v>
      </c>
    </row>
    <row r="143" spans="11:15">
      <c r="K143" s="501">
        <v>36</v>
      </c>
      <c r="L143" s="502">
        <v>36</v>
      </c>
      <c r="M143" s="503">
        <v>15.042857142857143</v>
      </c>
      <c r="N143" s="503">
        <v>23.007142857142856</v>
      </c>
      <c r="O143" s="503">
        <v>3.9657142857142857</v>
      </c>
    </row>
    <row r="144" spans="11:15">
      <c r="L144" s="502">
        <v>37</v>
      </c>
      <c r="M144" s="503">
        <v>13.386857033</v>
      </c>
      <c r="N144" s="503">
        <v>23.173571724285711</v>
      </c>
      <c r="O144" s="503">
        <v>3.5334285327142858</v>
      </c>
    </row>
    <row r="145" spans="10:15">
      <c r="L145" s="502">
        <v>38</v>
      </c>
      <c r="M145" s="503">
        <v>12.963714189999999</v>
      </c>
      <c r="N145" s="503">
        <v>26.454000201428567</v>
      </c>
      <c r="O145" s="503">
        <v>6.4914285118571433</v>
      </c>
    </row>
    <row r="146" spans="10:15">
      <c r="L146" s="502">
        <v>39</v>
      </c>
      <c r="M146" s="503">
        <v>9.4700000000000006</v>
      </c>
      <c r="N146" s="503">
        <v>23.7</v>
      </c>
      <c r="O146" s="503">
        <v>4.9000000000000004</v>
      </c>
    </row>
    <row r="147" spans="10:15">
      <c r="K147" s="501">
        <v>40</v>
      </c>
      <c r="L147" s="502">
        <v>40</v>
      </c>
      <c r="M147" s="503">
        <v>9.6714286802857146</v>
      </c>
      <c r="N147" s="634">
        <v>23.695143017142858</v>
      </c>
      <c r="O147" s="503">
        <v>4.898285797571428</v>
      </c>
    </row>
    <row r="148" spans="10:15">
      <c r="L148" s="502">
        <v>41</v>
      </c>
      <c r="M148" s="503">
        <v>13.23900018419533</v>
      </c>
      <c r="N148" s="634">
        <v>28.113285882132363</v>
      </c>
      <c r="O148" s="503">
        <v>8.3430000032697169</v>
      </c>
    </row>
    <row r="149" spans="10:15">
      <c r="L149" s="502">
        <v>42</v>
      </c>
      <c r="M149" s="503">
        <v>13.085142816816015</v>
      </c>
      <c r="N149" s="634">
        <v>37.073285511561743</v>
      </c>
      <c r="O149" s="503">
        <v>7.2735712868826683</v>
      </c>
    </row>
    <row r="150" spans="10:15">
      <c r="L150" s="502">
        <v>43</v>
      </c>
      <c r="M150" s="503">
        <v>24.981571742466489</v>
      </c>
      <c r="N150" s="634">
        <v>70.535571507045162</v>
      </c>
      <c r="O150" s="503">
        <v>7.4324284962245324</v>
      </c>
    </row>
    <row r="151" spans="10:15">
      <c r="K151" s="501">
        <v>44</v>
      </c>
      <c r="L151" s="502">
        <v>44</v>
      </c>
      <c r="M151" s="503">
        <v>20.55814279714286</v>
      </c>
      <c r="N151" s="634">
        <v>55.183714184285712</v>
      </c>
      <c r="O151" s="503">
        <v>15.801856994857145</v>
      </c>
    </row>
    <row r="152" spans="10:15">
      <c r="L152" s="502">
        <v>45</v>
      </c>
      <c r="M152" s="503">
        <v>26.170000077142856</v>
      </c>
      <c r="N152" s="503">
        <v>60.445714132857141</v>
      </c>
      <c r="O152" s="503">
        <v>26.432857787142858</v>
      </c>
    </row>
    <row r="153" spans="10:15">
      <c r="L153" s="502">
        <v>46</v>
      </c>
      <c r="M153" s="503">
        <v>19.728571428571428</v>
      </c>
      <c r="N153" s="503">
        <v>57.005714285714291</v>
      </c>
      <c r="O153" s="503">
        <v>53.502857142857145</v>
      </c>
    </row>
    <row r="154" spans="10:15">
      <c r="L154" s="502">
        <v>47</v>
      </c>
      <c r="M154" s="503">
        <v>39.656714302857139</v>
      </c>
      <c r="N154" s="503">
        <v>103.00771440714287</v>
      </c>
      <c r="O154" s="503">
        <v>53.459142955714292</v>
      </c>
    </row>
    <row r="155" spans="10:15">
      <c r="K155" s="501">
        <v>48</v>
      </c>
      <c r="L155" s="502">
        <v>48</v>
      </c>
      <c r="M155" s="503">
        <v>39.656714302857139</v>
      </c>
      <c r="N155" s="503">
        <v>99.828000734285709</v>
      </c>
      <c r="O155" s="503">
        <v>45.539571760000008</v>
      </c>
    </row>
    <row r="156" spans="10:15">
      <c r="L156" s="502">
        <v>49</v>
      </c>
      <c r="M156" s="501">
        <v>22.62857142857143</v>
      </c>
      <c r="N156" s="501">
        <v>60.27571428571428</v>
      </c>
      <c r="O156" s="501">
        <v>17.955714285714286</v>
      </c>
    </row>
    <row r="157" spans="10:15">
      <c r="L157" s="502">
        <v>50</v>
      </c>
      <c r="M157" s="501">
        <v>17.776714461428572</v>
      </c>
      <c r="N157" s="501">
        <v>46.701999664285715</v>
      </c>
      <c r="O157" s="501">
        <v>13.432571411428571</v>
      </c>
    </row>
    <row r="158" spans="10:15">
      <c r="L158" s="502">
        <v>51</v>
      </c>
      <c r="M158" s="501">
        <v>34.085714285714282</v>
      </c>
      <c r="N158" s="501">
        <v>68.7</v>
      </c>
      <c r="O158" s="501">
        <v>39.414285714285711</v>
      </c>
    </row>
    <row r="159" spans="10:15">
      <c r="K159" s="501">
        <v>52</v>
      </c>
      <c r="L159" s="502">
        <v>52</v>
      </c>
      <c r="M159" s="501">
        <v>52.094142914285719</v>
      </c>
      <c r="N159" s="501">
        <v>97.347143448571416</v>
      </c>
      <c r="O159" s="501">
        <v>65.679429182857149</v>
      </c>
    </row>
    <row r="160" spans="10:15">
      <c r="J160" s="25">
        <v>2019</v>
      </c>
      <c r="K160" s="502">
        <v>1</v>
      </c>
      <c r="L160" s="502">
        <v>1</v>
      </c>
      <c r="M160" s="503">
        <v>27.79999951142857</v>
      </c>
      <c r="N160" s="503">
        <v>78.298570904285711</v>
      </c>
      <c r="O160" s="503">
        <v>21.927143370000003</v>
      </c>
    </row>
    <row r="161" spans="11:15">
      <c r="K161" s="502"/>
      <c r="L161" s="502">
        <v>2</v>
      </c>
      <c r="M161" s="503">
        <v>28.678571428571427</v>
      </c>
      <c r="N161" s="503">
        <v>95.081715179999989</v>
      </c>
      <c r="O161" s="503">
        <v>22.397999900000002</v>
      </c>
    </row>
    <row r="162" spans="11:15">
      <c r="K162" s="502"/>
      <c r="L162" s="502">
        <v>3</v>
      </c>
      <c r="M162" s="503">
        <v>44.51</v>
      </c>
      <c r="N162" s="503">
        <v>95.65</v>
      </c>
      <c r="O162" s="503">
        <v>17.61</v>
      </c>
    </row>
    <row r="163" spans="11:15">
      <c r="K163" s="502">
        <v>4</v>
      </c>
      <c r="L163" s="502">
        <v>4</v>
      </c>
      <c r="M163" s="503">
        <v>73.323141914285699</v>
      </c>
      <c r="N163" s="503">
        <v>109.29957036285714</v>
      </c>
      <c r="O163" s="503">
        <v>17.638000354285712</v>
      </c>
    </row>
    <row r="164" spans="11:15">
      <c r="L164" s="502">
        <v>5</v>
      </c>
      <c r="M164" s="503">
        <v>103.17716724333333</v>
      </c>
      <c r="N164" s="503">
        <v>149.65083311999999</v>
      </c>
      <c r="O164" s="503">
        <v>19.218833289999999</v>
      </c>
    </row>
    <row r="165" spans="11:15">
      <c r="L165" s="502">
        <v>6</v>
      </c>
      <c r="M165" s="503">
        <v>79.165714285714287</v>
      </c>
      <c r="N165" s="503">
        <v>136.57714285714286</v>
      </c>
      <c r="O165" s="503">
        <v>57.185714285714276</v>
      </c>
    </row>
    <row r="166" spans="11:15">
      <c r="L166" s="502">
        <v>7</v>
      </c>
      <c r="M166" s="503">
        <v>120.02256992142858</v>
      </c>
      <c r="N166" s="503">
        <v>224.71071514285714</v>
      </c>
      <c r="O166" s="503">
        <v>118.06042697857141</v>
      </c>
    </row>
    <row r="167" spans="11:15">
      <c r="K167" s="502"/>
      <c r="L167" s="502">
        <v>8</v>
      </c>
      <c r="M167" s="503">
        <v>97.560142514285715</v>
      </c>
      <c r="N167" s="503">
        <v>198.04342652857142</v>
      </c>
      <c r="O167" s="503">
        <v>106.29885756428571</v>
      </c>
    </row>
    <row r="168" spans="11:15">
      <c r="K168" s="501">
        <v>9</v>
      </c>
      <c r="L168" s="502">
        <v>9</v>
      </c>
      <c r="M168" s="503">
        <v>97.560142514285715</v>
      </c>
      <c r="N168" s="503">
        <v>191.0112849857143</v>
      </c>
      <c r="O168" s="503">
        <v>142.12385776285717</v>
      </c>
    </row>
    <row r="169" spans="11:15">
      <c r="M169" s="503"/>
      <c r="N169" s="503"/>
      <c r="O169" s="503"/>
    </row>
    <row r="170" spans="11:15">
      <c r="M170" s="503"/>
      <c r="N170" s="503"/>
      <c r="O170" s="503"/>
    </row>
    <row r="171" spans="11:15">
      <c r="M171" s="503"/>
      <c r="N171" s="503"/>
      <c r="O171" s="503"/>
    </row>
    <row r="172" spans="11:15">
      <c r="M172" s="503"/>
      <c r="N172" s="503"/>
      <c r="O172" s="503"/>
    </row>
    <row r="173" spans="11:15">
      <c r="M173" s="503"/>
      <c r="N173" s="503"/>
      <c r="O173" s="503"/>
    </row>
    <row r="174" spans="11:15">
      <c r="M174" s="503"/>
      <c r="N174" s="503"/>
      <c r="O174" s="503"/>
    </row>
    <row r="175" spans="11:15">
      <c r="M175" s="503"/>
      <c r="N175" s="503"/>
      <c r="O175" s="503"/>
    </row>
    <row r="176" spans="11:15">
      <c r="M176" s="503"/>
      <c r="N176" s="503"/>
      <c r="O176" s="503"/>
    </row>
    <row r="177" spans="13:15">
      <c r="M177" s="503"/>
      <c r="N177" s="503"/>
      <c r="O177" s="503"/>
    </row>
    <row r="178" spans="13:15">
      <c r="M178" s="503"/>
      <c r="N178" s="503"/>
      <c r="O178" s="503"/>
    </row>
    <row r="179" spans="13:15">
      <c r="M179" s="503"/>
      <c r="N179" s="503"/>
      <c r="O179" s="503"/>
    </row>
    <row r="180" spans="13:15">
      <c r="M180" s="503"/>
      <c r="N180" s="503"/>
      <c r="O180" s="503"/>
    </row>
    <row r="181" spans="13:15">
      <c r="M181" s="503"/>
      <c r="N181" s="503"/>
      <c r="O181" s="503"/>
    </row>
    <row r="182" spans="13:15">
      <c r="M182" s="503"/>
      <c r="N182" s="503"/>
      <c r="O182" s="503"/>
    </row>
    <row r="183" spans="13:15">
      <c r="M183" s="503"/>
      <c r="N183" s="503"/>
      <c r="O183" s="503"/>
    </row>
    <row r="184" spans="13:15">
      <c r="M184" s="503"/>
      <c r="N184" s="503"/>
      <c r="O184" s="503"/>
    </row>
    <row r="185" spans="13:15">
      <c r="M185" s="503"/>
      <c r="N185" s="503"/>
      <c r="O185" s="503"/>
    </row>
    <row r="186" spans="13:15">
      <c r="M186" s="503"/>
      <c r="N186" s="503"/>
      <c r="O186" s="503"/>
    </row>
    <row r="187" spans="13:15">
      <c r="M187" s="503"/>
      <c r="N187" s="503"/>
      <c r="O187" s="503"/>
    </row>
    <row r="188" spans="13:15">
      <c r="M188" s="503"/>
      <c r="N188" s="503"/>
      <c r="O188" s="503"/>
    </row>
    <row r="189" spans="13:15">
      <c r="M189" s="503"/>
      <c r="N189" s="503"/>
      <c r="O189" s="503"/>
    </row>
    <row r="190" spans="13:15">
      <c r="M190" s="503"/>
      <c r="N190" s="503"/>
      <c r="O190" s="503"/>
    </row>
    <row r="191" spans="13:15">
      <c r="M191" s="503"/>
      <c r="N191" s="503"/>
      <c r="O191" s="503"/>
    </row>
    <row r="192" spans="13:15">
      <c r="M192" s="503"/>
      <c r="N192" s="503"/>
      <c r="O192" s="503"/>
    </row>
    <row r="193" spans="11:15">
      <c r="M193" s="503"/>
      <c r="N193" s="503"/>
      <c r="O193" s="503"/>
    </row>
    <row r="194" spans="11:15">
      <c r="M194" s="503"/>
      <c r="N194" s="503"/>
      <c r="O194" s="503"/>
    </row>
    <row r="195" spans="11:15">
      <c r="K195" s="501">
        <v>36</v>
      </c>
      <c r="L195" s="502">
        <v>36</v>
      </c>
      <c r="M195" s="503"/>
      <c r="N195" s="503"/>
      <c r="O195" s="503"/>
    </row>
    <row r="196" spans="11:15">
      <c r="L196" s="502">
        <v>37</v>
      </c>
      <c r="M196" s="503"/>
      <c r="N196" s="503"/>
      <c r="O196" s="503"/>
    </row>
    <row r="197" spans="11:15">
      <c r="L197" s="502">
        <v>38</v>
      </c>
      <c r="M197" s="503"/>
      <c r="N197" s="503"/>
      <c r="O197" s="503"/>
    </row>
    <row r="198" spans="11:15">
      <c r="K198" s="501">
        <v>39</v>
      </c>
      <c r="L198" s="502">
        <v>39</v>
      </c>
      <c r="M198" s="503"/>
      <c r="N198" s="503"/>
      <c r="O198" s="503"/>
    </row>
    <row r="199" spans="11:15">
      <c r="L199" s="502">
        <v>40</v>
      </c>
      <c r="M199" s="503"/>
      <c r="N199" s="503"/>
      <c r="O199" s="503"/>
    </row>
    <row r="200" spans="11:15">
      <c r="L200" s="502">
        <v>41</v>
      </c>
      <c r="M200" s="503"/>
      <c r="N200" s="503"/>
      <c r="O200" s="503"/>
    </row>
    <row r="201" spans="11:15">
      <c r="L201" s="502">
        <v>42</v>
      </c>
      <c r="M201" s="503"/>
      <c r="N201" s="503"/>
      <c r="O201" s="503"/>
    </row>
    <row r="202" spans="11:15">
      <c r="K202" s="501">
        <v>43</v>
      </c>
      <c r="L202" s="502">
        <v>43</v>
      </c>
      <c r="M202" s="503"/>
      <c r="N202" s="503"/>
      <c r="O202" s="503"/>
    </row>
    <row r="203" spans="11:15">
      <c r="L203" s="502">
        <v>44</v>
      </c>
      <c r="M203" s="503"/>
      <c r="N203" s="503"/>
      <c r="O203" s="503"/>
    </row>
    <row r="204" spans="11:15">
      <c r="L204" s="502">
        <v>45</v>
      </c>
      <c r="M204" s="503"/>
      <c r="N204" s="503"/>
      <c r="O204" s="503"/>
    </row>
    <row r="205" spans="11:15">
      <c r="L205" s="502">
        <v>46</v>
      </c>
      <c r="M205" s="503"/>
      <c r="N205" s="503"/>
      <c r="O205" s="503"/>
    </row>
    <row r="206" spans="11:15">
      <c r="L206" s="502">
        <v>47</v>
      </c>
      <c r="M206" s="503"/>
      <c r="N206" s="503"/>
      <c r="O206" s="503"/>
    </row>
    <row r="207" spans="11:15">
      <c r="K207" s="501">
        <v>48</v>
      </c>
      <c r="L207" s="502">
        <v>48</v>
      </c>
      <c r="M207" s="503"/>
      <c r="N207" s="503"/>
      <c r="O207" s="503"/>
    </row>
    <row r="208" spans="11:15">
      <c r="L208" s="502">
        <v>49</v>
      </c>
      <c r="M208" s="503"/>
      <c r="N208" s="503"/>
      <c r="O208" s="503"/>
    </row>
    <row r="209" spans="11:15">
      <c r="L209" s="502">
        <v>50</v>
      </c>
      <c r="M209" s="503"/>
      <c r="N209" s="503"/>
      <c r="O209" s="503"/>
    </row>
    <row r="210" spans="11:15">
      <c r="L210" s="502">
        <v>51</v>
      </c>
      <c r="M210" s="503"/>
      <c r="N210" s="503"/>
      <c r="O210" s="503"/>
    </row>
    <row r="211" spans="11:15">
      <c r="K211" s="501">
        <v>52</v>
      </c>
      <c r="L211" s="502">
        <v>52</v>
      </c>
      <c r="M211" s="503"/>
      <c r="N211" s="503"/>
      <c r="O211" s="503"/>
    </row>
    <row r="213" spans="11:15">
      <c r="M213" s="501" t="s">
        <v>283</v>
      </c>
      <c r="N213" s="501" t="s">
        <v>284</v>
      </c>
      <c r="O213" s="501" t="s">
        <v>285</v>
      </c>
    </row>
  </sheetData>
  <mergeCells count="2">
    <mergeCell ref="A3:G3"/>
    <mergeCell ref="A35:G35"/>
  </mergeCells>
  <pageMargins left="0.70866141732283472" right="0.70866141732283472" top="0.86614173228346458" bottom="0.62992125984251968" header="0.31496062992125984" footer="0.31496062992125984"/>
  <pageSetup scale="99" orientation="portrait" r:id="rId1"/>
  <headerFooter>
    <oddHeader>&amp;R&amp;7Informe de la Operación Mensual - Febrero 2019
INFSGI-MES-02-2019
11/03/2019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F213"/>
  <sheetViews>
    <sheetView showGridLines="0" view="pageBreakPreview" topLeftCell="A33" zoomScale="130" zoomScaleNormal="100" zoomScaleSheetLayoutView="130" zoomScalePageLayoutView="130" workbookViewId="0">
      <selection activeCell="A3" sqref="A3"/>
    </sheetView>
  </sheetViews>
  <sheetFormatPr defaultColWidth="9.33203125" defaultRowHeight="11.25"/>
  <cols>
    <col min="10" max="11" width="9.33203125" customWidth="1"/>
    <col min="13" max="16" width="9.33203125" style="501"/>
    <col min="17" max="18" width="11.6640625" style="501" bestFit="1" customWidth="1"/>
    <col min="19" max="20" width="9.6640625" style="501" bestFit="1" customWidth="1"/>
    <col min="21" max="23" width="9.5" style="501" bestFit="1" customWidth="1"/>
    <col min="24" max="24" width="9.6640625" style="501" bestFit="1" customWidth="1"/>
    <col min="25" max="25" width="9.5" style="501" bestFit="1" customWidth="1"/>
    <col min="26" max="26" width="9.33203125" style="479"/>
    <col min="27" max="30" width="9.33203125" style="331"/>
    <col min="31" max="32" width="9.33203125" style="318"/>
  </cols>
  <sheetData>
    <row r="1" spans="1:25" ht="11.25" customHeight="1"/>
    <row r="2" spans="1:25" ht="11.25" customHeight="1">
      <c r="A2" s="332"/>
      <c r="B2" s="333"/>
      <c r="C2" s="333"/>
      <c r="D2" s="333"/>
      <c r="E2" s="333"/>
      <c r="F2" s="333"/>
      <c r="G2" s="175"/>
      <c r="H2" s="175"/>
      <c r="I2" s="132"/>
    </row>
    <row r="3" spans="1:25" ht="11.25" customHeight="1">
      <c r="A3" s="132"/>
      <c r="B3" s="132"/>
      <c r="C3" s="132"/>
      <c r="D3" s="132"/>
      <c r="E3" s="132"/>
      <c r="F3" s="132"/>
      <c r="G3" s="138"/>
      <c r="H3" s="138"/>
      <c r="I3" s="138"/>
      <c r="J3" s="148"/>
      <c r="K3" s="148"/>
      <c r="L3" s="148"/>
      <c r="O3" s="501" t="s">
        <v>282</v>
      </c>
      <c r="P3" s="502"/>
      <c r="Q3" s="501" t="s">
        <v>286</v>
      </c>
      <c r="R3" s="501" t="s">
        <v>287</v>
      </c>
      <c r="S3" s="501" t="s">
        <v>288</v>
      </c>
      <c r="T3" s="501" t="s">
        <v>289</v>
      </c>
      <c r="U3" s="501" t="s">
        <v>290</v>
      </c>
      <c r="V3" s="501" t="s">
        <v>291</v>
      </c>
      <c r="W3" s="501" t="s">
        <v>292</v>
      </c>
      <c r="X3" s="501" t="s">
        <v>293</v>
      </c>
      <c r="Y3" s="501" t="s">
        <v>294</v>
      </c>
    </row>
    <row r="4" spans="1:25" ht="11.25" customHeight="1">
      <c r="A4" s="132"/>
      <c r="B4" s="132"/>
      <c r="C4" s="132"/>
      <c r="D4" s="132"/>
      <c r="E4" s="132"/>
      <c r="F4" s="132"/>
      <c r="G4" s="138"/>
      <c r="H4" s="138"/>
      <c r="I4" s="138"/>
      <c r="J4" s="148"/>
      <c r="K4" s="148"/>
      <c r="L4" s="148"/>
      <c r="N4" s="501">
        <v>2016</v>
      </c>
      <c r="O4" s="501">
        <v>1</v>
      </c>
      <c r="P4" s="502">
        <v>1</v>
      </c>
      <c r="Q4" s="503">
        <v>12.12</v>
      </c>
      <c r="R4" s="503">
        <v>8.33</v>
      </c>
      <c r="S4" s="503">
        <v>165.03200000000001</v>
      </c>
      <c r="T4" s="503">
        <v>95.83</v>
      </c>
      <c r="U4" s="503">
        <v>18.5</v>
      </c>
      <c r="V4" s="503">
        <v>10.01</v>
      </c>
      <c r="W4" s="503">
        <v>1.23</v>
      </c>
      <c r="X4" s="503">
        <v>109.19</v>
      </c>
      <c r="Y4" s="503">
        <v>37.270000000000003</v>
      </c>
    </row>
    <row r="5" spans="1:25" ht="11.25" customHeight="1">
      <c r="A5" s="177"/>
      <c r="B5" s="177"/>
      <c r="C5" s="177"/>
      <c r="D5" s="177"/>
      <c r="E5" s="177"/>
      <c r="F5" s="177"/>
      <c r="G5" s="177"/>
      <c r="H5" s="177"/>
      <c r="I5" s="177"/>
      <c r="J5" s="24"/>
      <c r="K5" s="24"/>
      <c r="L5" s="131"/>
      <c r="P5" s="502">
        <v>2</v>
      </c>
      <c r="Q5" s="503">
        <v>10.45</v>
      </c>
      <c r="R5" s="503">
        <v>5.38</v>
      </c>
      <c r="S5" s="503">
        <v>137.04</v>
      </c>
      <c r="T5" s="503">
        <v>78.260000000000005</v>
      </c>
      <c r="U5" s="503">
        <v>13.1</v>
      </c>
      <c r="V5" s="503">
        <v>10</v>
      </c>
      <c r="W5" s="503">
        <v>1.18</v>
      </c>
      <c r="X5" s="503">
        <v>177.91</v>
      </c>
      <c r="Y5" s="503">
        <v>53.34</v>
      </c>
    </row>
    <row r="6" spans="1:25" ht="11.25" customHeight="1">
      <c r="A6" s="132"/>
      <c r="B6" s="334"/>
      <c r="C6" s="335"/>
      <c r="D6" s="336"/>
      <c r="E6" s="336"/>
      <c r="F6" s="178"/>
      <c r="G6" s="179"/>
      <c r="H6" s="179"/>
      <c r="I6" s="180"/>
      <c r="J6" s="24"/>
      <c r="K6" s="24"/>
      <c r="L6" s="19"/>
      <c r="P6" s="502">
        <v>3</v>
      </c>
      <c r="Q6" s="503">
        <v>10.396000000000001</v>
      </c>
      <c r="R6" s="503">
        <v>5.29</v>
      </c>
      <c r="S6" s="503">
        <v>102.45</v>
      </c>
      <c r="T6" s="503">
        <v>101.264</v>
      </c>
      <c r="U6" s="503">
        <v>15.26</v>
      </c>
      <c r="V6" s="503">
        <v>10.01</v>
      </c>
      <c r="W6" s="503">
        <v>1.2529999999999999</v>
      </c>
      <c r="X6" s="503">
        <v>248.28</v>
      </c>
      <c r="Y6" s="503">
        <v>76.69</v>
      </c>
    </row>
    <row r="7" spans="1:25" ht="11.25" customHeight="1">
      <c r="A7" s="132"/>
      <c r="B7" s="181"/>
      <c r="C7" s="181"/>
      <c r="D7" s="182"/>
      <c r="E7" s="182"/>
      <c r="F7" s="178"/>
      <c r="G7" s="179"/>
      <c r="H7" s="179"/>
      <c r="I7" s="180"/>
      <c r="J7" s="25"/>
      <c r="K7" s="25"/>
      <c r="L7" s="22"/>
      <c r="O7" s="501">
        <v>4</v>
      </c>
      <c r="P7" s="502">
        <v>4</v>
      </c>
      <c r="Q7" s="503">
        <v>10.32</v>
      </c>
      <c r="R7" s="503">
        <v>6.0640000000000001</v>
      </c>
      <c r="S7" s="503">
        <v>93.71</v>
      </c>
      <c r="T7" s="503">
        <v>79.73</v>
      </c>
      <c r="U7" s="503">
        <v>12.66</v>
      </c>
      <c r="V7" s="503">
        <v>10.01</v>
      </c>
      <c r="W7" s="503">
        <v>1.22</v>
      </c>
      <c r="X7" s="503">
        <v>142.55000000000001</v>
      </c>
      <c r="Y7" s="503">
        <v>40.92</v>
      </c>
    </row>
    <row r="8" spans="1:25" ht="11.25" customHeight="1">
      <c r="A8" s="132"/>
      <c r="B8" s="183"/>
      <c r="C8" s="132"/>
      <c r="D8" s="157"/>
      <c r="E8" s="157"/>
      <c r="F8" s="178"/>
      <c r="G8" s="179"/>
      <c r="H8" s="179"/>
      <c r="I8" s="180"/>
      <c r="J8" s="23"/>
      <c r="K8" s="23"/>
      <c r="L8" s="24"/>
      <c r="P8" s="502">
        <v>5</v>
      </c>
      <c r="Q8" s="503">
        <v>14.34</v>
      </c>
      <c r="R8" s="503">
        <v>9.59</v>
      </c>
      <c r="S8" s="503">
        <v>142.55000000000001</v>
      </c>
      <c r="T8" s="503">
        <v>128.66</v>
      </c>
      <c r="U8" s="503">
        <v>24.24</v>
      </c>
      <c r="V8" s="503">
        <v>10.01</v>
      </c>
      <c r="W8" s="503">
        <v>1.17</v>
      </c>
      <c r="X8" s="503">
        <v>251.59399999999999</v>
      </c>
      <c r="Y8" s="503">
        <v>58.97</v>
      </c>
    </row>
    <row r="9" spans="1:25" ht="11.25" customHeight="1">
      <c r="A9" s="132"/>
      <c r="B9" s="183"/>
      <c r="C9" s="132"/>
      <c r="D9" s="157"/>
      <c r="E9" s="157"/>
      <c r="F9" s="178"/>
      <c r="G9" s="179"/>
      <c r="H9" s="179"/>
      <c r="I9" s="180"/>
      <c r="J9" s="25"/>
      <c r="K9" s="26"/>
      <c r="L9" s="22"/>
      <c r="P9" s="502">
        <v>6</v>
      </c>
      <c r="Q9" s="503">
        <v>14.98</v>
      </c>
      <c r="R9" s="503">
        <v>12.82</v>
      </c>
      <c r="S9" s="503">
        <v>223.15</v>
      </c>
      <c r="T9" s="503">
        <v>174.87</v>
      </c>
      <c r="U9" s="503">
        <v>35.18</v>
      </c>
      <c r="V9" s="503">
        <v>9.01</v>
      </c>
      <c r="W9" s="503">
        <v>0.82</v>
      </c>
      <c r="X9" s="503">
        <v>388.05428210000002</v>
      </c>
      <c r="Y9" s="503">
        <v>80.41</v>
      </c>
    </row>
    <row r="10" spans="1:25" ht="11.25" customHeight="1">
      <c r="A10" s="132"/>
      <c r="B10" s="183"/>
      <c r="C10" s="132"/>
      <c r="D10" s="157"/>
      <c r="E10" s="157"/>
      <c r="F10" s="178"/>
      <c r="G10" s="179"/>
      <c r="H10" s="179"/>
      <c r="I10" s="180"/>
      <c r="J10" s="25"/>
      <c r="K10" s="25"/>
      <c r="L10" s="22"/>
      <c r="P10" s="502">
        <v>7</v>
      </c>
      <c r="Q10" s="503">
        <v>15.86</v>
      </c>
      <c r="R10" s="503">
        <v>12.43</v>
      </c>
      <c r="S10" s="503">
        <v>223.86</v>
      </c>
      <c r="T10" s="503">
        <v>126.56</v>
      </c>
      <c r="U10" s="503">
        <v>25.04</v>
      </c>
      <c r="V10" s="503">
        <v>9.01</v>
      </c>
      <c r="W10" s="503">
        <v>1.59</v>
      </c>
      <c r="X10" s="503">
        <v>283.21000240000001</v>
      </c>
      <c r="Y10" s="503">
        <v>53.36</v>
      </c>
    </row>
    <row r="11" spans="1:25" ht="11.25" customHeight="1">
      <c r="A11" s="132"/>
      <c r="B11" s="157"/>
      <c r="C11" s="132"/>
      <c r="D11" s="157"/>
      <c r="E11" s="157"/>
      <c r="F11" s="178"/>
      <c r="G11" s="179"/>
      <c r="H11" s="179"/>
      <c r="I11" s="180"/>
      <c r="J11" s="25"/>
      <c r="K11" s="25"/>
      <c r="L11" s="22"/>
      <c r="O11" s="501">
        <v>8</v>
      </c>
      <c r="P11" s="502">
        <v>8</v>
      </c>
      <c r="Q11" s="503">
        <v>22.12</v>
      </c>
      <c r="R11" s="503">
        <v>19.3</v>
      </c>
      <c r="S11" s="503">
        <v>297.45999999999998</v>
      </c>
      <c r="T11" s="503">
        <v>188.83</v>
      </c>
      <c r="U11" s="503">
        <v>26.72</v>
      </c>
      <c r="V11" s="503">
        <v>18.309999999999999</v>
      </c>
      <c r="W11" s="503">
        <v>14.62</v>
      </c>
      <c r="X11" s="503">
        <v>414.29357470000002</v>
      </c>
      <c r="Y11" s="503">
        <v>65.55</v>
      </c>
    </row>
    <row r="12" spans="1:25" ht="11.25" customHeight="1">
      <c r="A12" s="132"/>
      <c r="B12" s="157"/>
      <c r="C12" s="132"/>
      <c r="D12" s="157"/>
      <c r="E12" s="157"/>
      <c r="F12" s="178"/>
      <c r="G12" s="179"/>
      <c r="H12" s="179"/>
      <c r="I12" s="180"/>
      <c r="J12" s="25"/>
      <c r="K12" s="25"/>
      <c r="L12" s="22"/>
      <c r="P12" s="502">
        <v>9</v>
      </c>
      <c r="Q12" s="503">
        <v>31.986428669999999</v>
      </c>
      <c r="R12" s="503">
        <v>19.514333090000001</v>
      </c>
      <c r="S12" s="503">
        <v>326.48699649999998</v>
      </c>
      <c r="T12" s="503">
        <v>170.33500290000001</v>
      </c>
      <c r="U12" s="503">
        <v>30.940000529999999</v>
      </c>
      <c r="V12" s="503">
        <v>16.54985727582655</v>
      </c>
      <c r="W12" s="503">
        <v>7.4597144130000004</v>
      </c>
      <c r="X12" s="503">
        <v>382.60643219999997</v>
      </c>
      <c r="Y12" s="503">
        <v>72.96314185</v>
      </c>
    </row>
    <row r="13" spans="1:25" ht="11.25" customHeight="1">
      <c r="A13" s="132"/>
      <c r="B13" s="157"/>
      <c r="C13" s="132"/>
      <c r="D13" s="157"/>
      <c r="E13" s="157"/>
      <c r="F13" s="178"/>
      <c r="G13" s="179"/>
      <c r="H13" s="179"/>
      <c r="I13" s="180"/>
      <c r="J13" s="23"/>
      <c r="K13" s="23"/>
      <c r="L13" s="24"/>
      <c r="P13" s="502">
        <v>10</v>
      </c>
      <c r="Q13" s="503">
        <v>21.817856924874398</v>
      </c>
      <c r="R13" s="503">
        <v>20.1870002746582</v>
      </c>
      <c r="S13" s="503">
        <v>281.91442869999997</v>
      </c>
      <c r="T13" s="503">
        <v>164.05856977190246</v>
      </c>
      <c r="U13" s="503">
        <v>30.751428604125927</v>
      </c>
      <c r="V13" s="503">
        <v>9.5257144655499921</v>
      </c>
      <c r="W13" s="503">
        <v>2.1815714495522598</v>
      </c>
      <c r="X13" s="503">
        <v>245.78571646554084</v>
      </c>
      <c r="Y13" s="503">
        <v>47.002858298165428</v>
      </c>
    </row>
    <row r="14" spans="1:25" ht="11.25" customHeight="1">
      <c r="A14" s="132"/>
      <c r="B14" s="157"/>
      <c r="C14" s="132"/>
      <c r="D14" s="157"/>
      <c r="E14" s="157"/>
      <c r="F14" s="178"/>
      <c r="G14" s="179"/>
      <c r="H14" s="179"/>
      <c r="I14" s="180"/>
      <c r="J14" s="25"/>
      <c r="K14" s="26"/>
      <c r="L14" s="22"/>
      <c r="P14" s="502">
        <v>11</v>
      </c>
      <c r="Q14" s="503">
        <v>21.645000185285259</v>
      </c>
      <c r="R14" s="503">
        <v>18.452999932425314</v>
      </c>
      <c r="S14" s="503">
        <v>302.97000000000003</v>
      </c>
      <c r="T14" s="503">
        <v>146.11571393694155</v>
      </c>
      <c r="U14" s="503">
        <v>26.230000359671411</v>
      </c>
      <c r="V14" s="503">
        <v>10.001428604125973</v>
      </c>
      <c r="W14" s="503">
        <v>1.7041428429739771</v>
      </c>
      <c r="X14" s="503">
        <v>239.62</v>
      </c>
      <c r="Y14" s="503">
        <v>42.29</v>
      </c>
    </row>
    <row r="15" spans="1:25" ht="11.25" customHeight="1">
      <c r="A15" s="132"/>
      <c r="B15" s="157"/>
      <c r="C15" s="132"/>
      <c r="D15" s="157"/>
      <c r="E15" s="157"/>
      <c r="F15" s="178"/>
      <c r="G15" s="179"/>
      <c r="H15" s="179"/>
      <c r="I15" s="180"/>
      <c r="J15" s="25"/>
      <c r="K15" s="26"/>
      <c r="L15" s="22"/>
      <c r="O15" s="501">
        <v>12</v>
      </c>
      <c r="P15" s="502">
        <v>12</v>
      </c>
      <c r="Q15" s="503">
        <v>15.247000013078916</v>
      </c>
      <c r="R15" s="503">
        <v>12.7100000381469</v>
      </c>
      <c r="S15" s="503">
        <v>179.33771623883899</v>
      </c>
      <c r="T15" s="503">
        <v>114.18428584507485</v>
      </c>
      <c r="U15" s="503">
        <v>18.61999988555905</v>
      </c>
      <c r="V15" s="503">
        <v>9.9999999999999964</v>
      </c>
      <c r="W15" s="503">
        <v>1.2444285835538544</v>
      </c>
      <c r="X15" s="503">
        <v>150.27357046944684</v>
      </c>
      <c r="Y15" s="503">
        <v>24.915714263915959</v>
      </c>
    </row>
    <row r="16" spans="1:25" ht="11.25" customHeight="1">
      <c r="A16" s="132"/>
      <c r="B16" s="157"/>
      <c r="C16" s="132"/>
      <c r="D16" s="157"/>
      <c r="E16" s="157"/>
      <c r="F16" s="178"/>
      <c r="G16" s="179"/>
      <c r="H16" s="179"/>
      <c r="I16" s="180"/>
      <c r="J16" s="25"/>
      <c r="K16" s="26"/>
      <c r="L16" s="22"/>
      <c r="P16" s="502">
        <v>13</v>
      </c>
      <c r="Q16" s="503">
        <v>17.322999954223601</v>
      </c>
      <c r="R16" s="503">
        <v>15.171999931335399</v>
      </c>
      <c r="S16" s="503">
        <v>130.67500305175699</v>
      </c>
      <c r="T16" s="503">
        <v>89.040000915527301</v>
      </c>
      <c r="U16" s="503">
        <v>15.310000419616699</v>
      </c>
      <c r="V16" s="503">
        <v>10</v>
      </c>
      <c r="W16" s="503">
        <v>1.0199999809265099</v>
      </c>
      <c r="X16" s="503">
        <v>116.33999633789</v>
      </c>
      <c r="Y16" s="503">
        <v>24.159999847412099</v>
      </c>
    </row>
    <row r="17" spans="1:25" ht="11.25" customHeight="1">
      <c r="A17" s="132"/>
      <c r="B17" s="157"/>
      <c r="C17" s="132"/>
      <c r="D17" s="157"/>
      <c r="E17" s="157"/>
      <c r="F17" s="178"/>
      <c r="G17" s="179"/>
      <c r="H17" s="179"/>
      <c r="I17" s="180"/>
      <c r="J17" s="25"/>
      <c r="K17" s="26"/>
      <c r="L17" s="22"/>
      <c r="P17" s="502">
        <v>14</v>
      </c>
      <c r="Q17" s="503">
        <v>14.828142711094401</v>
      </c>
      <c r="R17" s="503">
        <v>13.217000007629398</v>
      </c>
      <c r="S17" s="503">
        <v>121.81457192557171</v>
      </c>
      <c r="T17" s="503">
        <v>78.037142072405103</v>
      </c>
      <c r="U17" s="503">
        <v>14.082857131957956</v>
      </c>
      <c r="V17" s="503">
        <v>10.001428604125973</v>
      </c>
      <c r="W17" s="503">
        <v>1.3691428899764975</v>
      </c>
      <c r="X17" s="503">
        <v>126.18428475516127</v>
      </c>
      <c r="Y17" s="503">
        <v>22.646999904087572</v>
      </c>
    </row>
    <row r="18" spans="1:25" ht="11.25" customHeight="1">
      <c r="A18" s="940" t="s">
        <v>578</v>
      </c>
      <c r="B18" s="940"/>
      <c r="C18" s="940"/>
      <c r="D18" s="940"/>
      <c r="E18" s="940"/>
      <c r="F18" s="940"/>
      <c r="G18" s="940"/>
      <c r="H18" s="940"/>
      <c r="I18" s="940"/>
      <c r="J18" s="940"/>
      <c r="K18" s="940"/>
      <c r="L18" s="940"/>
      <c r="P18" s="502">
        <v>15</v>
      </c>
      <c r="Q18" s="503">
        <v>15.017142977033298</v>
      </c>
      <c r="R18" s="503">
        <v>11.291000366210898</v>
      </c>
      <c r="S18" s="503">
        <v>184.69442967006074</v>
      </c>
      <c r="T18" s="503">
        <v>74.048570905412902</v>
      </c>
      <c r="U18" s="503">
        <v>17.312857082911869</v>
      </c>
      <c r="V18" s="503">
        <v>10.005714416503881</v>
      </c>
      <c r="W18" s="503">
        <v>1.6558571543012313</v>
      </c>
      <c r="X18" s="503">
        <v>140.54571315220355</v>
      </c>
      <c r="Y18" s="503">
        <v>22.742571422031897</v>
      </c>
    </row>
    <row r="19" spans="1:25" ht="11.25" customHeight="1">
      <c r="A19" s="25"/>
      <c r="B19" s="157"/>
      <c r="C19" s="132"/>
      <c r="D19" s="157"/>
      <c r="E19" s="157"/>
      <c r="F19" s="178"/>
      <c r="G19" s="179"/>
      <c r="H19" s="179"/>
      <c r="I19" s="180"/>
      <c r="J19" s="25"/>
      <c r="K19" s="26"/>
      <c r="L19" s="22"/>
      <c r="O19" s="501">
        <v>16</v>
      </c>
      <c r="P19" s="502">
        <v>16</v>
      </c>
      <c r="Q19" s="503">
        <v>13.98</v>
      </c>
      <c r="R19" s="503">
        <v>11.63</v>
      </c>
      <c r="S19" s="503">
        <v>164.52</v>
      </c>
      <c r="T19" s="503">
        <v>81.069999999999993</v>
      </c>
      <c r="U19" s="503">
        <v>21.07</v>
      </c>
      <c r="V19" s="503">
        <v>10.01</v>
      </c>
      <c r="W19" s="503">
        <v>1.27</v>
      </c>
      <c r="X19" s="503">
        <v>141.29</v>
      </c>
      <c r="Y19" s="503">
        <v>23.21</v>
      </c>
    </row>
    <row r="20" spans="1:25" ht="11.25" customHeight="1">
      <c r="A20" s="132"/>
      <c r="B20" s="157"/>
      <c r="C20" s="132"/>
      <c r="D20" s="157"/>
      <c r="E20" s="157"/>
      <c r="F20" s="178"/>
      <c r="G20" s="179"/>
      <c r="H20" s="179"/>
      <c r="I20" s="180"/>
      <c r="J20" s="25"/>
      <c r="K20" s="26"/>
      <c r="L20" s="22"/>
      <c r="P20" s="502">
        <v>17</v>
      </c>
      <c r="Q20" s="503">
        <v>12.944285669999999</v>
      </c>
      <c r="R20" s="503">
        <v>10.010000228881799</v>
      </c>
      <c r="S20" s="503">
        <v>152.88357325962556</v>
      </c>
      <c r="T20" s="503">
        <v>64.311428070000005</v>
      </c>
      <c r="U20" s="503">
        <v>16.638571469999999</v>
      </c>
      <c r="V20" s="503">
        <v>10.004285812377887</v>
      </c>
      <c r="W20" s="503">
        <v>1.7342857122421229</v>
      </c>
      <c r="X20" s="503">
        <v>105.73500061035119</v>
      </c>
      <c r="Y20" s="503">
        <v>19.724285806928286</v>
      </c>
    </row>
    <row r="21" spans="1:25" ht="11.25" customHeight="1">
      <c r="A21" s="132"/>
      <c r="B21" s="157"/>
      <c r="C21" s="132"/>
      <c r="D21" s="157"/>
      <c r="E21" s="157"/>
      <c r="F21" s="178"/>
      <c r="G21" s="179"/>
      <c r="H21" s="179"/>
      <c r="I21" s="180"/>
      <c r="J21" s="25"/>
      <c r="K21" s="29"/>
      <c r="L21" s="30"/>
      <c r="P21" s="502">
        <v>18</v>
      </c>
      <c r="Q21" s="503">
        <v>10.727142742701899</v>
      </c>
      <c r="R21" s="503">
        <v>6.3112858363560251</v>
      </c>
      <c r="S21" s="503">
        <v>98.225285121372636</v>
      </c>
      <c r="T21" s="503">
        <v>46.242857796805197</v>
      </c>
      <c r="U21" s="503">
        <v>10.637142998831566</v>
      </c>
      <c r="V21" s="503">
        <v>10.007143020629858</v>
      </c>
      <c r="W21" s="503">
        <v>1.4345714194433998</v>
      </c>
      <c r="X21" s="503">
        <v>72.620000566754968</v>
      </c>
      <c r="Y21" s="503">
        <v>14.075714383806471</v>
      </c>
    </row>
    <row r="22" spans="1:25" ht="11.25" customHeight="1">
      <c r="A22" s="137"/>
      <c r="B22" s="157"/>
      <c r="C22" s="132"/>
      <c r="D22" s="157"/>
      <c r="E22" s="157"/>
      <c r="F22" s="178"/>
      <c r="G22" s="179"/>
      <c r="H22" s="179"/>
      <c r="I22" s="180"/>
      <c r="J22" s="25"/>
      <c r="K22" s="26"/>
      <c r="L22" s="22"/>
      <c r="P22" s="502">
        <v>19</v>
      </c>
      <c r="Q22" s="503">
        <v>9.4342857088361427</v>
      </c>
      <c r="R22" s="503">
        <v>7.4910001754760689</v>
      </c>
      <c r="S22" s="503">
        <v>86.615142822265582</v>
      </c>
      <c r="T22" s="503">
        <v>41.954286302838973</v>
      </c>
      <c r="U22" s="503">
        <v>9.4342857088361427</v>
      </c>
      <c r="V22" s="503">
        <v>10.004285812377914</v>
      </c>
      <c r="W22" s="503">
        <v>1.3051428794860784</v>
      </c>
      <c r="X22" s="503">
        <v>60.497857775006928</v>
      </c>
      <c r="Y22" s="503">
        <v>12.797142846243686</v>
      </c>
    </row>
    <row r="23" spans="1:25" ht="11.25" customHeight="1">
      <c r="A23" s="137"/>
      <c r="B23" s="157"/>
      <c r="C23" s="132"/>
      <c r="D23" s="157"/>
      <c r="E23" s="157"/>
      <c r="F23" s="178"/>
      <c r="G23" s="179"/>
      <c r="H23" s="179"/>
      <c r="I23" s="180"/>
      <c r="J23" s="25"/>
      <c r="K23" s="26"/>
      <c r="L23" s="22"/>
      <c r="O23" s="501">
        <v>20</v>
      </c>
      <c r="P23" s="502">
        <v>20</v>
      </c>
      <c r="Q23" s="503">
        <v>9.1999999999999993</v>
      </c>
      <c r="R23" s="503">
        <v>6.8</v>
      </c>
      <c r="S23" s="503">
        <v>78.2</v>
      </c>
      <c r="T23" s="503">
        <v>39.6</v>
      </c>
      <c r="U23" s="503">
        <v>8.6</v>
      </c>
      <c r="V23" s="503">
        <v>10</v>
      </c>
      <c r="W23" s="503">
        <v>1.6</v>
      </c>
      <c r="X23" s="503">
        <v>56.6</v>
      </c>
      <c r="Y23" s="503">
        <v>12.9</v>
      </c>
    </row>
    <row r="24" spans="1:25" ht="11.25" customHeight="1">
      <c r="A24" s="137"/>
      <c r="B24" s="157"/>
      <c r="C24" s="132"/>
      <c r="D24" s="157"/>
      <c r="E24" s="157"/>
      <c r="F24" s="178"/>
      <c r="G24" s="179"/>
      <c r="H24" s="179"/>
      <c r="I24" s="180"/>
      <c r="J24" s="26"/>
      <c r="K24" s="26"/>
      <c r="L24" s="22"/>
      <c r="P24" s="502">
        <v>21</v>
      </c>
      <c r="Q24" s="503">
        <v>9.0128573008945967</v>
      </c>
      <c r="R24" s="503">
        <v>5.4099998474121005</v>
      </c>
      <c r="S24" s="503">
        <v>73.744141714913454</v>
      </c>
      <c r="T24" s="503">
        <v>44.79285812377924</v>
      </c>
      <c r="U24" s="503">
        <v>10.11999988555907</v>
      </c>
      <c r="V24" s="503">
        <v>10.011428560529414</v>
      </c>
      <c r="W24" s="503">
        <v>1.2349999972752113</v>
      </c>
      <c r="X24" s="503">
        <v>52.17071369716097</v>
      </c>
      <c r="Y24" s="503">
        <v>11.968571390424414</v>
      </c>
    </row>
    <row r="25" spans="1:25" ht="11.25" customHeight="1">
      <c r="A25" s="137"/>
      <c r="B25" s="157"/>
      <c r="C25" s="132"/>
      <c r="D25" s="157"/>
      <c r="E25" s="157"/>
      <c r="F25" s="178"/>
      <c r="G25" s="179"/>
      <c r="H25" s="179"/>
      <c r="I25" s="180"/>
      <c r="J25" s="25"/>
      <c r="K25" s="29"/>
      <c r="L25" s="30"/>
      <c r="P25" s="502">
        <v>22</v>
      </c>
      <c r="Q25" s="503">
        <v>7.95</v>
      </c>
      <c r="R25" s="503">
        <v>3.82</v>
      </c>
      <c r="S25" s="503">
        <v>66.739999999999995</v>
      </c>
      <c r="T25" s="503">
        <v>34.01</v>
      </c>
      <c r="U25" s="503">
        <v>8.15</v>
      </c>
      <c r="V25" s="503">
        <v>10.02</v>
      </c>
      <c r="W25" s="503">
        <v>1.52</v>
      </c>
      <c r="X25" s="503">
        <v>46.88</v>
      </c>
      <c r="Y25" s="503">
        <v>9.89</v>
      </c>
    </row>
    <row r="26" spans="1:25" ht="11.25" customHeight="1">
      <c r="A26" s="137"/>
      <c r="B26" s="157"/>
      <c r="C26" s="132"/>
      <c r="D26" s="157"/>
      <c r="E26" s="157"/>
      <c r="F26" s="138"/>
      <c r="G26" s="138"/>
      <c r="H26" s="138"/>
      <c r="I26" s="138"/>
      <c r="J26" s="23"/>
      <c r="K26" s="26"/>
      <c r="L26" s="22"/>
      <c r="P26" s="502">
        <v>23</v>
      </c>
      <c r="Q26" s="503">
        <v>7.6</v>
      </c>
      <c r="R26" s="503">
        <v>3.22</v>
      </c>
      <c r="S26" s="503">
        <v>59.4</v>
      </c>
      <c r="T26" s="503">
        <v>28.71</v>
      </c>
      <c r="U26" s="503">
        <v>7.74</v>
      </c>
      <c r="V26" s="503">
        <v>10</v>
      </c>
      <c r="W26" s="503">
        <v>1.55</v>
      </c>
      <c r="X26" s="503">
        <v>43.39</v>
      </c>
      <c r="Y26" s="503">
        <v>8.57</v>
      </c>
    </row>
    <row r="27" spans="1:25" ht="11.25" customHeight="1">
      <c r="A27" s="137"/>
      <c r="B27" s="157"/>
      <c r="C27" s="132"/>
      <c r="D27" s="157"/>
      <c r="E27" s="157"/>
      <c r="F27" s="138"/>
      <c r="G27" s="138"/>
      <c r="H27" s="138"/>
      <c r="I27" s="138"/>
      <c r="J27" s="23"/>
      <c r="K27" s="26"/>
      <c r="L27" s="22"/>
      <c r="O27" s="501">
        <v>24</v>
      </c>
      <c r="P27" s="502">
        <v>24</v>
      </c>
      <c r="Q27" s="503">
        <v>9.57</v>
      </c>
      <c r="R27" s="503">
        <v>3.42</v>
      </c>
      <c r="S27" s="503">
        <v>54.3</v>
      </c>
      <c r="T27" s="503">
        <v>30.83</v>
      </c>
      <c r="U27" s="503">
        <v>7.53</v>
      </c>
      <c r="V27" s="503">
        <v>10</v>
      </c>
      <c r="W27" s="503">
        <v>1.6</v>
      </c>
      <c r="X27" s="503">
        <v>40.28</v>
      </c>
      <c r="Y27" s="503">
        <v>9.6</v>
      </c>
    </row>
    <row r="28" spans="1:25" ht="11.25" customHeight="1">
      <c r="A28" s="136"/>
      <c r="B28" s="138"/>
      <c r="C28" s="138"/>
      <c r="D28" s="138"/>
      <c r="E28" s="138"/>
      <c r="F28" s="138"/>
      <c r="G28" s="138"/>
      <c r="H28" s="138"/>
      <c r="I28" s="138"/>
      <c r="J28" s="25"/>
      <c r="K28" s="26"/>
      <c r="L28" s="22"/>
      <c r="P28" s="502">
        <v>25</v>
      </c>
      <c r="Q28" s="503">
        <v>9.0548571179999993</v>
      </c>
      <c r="R28" s="503">
        <v>3.2130000590000001</v>
      </c>
      <c r="S28" s="503">
        <v>56.674428669999998</v>
      </c>
      <c r="T28" s="503">
        <v>25.690000260000001</v>
      </c>
      <c r="U28" s="503">
        <v>6.9342856409999998</v>
      </c>
      <c r="V28" s="503">
        <v>10.00571442</v>
      </c>
      <c r="W28" s="503">
        <v>1.254714302</v>
      </c>
      <c r="X28" s="503">
        <v>37.560714179999998</v>
      </c>
      <c r="Y28" s="503">
        <v>7.91285726</v>
      </c>
    </row>
    <row r="29" spans="1:25" ht="11.25" customHeight="1">
      <c r="A29" s="136"/>
      <c r="B29" s="138"/>
      <c r="C29" s="138"/>
      <c r="D29" s="138"/>
      <c r="E29" s="138"/>
      <c r="F29" s="138"/>
      <c r="G29" s="138"/>
      <c r="H29" s="138"/>
      <c r="I29" s="138"/>
      <c r="J29" s="25"/>
      <c r="K29" s="26"/>
      <c r="L29" s="22"/>
      <c r="P29" s="502">
        <v>26</v>
      </c>
      <c r="Q29" s="503">
        <v>8.8612857550000008</v>
      </c>
      <c r="R29" s="503">
        <v>3.5</v>
      </c>
      <c r="S29" s="503">
        <v>68.087428501674069</v>
      </c>
      <c r="T29" s="503">
        <v>30.317143300000001</v>
      </c>
      <c r="U29" s="503">
        <v>8.8971428190000008</v>
      </c>
      <c r="V29" s="503">
        <v>10</v>
      </c>
      <c r="W29" s="503">
        <v>1.4324285809999999</v>
      </c>
      <c r="X29" s="503">
        <v>37.759999409999999</v>
      </c>
      <c r="Y29" s="503">
        <v>8.911428656</v>
      </c>
    </row>
    <row r="30" spans="1:25" ht="11.25" customHeight="1">
      <c r="A30" s="136"/>
      <c r="B30" s="138"/>
      <c r="C30" s="138"/>
      <c r="D30" s="138"/>
      <c r="E30" s="138"/>
      <c r="F30" s="138"/>
      <c r="G30" s="138"/>
      <c r="H30" s="138"/>
      <c r="I30" s="138"/>
      <c r="J30" s="25"/>
      <c r="K30" s="26"/>
      <c r="L30" s="22"/>
      <c r="P30" s="502">
        <v>27</v>
      </c>
      <c r="Q30" s="503">
        <v>8.3185714990000008</v>
      </c>
      <c r="R30" s="503">
        <v>4.0900001530000001</v>
      </c>
      <c r="S30" s="503">
        <v>60.110428400000004</v>
      </c>
      <c r="T30" s="503">
        <v>28.581429350000001</v>
      </c>
      <c r="U30" s="503">
        <v>7.9442856649999998</v>
      </c>
      <c r="V30" s="503">
        <v>10.001428600000001</v>
      </c>
      <c r="W30" s="503">
        <v>1.455999987</v>
      </c>
      <c r="X30" s="503">
        <v>35.967143470000003</v>
      </c>
      <c r="Y30" s="503">
        <v>7.2057142259999996</v>
      </c>
    </row>
    <row r="31" spans="1:25" ht="11.25" customHeight="1">
      <c r="A31" s="136"/>
      <c r="B31" s="138"/>
      <c r="C31" s="138"/>
      <c r="D31" s="138"/>
      <c r="E31" s="138"/>
      <c r="F31" s="138"/>
      <c r="G31" s="138"/>
      <c r="H31" s="138"/>
      <c r="I31" s="138"/>
      <c r="J31" s="25"/>
      <c r="K31" s="26"/>
      <c r="L31" s="22"/>
      <c r="O31" s="501">
        <v>28</v>
      </c>
      <c r="P31" s="502">
        <v>28</v>
      </c>
      <c r="Q31" s="503">
        <v>7.789714268</v>
      </c>
      <c r="R31" s="503">
        <v>3.119999886</v>
      </c>
      <c r="S31" s="503">
        <v>60.986856189999997</v>
      </c>
      <c r="T31" s="503">
        <v>27.099999836512943</v>
      </c>
      <c r="U31" s="503">
        <v>7.4514284819999999</v>
      </c>
      <c r="V31" s="503">
        <v>10.0128573</v>
      </c>
      <c r="W31" s="503">
        <v>1.5508571609999999</v>
      </c>
      <c r="X31" s="503">
        <v>47.66357095</v>
      </c>
      <c r="Y31" s="503">
        <v>9.9999998639999994</v>
      </c>
    </row>
    <row r="32" spans="1:25" ht="11.25" customHeight="1">
      <c r="A32" s="136"/>
      <c r="B32" s="138"/>
      <c r="C32" s="138"/>
      <c r="D32" s="138"/>
      <c r="E32" s="138"/>
      <c r="F32" s="138"/>
      <c r="G32" s="138"/>
      <c r="H32" s="138"/>
      <c r="I32" s="138"/>
      <c r="J32" s="26"/>
      <c r="K32" s="26"/>
      <c r="L32" s="22"/>
      <c r="P32" s="502">
        <v>29</v>
      </c>
      <c r="Q32" s="503">
        <v>7.1615714349999999</v>
      </c>
      <c r="R32" s="503">
        <v>3.4249999519999998</v>
      </c>
      <c r="S32" s="503">
        <v>56.540714260000001</v>
      </c>
      <c r="T32" s="503">
        <v>23.477142610000001</v>
      </c>
      <c r="U32" s="503">
        <v>6.2828570089999998</v>
      </c>
      <c r="V32" s="503">
        <v>10.001428600000001</v>
      </c>
      <c r="W32" s="503">
        <v>2.1035714489999999</v>
      </c>
      <c r="X32" s="503">
        <v>44.25</v>
      </c>
      <c r="Y32" s="503">
        <v>6.7128572460000004</v>
      </c>
    </row>
    <row r="33" spans="1:25" ht="11.25" customHeight="1">
      <c r="A33" s="136"/>
      <c r="B33" s="138"/>
      <c r="C33" s="138"/>
      <c r="D33" s="138"/>
      <c r="E33" s="138"/>
      <c r="F33" s="138"/>
      <c r="G33" s="138"/>
      <c r="H33" s="138"/>
      <c r="I33" s="138"/>
      <c r="J33" s="25"/>
      <c r="K33" s="26"/>
      <c r="L33" s="22"/>
      <c r="P33" s="502">
        <v>30</v>
      </c>
      <c r="Q33" s="503">
        <v>6.6714285440000003</v>
      </c>
      <c r="R33" s="503">
        <v>2.8789999489999998</v>
      </c>
      <c r="S33" s="503">
        <v>65.491856709999993</v>
      </c>
      <c r="T33" s="503">
        <v>21.095714300000001</v>
      </c>
      <c r="U33" s="503">
        <v>5.8057142669999999</v>
      </c>
      <c r="V33" s="503">
        <v>10.01142883</v>
      </c>
      <c r="W33" s="503">
        <v>1.8491428750000001</v>
      </c>
      <c r="X33" s="503">
        <v>42.498571668352326</v>
      </c>
      <c r="Y33" s="503">
        <v>6.0797142300000004</v>
      </c>
    </row>
    <row r="34" spans="1:25" ht="11.25" customHeight="1">
      <c r="A34" s="136"/>
      <c r="B34" s="138"/>
      <c r="C34" s="138"/>
      <c r="D34" s="138"/>
      <c r="E34" s="138"/>
      <c r="F34" s="138"/>
      <c r="G34" s="138"/>
      <c r="H34" s="138"/>
      <c r="I34" s="138"/>
      <c r="J34" s="25"/>
      <c r="K34" s="34"/>
      <c r="L34" s="22"/>
      <c r="P34" s="502">
        <v>31</v>
      </c>
      <c r="Q34" s="503">
        <v>6.2387143543788328</v>
      </c>
      <c r="R34" s="503">
        <v>2.9382856232779297</v>
      </c>
      <c r="S34" s="503">
        <v>65.491856711251344</v>
      </c>
      <c r="T34" s="503">
        <v>20.037142889840243</v>
      </c>
      <c r="U34" s="503">
        <v>5.4814286231994549</v>
      </c>
      <c r="V34" s="503">
        <v>10.011428833007772</v>
      </c>
      <c r="W34" s="503">
        <v>1.8019999946866672</v>
      </c>
      <c r="X34" s="503">
        <v>39.98428617204933</v>
      </c>
      <c r="Y34" s="503">
        <v>4.9059999329703157</v>
      </c>
    </row>
    <row r="35" spans="1:25" ht="11.25" customHeight="1">
      <c r="A35" s="136"/>
      <c r="B35" s="138"/>
      <c r="C35" s="138"/>
      <c r="D35" s="138"/>
      <c r="E35" s="138"/>
      <c r="F35" s="138"/>
      <c r="G35" s="138"/>
      <c r="H35" s="138"/>
      <c r="I35" s="138"/>
      <c r="J35" s="25"/>
      <c r="K35" s="34"/>
      <c r="L35" s="38"/>
      <c r="O35" s="501">
        <v>32</v>
      </c>
      <c r="P35" s="502">
        <v>32</v>
      </c>
      <c r="Q35" s="503">
        <v>6.1697142459999998</v>
      </c>
      <c r="R35" s="503">
        <v>3.2030000689999998</v>
      </c>
      <c r="S35" s="503">
        <v>49.942714418571427</v>
      </c>
      <c r="T35" s="503">
        <v>23.275714059999999</v>
      </c>
      <c r="U35" s="503">
        <v>5.8257142479999997</v>
      </c>
      <c r="V35" s="503">
        <v>10.004285810000001</v>
      </c>
      <c r="W35" s="503">
        <v>1.2214285650000001</v>
      </c>
      <c r="X35" s="503">
        <v>36.654999320000002</v>
      </c>
      <c r="Y35" s="503">
        <v>4.0242800000000001</v>
      </c>
    </row>
    <row r="36" spans="1:25" ht="11.25" customHeight="1">
      <c r="A36" s="136"/>
      <c r="B36" s="138"/>
      <c r="C36" s="138"/>
      <c r="D36" s="138"/>
      <c r="E36" s="138"/>
      <c r="F36" s="138"/>
      <c r="G36" s="138"/>
      <c r="H36" s="138"/>
      <c r="I36" s="138"/>
      <c r="J36" s="25"/>
      <c r="K36" s="29"/>
      <c r="L36" s="22"/>
      <c r="P36" s="502">
        <v>33</v>
      </c>
      <c r="Q36" s="503">
        <v>6.3728570940000004</v>
      </c>
      <c r="R36" s="503">
        <v>2.841857144</v>
      </c>
      <c r="S36" s="503">
        <v>57.183571406773112</v>
      </c>
      <c r="T36" s="503">
        <v>22.619999750000002</v>
      </c>
      <c r="U36" s="503">
        <v>5.5228571210000004</v>
      </c>
      <c r="V36" s="503">
        <v>10</v>
      </c>
      <c r="W36" s="503">
        <v>1.3032857349940685</v>
      </c>
      <c r="X36" s="503">
        <v>35.152857099999999</v>
      </c>
      <c r="Y36" s="503">
        <v>4.354285752</v>
      </c>
    </row>
    <row r="37" spans="1:25" ht="11.25" customHeight="1">
      <c r="A37" s="136"/>
      <c r="B37" s="138"/>
      <c r="C37" s="138"/>
      <c r="D37" s="138"/>
      <c r="E37" s="138"/>
      <c r="F37" s="138"/>
      <c r="G37" s="138"/>
      <c r="H37" s="138"/>
      <c r="I37" s="138"/>
      <c r="J37" s="25"/>
      <c r="K37" s="29"/>
      <c r="L37" s="22"/>
      <c r="P37" s="502">
        <v>34</v>
      </c>
      <c r="Q37" s="503">
        <v>6.1195714130000001</v>
      </c>
      <c r="R37" s="503">
        <v>3.058000088</v>
      </c>
      <c r="S37" s="503">
        <v>49.366142269999997</v>
      </c>
      <c r="T37" s="503">
        <v>25.04757145</v>
      </c>
      <c r="U37" s="503">
        <v>5.8727143149999996</v>
      </c>
      <c r="V37" s="503">
        <v>10.00857162</v>
      </c>
      <c r="W37" s="503">
        <v>1.2842857160000001</v>
      </c>
      <c r="X37" s="503">
        <v>34.115715029999997</v>
      </c>
      <c r="Y37" s="503">
        <v>4.3511429509999999</v>
      </c>
    </row>
    <row r="38" spans="1:25" ht="11.25" customHeight="1">
      <c r="A38" s="136"/>
      <c r="B38" s="138"/>
      <c r="C38" s="138"/>
      <c r="D38" s="138"/>
      <c r="E38" s="138"/>
      <c r="F38" s="138"/>
      <c r="G38" s="138"/>
      <c r="H38" s="138"/>
      <c r="I38" s="138"/>
      <c r="J38" s="25"/>
      <c r="K38" s="29"/>
      <c r="L38" s="22"/>
      <c r="P38" s="502">
        <v>35</v>
      </c>
      <c r="Q38" s="503">
        <v>5.9814286230000002</v>
      </c>
      <c r="R38" s="503">
        <v>1.506999969</v>
      </c>
      <c r="S38" s="503">
        <v>56.934856959999998</v>
      </c>
      <c r="T38" s="503">
        <v>21.374285830000002</v>
      </c>
      <c r="U38" s="503">
        <v>4.9342857090000001</v>
      </c>
      <c r="V38" s="503">
        <v>10.28714289</v>
      </c>
      <c r="W38" s="503">
        <v>1.5979999810000001</v>
      </c>
      <c r="X38" s="503">
        <v>30.92</v>
      </c>
      <c r="Y38" s="503">
        <v>5.3042856629999999</v>
      </c>
    </row>
    <row r="39" spans="1:25" ht="11.25" customHeight="1">
      <c r="O39" s="501">
        <v>36</v>
      </c>
      <c r="P39" s="502">
        <v>36</v>
      </c>
      <c r="Q39" s="503">
        <v>6.03</v>
      </c>
      <c r="R39" s="503">
        <v>2.8</v>
      </c>
      <c r="S39" s="503">
        <v>48.51</v>
      </c>
      <c r="T39" s="503">
        <v>22.661428449999999</v>
      </c>
      <c r="U39" s="503">
        <v>4.9800000000000004</v>
      </c>
      <c r="V39" s="503">
        <v>11.01</v>
      </c>
      <c r="W39" s="503">
        <v>1.63</v>
      </c>
      <c r="X39" s="503">
        <v>30.922143120000001</v>
      </c>
      <c r="Y39" s="503">
        <v>7.46</v>
      </c>
    </row>
    <row r="40" spans="1:25" ht="11.25" customHeight="1">
      <c r="A40" s="940" t="s">
        <v>579</v>
      </c>
      <c r="B40" s="940"/>
      <c r="C40" s="940"/>
      <c r="D40" s="940"/>
      <c r="E40" s="940"/>
      <c r="F40" s="940"/>
      <c r="G40" s="940"/>
      <c r="H40" s="940"/>
      <c r="I40" s="940"/>
      <c r="J40" s="940"/>
      <c r="K40" s="940"/>
      <c r="L40" s="940"/>
      <c r="P40" s="502">
        <v>37</v>
      </c>
      <c r="Q40" s="503">
        <v>6.03</v>
      </c>
      <c r="R40" s="503">
        <v>2.37</v>
      </c>
      <c r="S40" s="503">
        <v>43.99</v>
      </c>
      <c r="T40" s="503">
        <v>19.149999999999999</v>
      </c>
      <c r="U40" s="503">
        <v>5.31</v>
      </c>
      <c r="V40" s="503">
        <v>11</v>
      </c>
      <c r="W40" s="503">
        <v>1.59</v>
      </c>
      <c r="X40" s="503">
        <v>29.33</v>
      </c>
      <c r="Y40" s="503">
        <v>7.79</v>
      </c>
    </row>
    <row r="41" spans="1:25" ht="11.25" customHeight="1">
      <c r="P41" s="502">
        <v>38</v>
      </c>
      <c r="Q41" s="503">
        <v>6.5951428410000004</v>
      </c>
      <c r="R41" s="503">
        <v>3.0060000420000001</v>
      </c>
      <c r="S41" s="503">
        <v>47.220570700000003</v>
      </c>
      <c r="T41" s="503">
        <v>22.304285589999999</v>
      </c>
      <c r="U41" s="503">
        <v>5.581428528</v>
      </c>
      <c r="V41" s="503">
        <v>10.85142858</v>
      </c>
      <c r="W41" s="503">
        <v>1.5402856890000001</v>
      </c>
      <c r="X41" s="503">
        <v>34.179286410000003</v>
      </c>
      <c r="Y41" s="503">
        <v>8.5442856379999998</v>
      </c>
    </row>
    <row r="42" spans="1:25" ht="11.25" customHeight="1">
      <c r="A42" s="136"/>
      <c r="B42" s="138"/>
      <c r="C42" s="138"/>
      <c r="D42" s="138"/>
      <c r="E42" s="138"/>
      <c r="F42" s="138"/>
      <c r="G42" s="138"/>
      <c r="H42" s="138"/>
      <c r="I42" s="138"/>
      <c r="O42" s="501">
        <v>39</v>
      </c>
      <c r="P42" s="502">
        <v>39</v>
      </c>
      <c r="Q42" s="503">
        <v>6.84</v>
      </c>
      <c r="R42" s="503">
        <v>3.32</v>
      </c>
      <c r="S42" s="503">
        <v>63.05</v>
      </c>
      <c r="T42" s="503">
        <v>48.7</v>
      </c>
      <c r="U42" s="503">
        <v>7.81</v>
      </c>
      <c r="V42" s="503">
        <v>11.15</v>
      </c>
      <c r="W42" s="503">
        <v>1.32</v>
      </c>
      <c r="X42" s="503">
        <v>38.82</v>
      </c>
      <c r="Y42" s="503">
        <v>6.81</v>
      </c>
    </row>
    <row r="43" spans="1:25" ht="11.25" customHeight="1">
      <c r="A43" s="136"/>
      <c r="B43" s="138"/>
      <c r="C43" s="138"/>
      <c r="D43" s="138"/>
      <c r="E43" s="138"/>
      <c r="F43" s="138"/>
      <c r="G43" s="138"/>
      <c r="H43" s="138"/>
      <c r="I43" s="138"/>
      <c r="P43" s="502">
        <v>40</v>
      </c>
      <c r="Q43" s="503">
        <v>7.6862857681428576</v>
      </c>
      <c r="R43" s="503">
        <v>3.1560000009999998</v>
      </c>
      <c r="S43" s="503">
        <v>61.54114314571428</v>
      </c>
      <c r="T43" s="503">
        <v>37.928571428999994</v>
      </c>
      <c r="U43" s="503">
        <v>7.9165713450000004</v>
      </c>
      <c r="V43" s="503">
        <v>11.005714417142856</v>
      </c>
      <c r="W43" s="503">
        <v>1.3828571522857145</v>
      </c>
      <c r="X43" s="503">
        <v>43.879284992857151</v>
      </c>
      <c r="Y43" s="503">
        <v>6.2752857208571422</v>
      </c>
    </row>
    <row r="44" spans="1:25" ht="11.25" customHeight="1">
      <c r="A44" s="136"/>
      <c r="B44" s="138"/>
      <c r="C44" s="138"/>
      <c r="D44" s="138"/>
      <c r="E44" s="138"/>
      <c r="F44" s="138"/>
      <c r="G44" s="138"/>
      <c r="H44" s="138"/>
      <c r="I44" s="138"/>
      <c r="P44" s="502">
        <v>41</v>
      </c>
      <c r="Q44" s="503">
        <v>7.1000001089913463</v>
      </c>
      <c r="R44" s="503">
        <v>2.9028571673801928</v>
      </c>
      <c r="S44" s="503">
        <v>58.117285592215353</v>
      </c>
      <c r="T44" s="503">
        <v>48.921429225376635</v>
      </c>
      <c r="U44" s="503">
        <v>8.5942858287266173</v>
      </c>
      <c r="V44" s="503">
        <v>11.002857208251914</v>
      </c>
      <c r="W44" s="503">
        <v>1.3182857036590543</v>
      </c>
      <c r="X44" s="503">
        <v>45.627857753208637</v>
      </c>
      <c r="Y44" s="503">
        <v>9.9285714966910028</v>
      </c>
    </row>
    <row r="45" spans="1:25" ht="11.25" customHeight="1">
      <c r="A45" s="136"/>
      <c r="B45" s="138"/>
      <c r="C45" s="138"/>
      <c r="D45" s="138"/>
      <c r="E45" s="138"/>
      <c r="F45" s="138"/>
      <c r="G45" s="138"/>
      <c r="H45" s="138"/>
      <c r="I45" s="138"/>
      <c r="P45" s="502">
        <v>42</v>
      </c>
      <c r="Q45" s="503">
        <v>6.7610000201428573</v>
      </c>
      <c r="R45" s="503">
        <v>2.8671428815714286</v>
      </c>
      <c r="S45" s="503">
        <v>58.888142721428572</v>
      </c>
      <c r="T45" s="503">
        <v>55.619142805714283</v>
      </c>
      <c r="U45" s="503">
        <v>9.5089999614285716</v>
      </c>
      <c r="V45" s="503">
        <v>11.007142884285715</v>
      </c>
      <c r="W45" s="503">
        <v>1.2221428497142859</v>
      </c>
      <c r="X45" s="503">
        <v>52.615000045714282</v>
      </c>
      <c r="Y45" s="503">
        <v>9.6800000322857152</v>
      </c>
    </row>
    <row r="46" spans="1:25" ht="11.25" customHeight="1">
      <c r="A46" s="136"/>
      <c r="B46" s="138"/>
      <c r="C46" s="138"/>
      <c r="D46" s="138"/>
      <c r="E46" s="138"/>
      <c r="F46" s="138"/>
      <c r="G46" s="138"/>
      <c r="H46" s="138"/>
      <c r="I46" s="138"/>
      <c r="O46" s="501">
        <v>43</v>
      </c>
      <c r="P46" s="502">
        <v>43</v>
      </c>
      <c r="Q46" s="503">
        <v>6.53</v>
      </c>
      <c r="R46" s="503">
        <v>2.37</v>
      </c>
      <c r="S46" s="503">
        <v>69.2</v>
      </c>
      <c r="T46" s="503">
        <v>54.58</v>
      </c>
      <c r="U46" s="503">
        <v>8.23</v>
      </c>
      <c r="V46" s="503">
        <v>11.01</v>
      </c>
      <c r="W46" s="503">
        <v>1.35</v>
      </c>
      <c r="X46" s="503">
        <v>50.71</v>
      </c>
      <c r="Y46" s="503">
        <v>10.33</v>
      </c>
    </row>
    <row r="47" spans="1:25" ht="11.25" customHeight="1">
      <c r="A47" s="136"/>
      <c r="B47" s="138"/>
      <c r="C47" s="138"/>
      <c r="D47" s="138"/>
      <c r="E47" s="138"/>
      <c r="F47" s="138"/>
      <c r="G47" s="138"/>
      <c r="H47" s="138"/>
      <c r="I47" s="138"/>
      <c r="P47" s="502">
        <v>44</v>
      </c>
      <c r="Q47" s="503">
        <v>7.58</v>
      </c>
      <c r="R47" s="503">
        <v>4.8899999999999997</v>
      </c>
      <c r="S47" s="503">
        <v>51.59</v>
      </c>
      <c r="T47" s="503">
        <v>57.65</v>
      </c>
      <c r="U47" s="503">
        <v>7.72</v>
      </c>
      <c r="V47" s="503">
        <v>11.01</v>
      </c>
      <c r="W47" s="503">
        <v>1.47</v>
      </c>
      <c r="X47" s="503">
        <v>48.41</v>
      </c>
      <c r="Y47" s="503">
        <v>11.29</v>
      </c>
    </row>
    <row r="48" spans="1:25">
      <c r="A48" s="136"/>
      <c r="B48" s="138"/>
      <c r="C48" s="138"/>
      <c r="D48" s="138"/>
      <c r="E48" s="138"/>
      <c r="F48" s="138"/>
      <c r="G48" s="138"/>
      <c r="H48" s="138"/>
      <c r="I48" s="138"/>
      <c r="P48" s="502">
        <v>45</v>
      </c>
      <c r="Q48" s="503">
        <v>6.95</v>
      </c>
      <c r="R48" s="503">
        <v>1.61</v>
      </c>
      <c r="S48" s="503">
        <v>72.92</v>
      </c>
      <c r="T48" s="503">
        <v>67.069999999999993</v>
      </c>
      <c r="U48" s="503">
        <v>6.9</v>
      </c>
      <c r="V48" s="503">
        <v>11</v>
      </c>
      <c r="W48" s="503">
        <v>1.42</v>
      </c>
      <c r="X48" s="503">
        <v>47.24</v>
      </c>
      <c r="Y48" s="503">
        <v>9</v>
      </c>
    </row>
    <row r="49" spans="1:25">
      <c r="A49" s="136"/>
      <c r="B49" s="138"/>
      <c r="C49" s="138"/>
      <c r="D49" s="138"/>
      <c r="E49" s="138"/>
      <c r="F49" s="138"/>
      <c r="G49" s="138"/>
      <c r="H49" s="138"/>
      <c r="I49" s="138"/>
      <c r="P49" s="502">
        <v>46</v>
      </c>
      <c r="Q49" s="503">
        <v>6.8571429249999998</v>
      </c>
      <c r="R49" s="503">
        <v>1.6428571599999999</v>
      </c>
      <c r="S49" s="503">
        <v>58.4</v>
      </c>
      <c r="T49" s="503">
        <v>34.982142860000003</v>
      </c>
      <c r="U49" s="503">
        <v>5.0667143550000002</v>
      </c>
      <c r="V49" s="503">
        <v>11.01</v>
      </c>
      <c r="W49" s="503">
        <v>1.38</v>
      </c>
      <c r="X49" s="503">
        <v>40.61</v>
      </c>
      <c r="Y49" s="503">
        <v>8.81</v>
      </c>
    </row>
    <row r="50" spans="1:25">
      <c r="A50" s="136"/>
      <c r="B50" s="138"/>
      <c r="C50" s="138"/>
      <c r="D50" s="138"/>
      <c r="E50" s="138"/>
      <c r="F50" s="138"/>
      <c r="G50" s="138"/>
      <c r="H50" s="138"/>
      <c r="I50" s="138"/>
      <c r="P50" s="502">
        <v>47</v>
      </c>
      <c r="Q50" s="503">
        <v>6.9940000260000001</v>
      </c>
      <c r="R50" s="503">
        <v>1.5142857009999999</v>
      </c>
      <c r="S50" s="503">
        <v>52.554856440000002</v>
      </c>
      <c r="T50" s="503">
        <v>29.07742855</v>
      </c>
      <c r="U50" s="503">
        <v>4.2727143420000004</v>
      </c>
      <c r="V50" s="503">
        <v>11.00286</v>
      </c>
      <c r="W50" s="503">
        <v>1.63</v>
      </c>
      <c r="X50" s="503">
        <v>41.625</v>
      </c>
      <c r="Y50" s="503">
        <v>9.3542860000000001</v>
      </c>
    </row>
    <row r="51" spans="1:25">
      <c r="A51" s="136"/>
      <c r="B51" s="138"/>
      <c r="C51" s="138"/>
      <c r="D51" s="138"/>
      <c r="E51" s="138"/>
      <c r="F51" s="138"/>
      <c r="G51" s="138"/>
      <c r="H51" s="138"/>
      <c r="I51" s="138"/>
      <c r="O51" s="501">
        <v>48</v>
      </c>
      <c r="P51" s="502">
        <v>48</v>
      </c>
      <c r="Q51" s="503">
        <v>7.1124285970000001</v>
      </c>
      <c r="R51" s="503">
        <v>1.4714285645714287</v>
      </c>
      <c r="S51" s="503">
        <v>53.429429191428575</v>
      </c>
      <c r="T51" s="503">
        <v>88.059571399999996</v>
      </c>
      <c r="U51" s="503">
        <v>7.879285812428571</v>
      </c>
      <c r="V51" s="503">
        <v>10.862857274285714</v>
      </c>
      <c r="W51" s="503">
        <v>1.6007142748571428</v>
      </c>
      <c r="X51" s="503">
        <v>41.014285495714283</v>
      </c>
      <c r="Y51" s="503">
        <v>14.194285802</v>
      </c>
    </row>
    <row r="52" spans="1:25">
      <c r="A52" s="136"/>
      <c r="B52" s="138"/>
      <c r="C52" s="138"/>
      <c r="D52" s="138"/>
      <c r="E52" s="138"/>
      <c r="F52" s="138"/>
      <c r="G52" s="138"/>
      <c r="H52" s="138"/>
      <c r="I52" s="138"/>
      <c r="P52" s="502">
        <v>49</v>
      </c>
      <c r="Q52" s="503">
        <v>8.43</v>
      </c>
      <c r="R52" s="503">
        <v>2.2400000000000002</v>
      </c>
      <c r="S52" s="503">
        <v>61.07</v>
      </c>
      <c r="T52" s="503">
        <v>106.59</v>
      </c>
      <c r="U52" s="503">
        <v>16.09</v>
      </c>
      <c r="V52" s="503">
        <v>10.5</v>
      </c>
      <c r="W52" s="503">
        <v>1.1200000000000001</v>
      </c>
      <c r="X52" s="503">
        <v>83.6</v>
      </c>
      <c r="Y52" s="503">
        <v>22.62</v>
      </c>
    </row>
    <row r="53" spans="1:25">
      <c r="A53" s="136"/>
      <c r="B53" s="138"/>
      <c r="C53" s="138"/>
      <c r="D53" s="138"/>
      <c r="E53" s="138"/>
      <c r="F53" s="138"/>
      <c r="G53" s="138"/>
      <c r="H53" s="138"/>
      <c r="I53" s="138"/>
      <c r="P53" s="502">
        <v>50</v>
      </c>
      <c r="Q53" s="503">
        <v>8.32</v>
      </c>
      <c r="R53" s="503">
        <v>2.19</v>
      </c>
      <c r="S53" s="503">
        <v>78.02</v>
      </c>
      <c r="T53" s="503">
        <v>104.79</v>
      </c>
      <c r="U53" s="503">
        <v>18.649999999999999</v>
      </c>
      <c r="V53" s="503">
        <v>10.51</v>
      </c>
      <c r="W53" s="503">
        <v>1.1399999999999999</v>
      </c>
      <c r="X53" s="503">
        <v>66.8</v>
      </c>
      <c r="Y53" s="503">
        <v>22.62</v>
      </c>
    </row>
    <row r="54" spans="1:25">
      <c r="A54" s="136"/>
      <c r="B54" s="138"/>
      <c r="C54" s="138"/>
      <c r="D54" s="138"/>
      <c r="E54" s="138"/>
      <c r="F54" s="138"/>
      <c r="G54" s="138"/>
      <c r="H54" s="138"/>
      <c r="I54" s="138"/>
      <c r="P54" s="502">
        <v>51</v>
      </c>
      <c r="Q54" s="503">
        <v>9.08</v>
      </c>
      <c r="R54" s="503">
        <v>3.71</v>
      </c>
      <c r="S54" s="503">
        <v>67.64</v>
      </c>
      <c r="T54" s="503">
        <v>69.61</v>
      </c>
      <c r="U54" s="503">
        <v>11.22</v>
      </c>
      <c r="V54" s="503">
        <v>10.5</v>
      </c>
      <c r="W54" s="503">
        <v>1.37</v>
      </c>
      <c r="X54" s="503">
        <v>55.42</v>
      </c>
      <c r="Y54" s="503">
        <v>17.489999999999998</v>
      </c>
    </row>
    <row r="55" spans="1:25">
      <c r="A55" s="136"/>
      <c r="B55" s="138"/>
      <c r="C55" s="138"/>
      <c r="D55" s="138"/>
      <c r="E55" s="138"/>
      <c r="F55" s="138"/>
      <c r="G55" s="138"/>
      <c r="H55" s="138"/>
      <c r="I55" s="138"/>
      <c r="O55" s="501">
        <v>52</v>
      </c>
      <c r="P55" s="502">
        <v>52</v>
      </c>
      <c r="Q55" s="503">
        <v>8.42</v>
      </c>
      <c r="R55" s="503">
        <v>3.57</v>
      </c>
      <c r="S55" s="503">
        <v>56.187571937142856</v>
      </c>
      <c r="T55" s="503">
        <v>58.452428545714284</v>
      </c>
      <c r="U55" s="503">
        <v>8.01</v>
      </c>
      <c r="V55" s="503">
        <v>10.507142884285715</v>
      </c>
      <c r="W55" s="503">
        <v>1.53</v>
      </c>
      <c r="X55" s="503">
        <v>59.550713675714292</v>
      </c>
      <c r="Y55" s="503">
        <v>18.608285904285712</v>
      </c>
    </row>
    <row r="56" spans="1:25">
      <c r="A56" s="136"/>
      <c r="B56" s="138"/>
      <c r="C56" s="138"/>
      <c r="D56" s="138"/>
      <c r="E56" s="138"/>
      <c r="F56" s="138"/>
      <c r="G56" s="138"/>
      <c r="H56" s="138"/>
      <c r="I56" s="138"/>
      <c r="N56" s="501">
        <v>2017</v>
      </c>
      <c r="O56" s="501">
        <v>1</v>
      </c>
      <c r="P56" s="502">
        <v>1</v>
      </c>
      <c r="Q56" s="503">
        <v>13.85</v>
      </c>
      <c r="R56" s="503">
        <v>11.3</v>
      </c>
      <c r="S56" s="503">
        <v>104.02</v>
      </c>
      <c r="T56" s="503">
        <v>148.43</v>
      </c>
      <c r="U56" s="503">
        <v>24.1</v>
      </c>
      <c r="V56" s="503">
        <v>10.220000000000001</v>
      </c>
      <c r="W56" s="503">
        <v>3.28</v>
      </c>
      <c r="X56" s="503">
        <v>89.46</v>
      </c>
      <c r="Y56" s="503">
        <v>25.43</v>
      </c>
    </row>
    <row r="57" spans="1:25">
      <c r="A57" s="136"/>
      <c r="B57" s="138"/>
      <c r="C57" s="138"/>
      <c r="D57" s="138"/>
      <c r="E57" s="138"/>
      <c r="F57" s="138"/>
      <c r="G57" s="138"/>
      <c r="H57" s="138"/>
      <c r="I57" s="138"/>
      <c r="P57" s="502">
        <v>2</v>
      </c>
      <c r="Q57" s="503">
        <v>14.96</v>
      </c>
      <c r="R57" s="503">
        <v>15.4</v>
      </c>
      <c r="S57" s="503">
        <v>143.97</v>
      </c>
      <c r="T57" s="503">
        <v>175.88</v>
      </c>
      <c r="U57" s="503">
        <v>33.74</v>
      </c>
      <c r="V57" s="503">
        <v>10.17</v>
      </c>
      <c r="W57" s="503">
        <v>6.45</v>
      </c>
      <c r="X57" s="503">
        <v>178.14</v>
      </c>
      <c r="Y57" s="503">
        <v>55.67</v>
      </c>
    </row>
    <row r="58" spans="1:25">
      <c r="A58" s="136"/>
      <c r="B58" s="138"/>
      <c r="C58" s="138"/>
      <c r="D58" s="138"/>
      <c r="E58" s="138"/>
      <c r="F58" s="138"/>
      <c r="G58" s="138"/>
      <c r="H58" s="138"/>
      <c r="I58" s="138"/>
      <c r="P58" s="502">
        <v>3</v>
      </c>
      <c r="Q58" s="503">
        <v>28.98</v>
      </c>
      <c r="R58" s="503">
        <v>21.94</v>
      </c>
      <c r="S58" s="503">
        <v>355.12</v>
      </c>
      <c r="T58" s="503">
        <v>177.57</v>
      </c>
      <c r="U58" s="503">
        <v>35.49</v>
      </c>
      <c r="V58" s="503">
        <v>10</v>
      </c>
      <c r="W58" s="503">
        <v>9.0500000000000007</v>
      </c>
      <c r="X58" s="503">
        <v>174.94</v>
      </c>
      <c r="Y58" s="503">
        <v>58.31</v>
      </c>
    </row>
    <row r="59" spans="1:25">
      <c r="A59" s="136"/>
      <c r="B59" s="138"/>
      <c r="C59" s="138"/>
      <c r="D59" s="138"/>
      <c r="E59" s="138"/>
      <c r="F59" s="138"/>
      <c r="G59" s="138"/>
      <c r="H59" s="138"/>
      <c r="I59" s="138"/>
      <c r="O59" s="501">
        <v>4</v>
      </c>
      <c r="P59" s="502">
        <v>4</v>
      </c>
      <c r="Q59" s="503">
        <v>30.46</v>
      </c>
      <c r="R59" s="503">
        <v>23.91</v>
      </c>
      <c r="S59" s="503">
        <v>519.4</v>
      </c>
      <c r="T59" s="503">
        <v>205.76</v>
      </c>
      <c r="U59" s="503">
        <v>48.48</v>
      </c>
      <c r="V59" s="503">
        <v>10</v>
      </c>
      <c r="W59" s="503">
        <v>2.4300000000000002</v>
      </c>
      <c r="X59" s="503">
        <v>141.31</v>
      </c>
      <c r="Y59" s="503">
        <v>47.49</v>
      </c>
    </row>
    <row r="60" spans="1:25">
      <c r="A60" s="136"/>
      <c r="B60" s="138"/>
      <c r="C60" s="138"/>
      <c r="D60" s="138"/>
      <c r="E60" s="138"/>
      <c r="F60" s="138"/>
      <c r="G60" s="138"/>
      <c r="H60" s="138"/>
      <c r="I60" s="138"/>
      <c r="P60" s="502">
        <v>5</v>
      </c>
      <c r="Q60" s="503">
        <v>21.36</v>
      </c>
      <c r="R60" s="503">
        <v>18.07</v>
      </c>
      <c r="S60" s="503">
        <v>330.78</v>
      </c>
      <c r="T60" s="503">
        <v>123.41</v>
      </c>
      <c r="U60" s="503">
        <v>25.33</v>
      </c>
      <c r="V60" s="503">
        <v>11.41</v>
      </c>
      <c r="W60" s="503">
        <v>2.87</v>
      </c>
      <c r="X60" s="503">
        <v>123.59</v>
      </c>
      <c r="Y60" s="503">
        <v>45.46</v>
      </c>
    </row>
    <row r="61" spans="1:25">
      <c r="A61" s="136"/>
      <c r="B61" s="138"/>
      <c r="C61" s="138"/>
      <c r="D61" s="138"/>
      <c r="E61" s="138"/>
      <c r="F61" s="138"/>
      <c r="G61" s="138"/>
      <c r="H61" s="138"/>
      <c r="I61" s="138"/>
      <c r="P61" s="502">
        <v>6</v>
      </c>
      <c r="Q61" s="503">
        <v>25.42</v>
      </c>
      <c r="R61" s="503">
        <v>21.42</v>
      </c>
      <c r="S61" s="503">
        <v>200.58</v>
      </c>
      <c r="T61" s="503">
        <v>108.48</v>
      </c>
      <c r="U61" s="503">
        <v>22.99</v>
      </c>
      <c r="V61" s="503">
        <v>10.57</v>
      </c>
      <c r="W61" s="503">
        <v>3.01</v>
      </c>
      <c r="X61" s="503">
        <v>85.48</v>
      </c>
      <c r="Y61" s="503">
        <v>28.56</v>
      </c>
    </row>
    <row r="62" spans="1:25">
      <c r="A62" s="136"/>
      <c r="B62" s="138"/>
      <c r="C62" s="138"/>
      <c r="D62" s="138"/>
      <c r="E62" s="138"/>
      <c r="F62" s="138"/>
      <c r="G62" s="138"/>
      <c r="H62" s="138"/>
      <c r="I62" s="138"/>
      <c r="P62" s="502">
        <v>7</v>
      </c>
      <c r="Q62" s="503">
        <v>35.43</v>
      </c>
      <c r="R62" s="503">
        <v>25.12</v>
      </c>
      <c r="S62" s="503">
        <v>393.69</v>
      </c>
      <c r="T62" s="503">
        <v>144.62</v>
      </c>
      <c r="U62" s="503">
        <v>39.44</v>
      </c>
      <c r="V62" s="503">
        <v>10</v>
      </c>
      <c r="W62" s="503">
        <v>2.88</v>
      </c>
      <c r="X62" s="503">
        <v>100.57</v>
      </c>
      <c r="Y62" s="503">
        <v>25.04</v>
      </c>
    </row>
    <row r="63" spans="1:25">
      <c r="A63" s="136"/>
      <c r="B63" s="138"/>
      <c r="C63" s="138"/>
      <c r="D63" s="138"/>
      <c r="E63" s="138"/>
      <c r="F63" s="138"/>
      <c r="G63" s="138"/>
      <c r="H63" s="138"/>
      <c r="I63" s="138"/>
      <c r="O63" s="501">
        <v>8</v>
      </c>
      <c r="P63" s="502">
        <v>8</v>
      </c>
      <c r="Q63" s="503">
        <v>30.45</v>
      </c>
      <c r="R63" s="503">
        <v>23.33</v>
      </c>
      <c r="S63" s="503">
        <v>345.37</v>
      </c>
      <c r="T63" s="503">
        <v>140.63</v>
      </c>
      <c r="U63" s="503">
        <v>30.47</v>
      </c>
      <c r="V63" s="503">
        <v>9.58</v>
      </c>
      <c r="W63" s="503">
        <v>2.0699999999999998</v>
      </c>
      <c r="X63" s="503">
        <v>163.72999999999999</v>
      </c>
      <c r="Y63" s="503">
        <v>58.84</v>
      </c>
    </row>
    <row r="64" spans="1:25" ht="6" customHeight="1">
      <c r="A64" s="136"/>
      <c r="B64" s="138"/>
      <c r="C64" s="138"/>
      <c r="D64" s="138"/>
      <c r="E64" s="138"/>
      <c r="F64" s="138"/>
      <c r="G64" s="138"/>
      <c r="H64" s="138"/>
      <c r="I64" s="138"/>
      <c r="P64" s="502">
        <v>9</v>
      </c>
      <c r="Q64" s="503">
        <v>37.72</v>
      </c>
      <c r="R64" s="503">
        <v>24.83</v>
      </c>
      <c r="S64" s="503">
        <v>567.22</v>
      </c>
      <c r="T64" s="503">
        <v>245.85</v>
      </c>
      <c r="U64" s="503">
        <v>67.56</v>
      </c>
      <c r="V64" s="503">
        <v>9.01</v>
      </c>
      <c r="W64" s="503">
        <v>7.33</v>
      </c>
      <c r="X64" s="503">
        <v>285.31</v>
      </c>
      <c r="Y64" s="503">
        <v>102.26</v>
      </c>
    </row>
    <row r="65" spans="1:25" ht="24.75" customHeight="1">
      <c r="A65" s="912" t="s">
        <v>580</v>
      </c>
      <c r="B65" s="912"/>
      <c r="C65" s="912"/>
      <c r="D65" s="912"/>
      <c r="E65" s="912"/>
      <c r="F65" s="912"/>
      <c r="G65" s="912"/>
      <c r="H65" s="912"/>
      <c r="I65" s="912"/>
      <c r="J65" s="912"/>
      <c r="K65" s="912"/>
      <c r="L65" s="912"/>
      <c r="P65" s="502">
        <v>10</v>
      </c>
      <c r="Q65" s="503">
        <v>36.46</v>
      </c>
      <c r="R65" s="503">
        <v>24.95</v>
      </c>
      <c r="S65" s="503">
        <v>467.04</v>
      </c>
      <c r="T65" s="503">
        <v>188.01</v>
      </c>
      <c r="U65" s="503">
        <v>50.5</v>
      </c>
      <c r="V65" s="503">
        <v>10.06</v>
      </c>
      <c r="W65" s="503">
        <v>3.71</v>
      </c>
      <c r="X65" s="503">
        <v>374.33</v>
      </c>
      <c r="Y65" s="503">
        <v>83.74</v>
      </c>
    </row>
    <row r="66" spans="1:25" ht="20.25" customHeight="1">
      <c r="P66" s="502">
        <v>11</v>
      </c>
      <c r="Q66" s="503">
        <v>35.590000000000003</v>
      </c>
      <c r="R66" s="503">
        <v>26.89</v>
      </c>
      <c r="S66" s="503">
        <v>448.3</v>
      </c>
      <c r="T66" s="503">
        <v>169.95</v>
      </c>
      <c r="U66" s="503">
        <v>51.21</v>
      </c>
      <c r="V66" s="503">
        <v>26.15</v>
      </c>
      <c r="W66" s="503">
        <v>8.66</v>
      </c>
      <c r="X66" s="503">
        <v>219.86</v>
      </c>
      <c r="Y66" s="503">
        <v>62.42</v>
      </c>
    </row>
    <row r="67" spans="1:25">
      <c r="O67" s="501">
        <v>12</v>
      </c>
      <c r="P67" s="502">
        <v>12</v>
      </c>
      <c r="Q67" s="503">
        <v>37.82</v>
      </c>
      <c r="R67" s="503">
        <v>20.6</v>
      </c>
      <c r="S67" s="503">
        <v>350.87</v>
      </c>
      <c r="T67" s="503">
        <v>146.01</v>
      </c>
      <c r="U67" s="503">
        <v>38.08</v>
      </c>
      <c r="V67" s="503">
        <v>12.43</v>
      </c>
      <c r="W67" s="503">
        <v>5.63</v>
      </c>
      <c r="X67" s="503">
        <v>190.11</v>
      </c>
      <c r="Y67" s="503">
        <v>52.01</v>
      </c>
    </row>
    <row r="68" spans="1:25">
      <c r="P68" s="502">
        <v>13</v>
      </c>
      <c r="Q68" s="503">
        <v>35.93</v>
      </c>
      <c r="R68" s="503">
        <v>24.02</v>
      </c>
      <c r="S68" s="503">
        <v>380.48</v>
      </c>
      <c r="T68" s="503">
        <v>173.02</v>
      </c>
      <c r="U68" s="503">
        <v>38.869999999999997</v>
      </c>
      <c r="V68" s="503">
        <v>11.98</v>
      </c>
      <c r="W68" s="503">
        <v>5.83</v>
      </c>
      <c r="X68" s="503">
        <v>272.08999999999997</v>
      </c>
      <c r="Y68" s="503">
        <v>65.430000000000007</v>
      </c>
    </row>
    <row r="69" spans="1:25">
      <c r="P69" s="502">
        <v>14</v>
      </c>
      <c r="Q69" s="503">
        <v>42.9</v>
      </c>
      <c r="R69" s="503">
        <v>17.87</v>
      </c>
      <c r="S69" s="503">
        <v>427.28</v>
      </c>
      <c r="T69" s="503">
        <v>137.65</v>
      </c>
      <c r="U69" s="503">
        <v>35.950000000000003</v>
      </c>
      <c r="V69" s="503">
        <v>28.72</v>
      </c>
      <c r="W69" s="503">
        <v>4.95</v>
      </c>
      <c r="X69" s="503">
        <v>301.82</v>
      </c>
      <c r="Y69" s="503">
        <v>71.06</v>
      </c>
    </row>
    <row r="70" spans="1:25">
      <c r="P70" s="502">
        <v>15</v>
      </c>
      <c r="Q70" s="503">
        <v>31.19</v>
      </c>
      <c r="R70" s="503">
        <v>17.87</v>
      </c>
      <c r="S70" s="503">
        <v>334.14</v>
      </c>
      <c r="T70" s="503">
        <v>129.9</v>
      </c>
      <c r="U70" s="503">
        <v>29.93</v>
      </c>
      <c r="V70" s="503">
        <v>16.28</v>
      </c>
      <c r="W70" s="503">
        <v>1.82</v>
      </c>
      <c r="X70" s="503">
        <v>203.49</v>
      </c>
      <c r="Y70" s="503">
        <v>77.099999999999994</v>
      </c>
    </row>
    <row r="71" spans="1:25">
      <c r="O71" s="501">
        <v>16</v>
      </c>
      <c r="P71" s="502">
        <v>16</v>
      </c>
      <c r="Q71" s="503">
        <v>22.8</v>
      </c>
      <c r="R71" s="503">
        <v>11.46</v>
      </c>
      <c r="S71" s="503">
        <v>218.96</v>
      </c>
      <c r="T71" s="503">
        <v>100.66</v>
      </c>
      <c r="U71" s="503">
        <v>21.85</v>
      </c>
      <c r="V71" s="503">
        <v>15.43</v>
      </c>
      <c r="W71" s="503">
        <v>2.33</v>
      </c>
      <c r="X71" s="503">
        <v>155.33000000000001</v>
      </c>
      <c r="Y71" s="503">
        <v>48.77</v>
      </c>
    </row>
    <row r="72" spans="1:25">
      <c r="P72" s="502">
        <v>17</v>
      </c>
      <c r="Q72" s="503">
        <v>20.18</v>
      </c>
      <c r="R72" s="503">
        <v>11.46</v>
      </c>
      <c r="S72" s="503">
        <v>180.47</v>
      </c>
      <c r="T72" s="503">
        <v>91.24</v>
      </c>
      <c r="U72" s="503">
        <v>18.89</v>
      </c>
      <c r="V72" s="503">
        <v>12.29</v>
      </c>
      <c r="W72" s="503">
        <v>1.9</v>
      </c>
      <c r="X72" s="503">
        <v>111.37</v>
      </c>
      <c r="Y72" s="503">
        <v>34.409999999999997</v>
      </c>
    </row>
    <row r="73" spans="1:25">
      <c r="P73" s="502">
        <v>18</v>
      </c>
      <c r="Q73" s="503">
        <v>19.84</v>
      </c>
      <c r="R73" s="503">
        <v>10.36</v>
      </c>
      <c r="S73" s="503">
        <v>212.89</v>
      </c>
      <c r="T73" s="503">
        <v>98.95</v>
      </c>
      <c r="U73" s="503">
        <v>19.899999999999999</v>
      </c>
      <c r="V73" s="503">
        <v>11.64</v>
      </c>
      <c r="W73" s="503">
        <v>1.46</v>
      </c>
      <c r="X73" s="503">
        <v>117.05</v>
      </c>
      <c r="Y73" s="503">
        <v>28.8</v>
      </c>
    </row>
    <row r="74" spans="1:25">
      <c r="P74" s="502">
        <v>19</v>
      </c>
      <c r="Q74" s="503">
        <v>21.4</v>
      </c>
      <c r="R74" s="503">
        <v>9.25</v>
      </c>
      <c r="S74" s="503">
        <v>199.54</v>
      </c>
      <c r="T74" s="503">
        <v>89.02</v>
      </c>
      <c r="U74" s="503">
        <v>15.9</v>
      </c>
      <c r="V74" s="503">
        <v>11</v>
      </c>
      <c r="W74" s="503">
        <v>1.36</v>
      </c>
      <c r="X74" s="503">
        <v>79.2</v>
      </c>
      <c r="Y74" s="503">
        <v>22.78</v>
      </c>
    </row>
    <row r="75" spans="1:25">
      <c r="O75" s="501">
        <v>20</v>
      </c>
      <c r="P75" s="502">
        <v>20</v>
      </c>
      <c r="Q75" s="503">
        <v>17.23</v>
      </c>
      <c r="R75" s="503">
        <v>6.32</v>
      </c>
      <c r="S75" s="503">
        <v>136.84</v>
      </c>
      <c r="T75" s="503">
        <v>72.95</v>
      </c>
      <c r="U75" s="503">
        <v>15.03</v>
      </c>
      <c r="V75" s="503">
        <v>11</v>
      </c>
      <c r="W75" s="503">
        <v>1.98</v>
      </c>
      <c r="X75" s="503">
        <v>69.37</v>
      </c>
      <c r="Y75" s="503">
        <v>17.8</v>
      </c>
    </row>
    <row r="76" spans="1:25">
      <c r="P76" s="502">
        <v>21</v>
      </c>
      <c r="Q76" s="503">
        <v>16.09</v>
      </c>
      <c r="R76" s="503">
        <v>6.32</v>
      </c>
      <c r="S76" s="503">
        <v>116.86</v>
      </c>
      <c r="T76" s="503">
        <v>99.42</v>
      </c>
      <c r="U76" s="503">
        <v>20.059999999999999</v>
      </c>
      <c r="V76" s="503">
        <v>11.01</v>
      </c>
      <c r="W76" s="503">
        <v>1.6</v>
      </c>
      <c r="X76" s="503">
        <v>68.8</v>
      </c>
      <c r="Y76" s="503">
        <v>17.84</v>
      </c>
    </row>
    <row r="77" spans="1:25">
      <c r="P77" s="502">
        <v>22</v>
      </c>
      <c r="Q77" s="503">
        <v>15.1</v>
      </c>
      <c r="R77" s="503">
        <v>5.59</v>
      </c>
      <c r="S77" s="503">
        <v>118.58</v>
      </c>
      <c r="T77" s="503">
        <v>79.099999999999994</v>
      </c>
      <c r="U77" s="503">
        <v>16</v>
      </c>
      <c r="V77" s="503">
        <v>11</v>
      </c>
      <c r="W77" s="503">
        <v>1.01</v>
      </c>
      <c r="X77" s="503">
        <v>69.05</v>
      </c>
      <c r="Y77" s="503">
        <v>16.37</v>
      </c>
    </row>
    <row r="78" spans="1:25">
      <c r="P78" s="502">
        <v>23</v>
      </c>
      <c r="Q78" s="503">
        <v>14.28</v>
      </c>
      <c r="R78" s="503">
        <v>4.8499999999999996</v>
      </c>
      <c r="S78" s="503">
        <v>112.05</v>
      </c>
      <c r="T78" s="503">
        <v>63.27</v>
      </c>
      <c r="U78" s="503">
        <v>13.78</v>
      </c>
      <c r="V78" s="503">
        <v>11</v>
      </c>
      <c r="W78" s="503">
        <v>1.82</v>
      </c>
      <c r="X78" s="503">
        <v>54.09</v>
      </c>
      <c r="Y78" s="503">
        <v>13.15</v>
      </c>
    </row>
    <row r="79" spans="1:25">
      <c r="O79" s="501">
        <v>24</v>
      </c>
      <c r="P79" s="502">
        <v>24</v>
      </c>
      <c r="Q79" s="503">
        <v>13.3</v>
      </c>
      <c r="R79" s="503">
        <v>4.8499999999999996</v>
      </c>
      <c r="S79" s="503">
        <v>91.62</v>
      </c>
      <c r="T79" s="503">
        <v>49.79</v>
      </c>
      <c r="U79" s="503">
        <v>11.29</v>
      </c>
      <c r="V79" s="503">
        <v>11</v>
      </c>
      <c r="W79" s="503">
        <v>1.89</v>
      </c>
      <c r="X79" s="503">
        <v>45.31</v>
      </c>
      <c r="Y79" s="503">
        <v>10.85</v>
      </c>
    </row>
    <row r="80" spans="1:25">
      <c r="P80" s="502">
        <v>25</v>
      </c>
      <c r="Q80" s="503">
        <v>12.63</v>
      </c>
      <c r="R80" s="503">
        <v>3.77</v>
      </c>
      <c r="S80" s="503">
        <v>81.33</v>
      </c>
      <c r="T80" s="503">
        <v>46.74</v>
      </c>
      <c r="U80" s="503">
        <v>10.02</v>
      </c>
      <c r="V80" s="503">
        <v>11</v>
      </c>
      <c r="W80" s="503">
        <v>1.77</v>
      </c>
      <c r="X80" s="503">
        <v>40.42</v>
      </c>
      <c r="Y80" s="503">
        <v>8.98</v>
      </c>
    </row>
    <row r="81" spans="15:25">
      <c r="P81" s="502">
        <v>26</v>
      </c>
      <c r="Q81" s="503">
        <v>11.92</v>
      </c>
      <c r="R81" s="503">
        <v>3.77</v>
      </c>
      <c r="S81" s="503">
        <v>80.900000000000006</v>
      </c>
      <c r="T81" s="503">
        <v>41.45</v>
      </c>
      <c r="U81" s="503">
        <v>9.24</v>
      </c>
      <c r="V81" s="503">
        <v>12</v>
      </c>
      <c r="W81" s="503">
        <v>1.86</v>
      </c>
      <c r="X81" s="503">
        <v>37.89</v>
      </c>
      <c r="Y81" s="503">
        <v>9.41</v>
      </c>
    </row>
    <row r="82" spans="15:25">
      <c r="P82" s="502">
        <v>27</v>
      </c>
      <c r="Q82" s="503">
        <v>11.92</v>
      </c>
      <c r="R82" s="503">
        <v>3.91</v>
      </c>
      <c r="S82" s="503">
        <v>82.99</v>
      </c>
      <c r="T82" s="503">
        <v>60.31</v>
      </c>
      <c r="U82" s="503">
        <v>9.73</v>
      </c>
      <c r="V82" s="503">
        <v>12</v>
      </c>
      <c r="W82" s="503">
        <v>1.9</v>
      </c>
      <c r="X82" s="503">
        <v>38.229999999999997</v>
      </c>
      <c r="Y82" s="503">
        <v>8.58</v>
      </c>
    </row>
    <row r="83" spans="15:25">
      <c r="O83" s="501">
        <v>28</v>
      </c>
      <c r="P83" s="502">
        <v>28</v>
      </c>
      <c r="Q83" s="503">
        <v>11.04</v>
      </c>
      <c r="R83" s="503">
        <v>3.91</v>
      </c>
      <c r="S83" s="503">
        <v>71.739999999999995</v>
      </c>
      <c r="T83" s="503">
        <v>39.090000000000003</v>
      </c>
      <c r="U83" s="503">
        <v>8.42</v>
      </c>
      <c r="V83" s="503">
        <v>12</v>
      </c>
      <c r="W83" s="503">
        <v>1.65</v>
      </c>
      <c r="X83" s="503">
        <v>33.9</v>
      </c>
      <c r="Y83" s="503">
        <v>6.64</v>
      </c>
    </row>
    <row r="84" spans="15:25">
      <c r="P84" s="502">
        <v>29</v>
      </c>
      <c r="Q84" s="503">
        <v>10.27</v>
      </c>
      <c r="R84" s="503">
        <v>3.42</v>
      </c>
      <c r="S84" s="503">
        <v>67.8</v>
      </c>
      <c r="T84" s="503">
        <v>32.590000000000003</v>
      </c>
      <c r="U84" s="503">
        <v>7.7</v>
      </c>
      <c r="V84" s="503">
        <v>10.51</v>
      </c>
      <c r="W84" s="503">
        <v>1.79</v>
      </c>
      <c r="X84" s="503">
        <v>31.97</v>
      </c>
      <c r="Y84" s="503">
        <v>6.49</v>
      </c>
    </row>
    <row r="85" spans="15:25">
      <c r="P85" s="502">
        <v>30</v>
      </c>
      <c r="Q85" s="503">
        <v>9.4700000000000006</v>
      </c>
      <c r="R85" s="503">
        <v>3.42</v>
      </c>
      <c r="S85" s="503">
        <v>69.62</v>
      </c>
      <c r="T85" s="503">
        <v>28.39</v>
      </c>
      <c r="U85" s="503">
        <v>7.39</v>
      </c>
      <c r="V85" s="503">
        <v>12</v>
      </c>
      <c r="W85" s="503">
        <v>1.64</v>
      </c>
      <c r="X85" s="503">
        <v>31.76</v>
      </c>
      <c r="Y85" s="503">
        <v>6.15</v>
      </c>
    </row>
    <row r="86" spans="15:25">
      <c r="P86" s="502">
        <v>31</v>
      </c>
      <c r="Q86" s="503">
        <v>9.0500000000000007</v>
      </c>
      <c r="R86" s="503">
        <v>3.3</v>
      </c>
      <c r="S86" s="503">
        <v>61.71</v>
      </c>
      <c r="T86" s="503">
        <v>26.51</v>
      </c>
      <c r="U86" s="503">
        <v>7.02</v>
      </c>
      <c r="V86" s="503">
        <v>12</v>
      </c>
      <c r="W86" s="503">
        <v>1.87</v>
      </c>
      <c r="X86" s="503">
        <v>31.68</v>
      </c>
      <c r="Y86" s="503">
        <v>5.51</v>
      </c>
    </row>
    <row r="87" spans="15:25">
      <c r="O87" s="501">
        <v>32</v>
      </c>
      <c r="P87" s="502">
        <v>32</v>
      </c>
      <c r="Q87" s="503">
        <v>9.9</v>
      </c>
      <c r="R87" s="503">
        <v>2.68</v>
      </c>
      <c r="S87" s="503">
        <v>65.38</v>
      </c>
      <c r="T87" s="503">
        <v>24.1</v>
      </c>
      <c r="U87" s="503">
        <v>6.7</v>
      </c>
      <c r="V87" s="503">
        <v>12</v>
      </c>
      <c r="W87" s="503">
        <v>1.95</v>
      </c>
      <c r="X87" s="503">
        <v>31.01</v>
      </c>
      <c r="Y87" s="503">
        <v>5.16</v>
      </c>
    </row>
    <row r="88" spans="15:25">
      <c r="P88" s="502">
        <v>33</v>
      </c>
      <c r="Q88" s="503">
        <v>9.17</v>
      </c>
      <c r="R88" s="503">
        <v>2.4300000000000002</v>
      </c>
      <c r="S88" s="503">
        <v>59.63</v>
      </c>
      <c r="T88" s="503">
        <v>24.29</v>
      </c>
      <c r="U88" s="503">
        <v>6.44</v>
      </c>
      <c r="V88" s="503">
        <v>12</v>
      </c>
      <c r="W88" s="503">
        <v>1.82</v>
      </c>
      <c r="X88" s="503">
        <v>30.23</v>
      </c>
      <c r="Y88" s="503">
        <v>5.27</v>
      </c>
    </row>
    <row r="89" spans="15:25">
      <c r="P89" s="502">
        <v>34</v>
      </c>
      <c r="Q89" s="503">
        <v>7.78</v>
      </c>
      <c r="R89" s="503">
        <v>2.61</v>
      </c>
      <c r="S89" s="503">
        <v>60.62</v>
      </c>
      <c r="T89" s="503">
        <v>25.9</v>
      </c>
      <c r="U89" s="503">
        <v>6.62</v>
      </c>
      <c r="V89" s="503">
        <v>12</v>
      </c>
      <c r="W89" s="503">
        <v>1.89</v>
      </c>
      <c r="X89" s="503">
        <v>32.17</v>
      </c>
      <c r="Y89" s="503">
        <v>5.0599999999999996</v>
      </c>
    </row>
    <row r="90" spans="15:25">
      <c r="P90" s="502">
        <v>35</v>
      </c>
      <c r="Q90" s="503">
        <v>7.73</v>
      </c>
      <c r="R90" s="503">
        <v>3.07</v>
      </c>
      <c r="S90" s="503">
        <v>58.47</v>
      </c>
      <c r="T90" s="503">
        <v>26.33</v>
      </c>
      <c r="U90" s="503">
        <v>6.66</v>
      </c>
      <c r="V90" s="503">
        <v>12.14</v>
      </c>
      <c r="W90" s="503">
        <v>1.97</v>
      </c>
      <c r="X90" s="503">
        <v>31.63</v>
      </c>
      <c r="Y90" s="503">
        <v>4.84</v>
      </c>
    </row>
    <row r="91" spans="15:25">
      <c r="O91" s="501">
        <v>36</v>
      </c>
      <c r="P91" s="502">
        <v>36</v>
      </c>
      <c r="Q91" s="503">
        <v>7.1</v>
      </c>
      <c r="R91" s="503">
        <v>3.57</v>
      </c>
      <c r="S91" s="503">
        <v>61.13</v>
      </c>
      <c r="T91" s="503">
        <v>27.35</v>
      </c>
      <c r="U91" s="503">
        <v>6.84</v>
      </c>
      <c r="V91" s="503">
        <v>13</v>
      </c>
      <c r="W91" s="503">
        <v>1.76</v>
      </c>
      <c r="X91" s="503">
        <v>34.090000000000003</v>
      </c>
      <c r="Y91" s="503">
        <v>4.8899999999999997</v>
      </c>
    </row>
    <row r="92" spans="15:25">
      <c r="P92" s="502">
        <v>37</v>
      </c>
      <c r="Q92" s="503">
        <v>7.53</v>
      </c>
      <c r="R92" s="503">
        <v>5.04</v>
      </c>
      <c r="S92" s="503">
        <v>59.93</v>
      </c>
      <c r="T92" s="503">
        <v>34.56</v>
      </c>
      <c r="U92" s="503">
        <v>7.96</v>
      </c>
      <c r="V92" s="503">
        <v>13</v>
      </c>
      <c r="W92" s="503">
        <v>1.7</v>
      </c>
      <c r="X92" s="503">
        <v>38.06</v>
      </c>
      <c r="Y92" s="503">
        <v>8.4</v>
      </c>
    </row>
    <row r="93" spans="15:25">
      <c r="P93" s="502">
        <v>38</v>
      </c>
      <c r="Q93" s="503">
        <v>9.73</v>
      </c>
      <c r="R93" s="503">
        <v>3.75</v>
      </c>
      <c r="S93" s="503">
        <v>64.319999999999993</v>
      </c>
      <c r="T93" s="503">
        <v>41.74</v>
      </c>
      <c r="U93" s="503">
        <v>9.43</v>
      </c>
      <c r="V93" s="503">
        <v>13</v>
      </c>
      <c r="W93" s="503">
        <v>1.77</v>
      </c>
      <c r="X93" s="503">
        <v>41.12</v>
      </c>
      <c r="Y93" s="503">
        <v>6.42</v>
      </c>
    </row>
    <row r="94" spans="15:25">
      <c r="O94" s="501">
        <v>39</v>
      </c>
      <c r="P94" s="502">
        <v>39</v>
      </c>
      <c r="Q94" s="503">
        <v>7.21</v>
      </c>
      <c r="R94" s="503">
        <v>3.83</v>
      </c>
      <c r="S94" s="503">
        <v>66.83</v>
      </c>
      <c r="T94" s="503">
        <v>46.48</v>
      </c>
      <c r="U94" s="503">
        <v>7.93</v>
      </c>
      <c r="V94" s="503">
        <v>13</v>
      </c>
      <c r="W94" s="503">
        <v>1.99</v>
      </c>
      <c r="X94" s="503">
        <v>33.06</v>
      </c>
      <c r="Y94" s="503">
        <v>7.98</v>
      </c>
    </row>
    <row r="95" spans="15:25">
      <c r="P95" s="502">
        <v>40</v>
      </c>
      <c r="Q95" s="503">
        <v>6.89</v>
      </c>
      <c r="R95" s="503">
        <v>3.2</v>
      </c>
      <c r="S95" s="503">
        <v>56.32</v>
      </c>
      <c r="T95" s="503">
        <v>28.11</v>
      </c>
      <c r="U95" s="503">
        <v>6.02</v>
      </c>
      <c r="V95" s="503">
        <v>13</v>
      </c>
      <c r="W95" s="503">
        <v>1.48</v>
      </c>
      <c r="X95" s="503">
        <v>35.54</v>
      </c>
      <c r="Y95" s="503">
        <v>5.32</v>
      </c>
    </row>
    <row r="96" spans="15:25">
      <c r="P96" s="502">
        <v>41</v>
      </c>
      <c r="Q96" s="503">
        <v>7.51</v>
      </c>
      <c r="R96" s="503">
        <v>3.26</v>
      </c>
      <c r="S96" s="503">
        <v>57.18</v>
      </c>
      <c r="T96" s="503">
        <v>32.11</v>
      </c>
      <c r="U96" s="503">
        <v>6.5</v>
      </c>
      <c r="V96" s="503">
        <v>13</v>
      </c>
      <c r="W96" s="503">
        <v>1.53</v>
      </c>
      <c r="X96" s="503">
        <v>37.47</v>
      </c>
      <c r="Y96" s="503">
        <v>4.95</v>
      </c>
    </row>
    <row r="97" spans="14:25">
      <c r="P97" s="502">
        <v>42</v>
      </c>
      <c r="Q97" s="503">
        <v>7.92</v>
      </c>
      <c r="R97" s="503">
        <v>3.59</v>
      </c>
      <c r="S97" s="503">
        <v>71.87</v>
      </c>
      <c r="T97" s="503">
        <v>64.69</v>
      </c>
      <c r="U97" s="503">
        <v>9.44</v>
      </c>
      <c r="V97" s="503">
        <v>13</v>
      </c>
      <c r="W97" s="503">
        <v>1.93</v>
      </c>
      <c r="X97" s="503">
        <v>52.42</v>
      </c>
      <c r="Y97" s="503">
        <v>7.39</v>
      </c>
    </row>
    <row r="98" spans="14:25">
      <c r="O98" s="501">
        <v>43</v>
      </c>
      <c r="P98" s="502">
        <v>43</v>
      </c>
      <c r="Q98" s="503">
        <v>9.16</v>
      </c>
      <c r="R98" s="503">
        <v>3.99</v>
      </c>
      <c r="S98" s="503">
        <v>73.22</v>
      </c>
      <c r="T98" s="503">
        <v>71.16</v>
      </c>
      <c r="U98" s="503">
        <v>8.8800000000000008</v>
      </c>
      <c r="V98" s="503">
        <v>13</v>
      </c>
      <c r="W98" s="503">
        <v>1.69</v>
      </c>
      <c r="X98" s="503">
        <v>43.93</v>
      </c>
      <c r="Y98" s="503">
        <v>6.18</v>
      </c>
    </row>
    <row r="99" spans="14:25">
      <c r="P99" s="502">
        <v>44</v>
      </c>
      <c r="Q99" s="503">
        <v>8.81</v>
      </c>
      <c r="R99" s="503">
        <v>5.0199999999999996</v>
      </c>
      <c r="S99" s="503">
        <v>75.150000000000006</v>
      </c>
      <c r="T99" s="503">
        <v>62.33</v>
      </c>
      <c r="U99" s="503">
        <v>10.59</v>
      </c>
      <c r="V99" s="503">
        <v>13</v>
      </c>
      <c r="W99" s="503">
        <v>1.65</v>
      </c>
      <c r="X99" s="503">
        <v>40.229999999999997</v>
      </c>
      <c r="Y99" s="503">
        <v>8.7899999999999991</v>
      </c>
    </row>
    <row r="100" spans="14:25">
      <c r="P100" s="502">
        <v>45</v>
      </c>
      <c r="Q100" s="503">
        <v>8.3800000000000008</v>
      </c>
      <c r="R100" s="503">
        <v>4.2</v>
      </c>
      <c r="S100" s="503">
        <v>67.39</v>
      </c>
      <c r="T100" s="503">
        <v>61.76</v>
      </c>
      <c r="U100" s="503">
        <v>10.039999999999999</v>
      </c>
      <c r="V100" s="503">
        <v>13</v>
      </c>
      <c r="W100" s="503">
        <v>1.51</v>
      </c>
      <c r="X100" s="503">
        <v>41.85</v>
      </c>
      <c r="Y100" s="503">
        <v>11.45</v>
      </c>
    </row>
    <row r="101" spans="14:25">
      <c r="P101" s="502">
        <v>46</v>
      </c>
      <c r="Q101" s="503">
        <v>7.55</v>
      </c>
      <c r="R101" s="503">
        <v>3.7</v>
      </c>
      <c r="S101" s="503">
        <v>66.959999999999994</v>
      </c>
      <c r="T101" s="503">
        <v>66.040000000000006</v>
      </c>
      <c r="U101" s="503">
        <v>8.7799999999999994</v>
      </c>
      <c r="V101" s="503">
        <v>13</v>
      </c>
      <c r="W101" s="503">
        <v>1.65</v>
      </c>
      <c r="X101" s="503">
        <v>70.849999999999994</v>
      </c>
      <c r="Y101" s="503">
        <v>14.58</v>
      </c>
    </row>
    <row r="102" spans="14:25">
      <c r="P102" s="502">
        <v>47</v>
      </c>
      <c r="Q102" s="503">
        <v>7.39</v>
      </c>
      <c r="R102" s="503">
        <v>3.85</v>
      </c>
      <c r="S102" s="503">
        <v>67.72</v>
      </c>
      <c r="T102" s="503">
        <v>52.82</v>
      </c>
      <c r="U102" s="503">
        <v>7.81</v>
      </c>
      <c r="V102" s="503">
        <v>13</v>
      </c>
      <c r="W102" s="503">
        <v>1.6</v>
      </c>
      <c r="X102" s="503">
        <v>64.819999999999993</v>
      </c>
      <c r="Y102" s="503">
        <v>12.14</v>
      </c>
    </row>
    <row r="103" spans="14:25">
      <c r="O103" s="501">
        <v>48</v>
      </c>
      <c r="P103" s="502">
        <v>48</v>
      </c>
      <c r="Q103" s="503">
        <v>7.9678571564285718</v>
      </c>
      <c r="R103" s="503">
        <v>3.558142900428571</v>
      </c>
      <c r="S103" s="503">
        <v>77.366571698571434</v>
      </c>
      <c r="T103" s="503">
        <v>66.577285762857144</v>
      </c>
      <c r="U103" s="503">
        <v>9.1851428580000007</v>
      </c>
      <c r="V103" s="503">
        <v>13.005714417142858</v>
      </c>
      <c r="W103" s="503">
        <v>1.6</v>
      </c>
      <c r="X103" s="503">
        <v>47.846427917142854</v>
      </c>
      <c r="Y103" s="503">
        <v>12.516714369142859</v>
      </c>
    </row>
    <row r="104" spans="14:25">
      <c r="P104" s="502">
        <v>49</v>
      </c>
      <c r="Q104" s="503">
        <v>8.4875713758571436</v>
      </c>
      <c r="R104" s="503">
        <v>3.2600000074285718</v>
      </c>
      <c r="S104" s="503">
        <v>84.55585806714285</v>
      </c>
      <c r="T104" s="503">
        <v>72.732000077142857</v>
      </c>
      <c r="U104" s="503">
        <v>14.04828548342857</v>
      </c>
      <c r="V104" s="503">
        <v>13.002857208571429</v>
      </c>
      <c r="W104" s="503">
        <v>1.6</v>
      </c>
      <c r="X104" s="503">
        <v>57.322143555714298</v>
      </c>
      <c r="Y104" s="503">
        <v>18.826999800000003</v>
      </c>
    </row>
    <row r="105" spans="14:25">
      <c r="P105" s="502">
        <v>50</v>
      </c>
      <c r="Q105" s="503">
        <v>8.7257142747142868</v>
      </c>
      <c r="R105" s="503">
        <v>3.4628571441428577</v>
      </c>
      <c r="S105" s="503">
        <v>77.460142951428566</v>
      </c>
      <c r="T105" s="503">
        <v>64.097142899999994</v>
      </c>
      <c r="U105" s="503">
        <v>11.032857077571427</v>
      </c>
      <c r="V105" s="503">
        <v>13</v>
      </c>
      <c r="W105" s="503">
        <v>1.6000000240000001</v>
      </c>
      <c r="X105" s="503">
        <v>51.470714571428573</v>
      </c>
      <c r="Y105" s="503">
        <v>20.280285972857143</v>
      </c>
    </row>
    <row r="106" spans="14:25">
      <c r="P106" s="502">
        <v>51</v>
      </c>
      <c r="Q106" s="503">
        <v>9.7215715127142861</v>
      </c>
      <c r="R106" s="503">
        <v>4.2539999484285715</v>
      </c>
      <c r="S106" s="503">
        <v>78.166143688571424</v>
      </c>
      <c r="T106" s="503">
        <v>94.237856191428577</v>
      </c>
      <c r="U106" s="503">
        <v>14.381428445285712</v>
      </c>
      <c r="V106" s="503">
        <v>13.01285743857143</v>
      </c>
      <c r="W106" s="503">
        <v>1.6257142851428572</v>
      </c>
      <c r="X106" s="503">
        <v>65.58357184285714</v>
      </c>
      <c r="Y106" s="503">
        <v>34.849000112857141</v>
      </c>
    </row>
    <row r="107" spans="14:25">
      <c r="O107" s="501">
        <v>52</v>
      </c>
      <c r="P107" s="502">
        <v>52</v>
      </c>
      <c r="Q107" s="503">
        <v>10.323285784571427</v>
      </c>
      <c r="R107" s="503">
        <v>4.6457142829999993</v>
      </c>
      <c r="S107" s="503">
        <v>86.972714017142849</v>
      </c>
      <c r="T107" s="503">
        <v>94.357285634285716</v>
      </c>
      <c r="U107" s="503">
        <v>13.293999945714287</v>
      </c>
      <c r="V107" s="503">
        <v>13.09681579142857</v>
      </c>
      <c r="W107" s="503">
        <v>1.644999981</v>
      </c>
      <c r="X107" s="503">
        <v>104.27285767571428</v>
      </c>
      <c r="Y107" s="503">
        <v>35.335714887142856</v>
      </c>
    </row>
    <row r="108" spans="14:25">
      <c r="N108" s="501">
        <v>2018</v>
      </c>
      <c r="O108" s="501">
        <v>1</v>
      </c>
      <c r="P108" s="502">
        <v>1</v>
      </c>
      <c r="Q108" s="503">
        <v>10.34</v>
      </c>
      <c r="R108" s="503">
        <v>4.4628571428571426</v>
      </c>
      <c r="S108" s="503">
        <v>140.04142857142858</v>
      </c>
      <c r="T108" s="503">
        <v>143.09</v>
      </c>
      <c r="U108" s="503">
        <v>20.63</v>
      </c>
      <c r="V108" s="503">
        <v>13</v>
      </c>
      <c r="W108" s="503">
        <v>1.64</v>
      </c>
      <c r="X108" s="503">
        <v>201.2428571428571</v>
      </c>
      <c r="Y108" s="503">
        <v>63.23</v>
      </c>
    </row>
    <row r="109" spans="14:25">
      <c r="P109" s="502">
        <v>2</v>
      </c>
      <c r="Q109" s="503">
        <v>13.730999947142859</v>
      </c>
      <c r="R109" s="503">
        <v>3.5944285392857145</v>
      </c>
      <c r="S109" s="503">
        <v>209.91800362857143</v>
      </c>
      <c r="T109" s="503">
        <v>160.98214394285716</v>
      </c>
      <c r="U109" s="503">
        <v>36.213856559999996</v>
      </c>
      <c r="V109" s="503">
        <v>11.774285724285715</v>
      </c>
      <c r="W109" s="503">
        <v>1.5914286031428568</v>
      </c>
      <c r="X109" s="503">
        <v>229.4250030571429</v>
      </c>
      <c r="Y109" s="503">
        <v>56.654285431428562</v>
      </c>
    </row>
    <row r="110" spans="14:25">
      <c r="P110" s="502">
        <v>3</v>
      </c>
      <c r="Q110" s="503">
        <v>15.983285902857142</v>
      </c>
      <c r="R110" s="503">
        <v>8.3045714242857152</v>
      </c>
      <c r="S110" s="503">
        <v>223.6645725857143</v>
      </c>
      <c r="T110" s="503">
        <v>190.44042751428574</v>
      </c>
      <c r="U110" s="503">
        <v>30.819142750000001</v>
      </c>
      <c r="V110" s="503">
        <v>11.857142857142858</v>
      </c>
      <c r="W110" s="503">
        <v>1.5814286125714285</v>
      </c>
      <c r="X110" s="503">
        <v>261.56357028571426</v>
      </c>
      <c r="Y110" s="503">
        <v>68.516428267142857</v>
      </c>
    </row>
    <row r="111" spans="14:25">
      <c r="O111" s="501">
        <v>4</v>
      </c>
      <c r="P111" s="502">
        <v>4</v>
      </c>
      <c r="Q111" s="503">
        <v>21.988571574285714</v>
      </c>
      <c r="R111" s="503">
        <v>15.598142828000002</v>
      </c>
      <c r="S111" s="503">
        <v>346.88342720000003</v>
      </c>
      <c r="T111" s="503">
        <v>205.5832868285714</v>
      </c>
      <c r="U111" s="503">
        <v>40.893000467142862</v>
      </c>
      <c r="V111" s="503">
        <v>18.734285627142857</v>
      </c>
      <c r="W111" s="503">
        <v>1.5700000519999997</v>
      </c>
      <c r="X111" s="503">
        <v>261.98000009999998</v>
      </c>
      <c r="Y111" s="503">
        <v>58.935427530000005</v>
      </c>
    </row>
    <row r="112" spans="14:25">
      <c r="P112" s="502">
        <v>5</v>
      </c>
      <c r="Q112" s="503">
        <v>17.729000225714284</v>
      </c>
      <c r="R112" s="503">
        <v>13.724571365714285</v>
      </c>
      <c r="S112" s="503">
        <v>214.95928737142859</v>
      </c>
      <c r="T112" s="503">
        <v>93.607142857142861</v>
      </c>
      <c r="U112" s="503">
        <v>17.748285841428572</v>
      </c>
      <c r="V112" s="503">
        <v>23.390000208571426</v>
      </c>
      <c r="W112" s="503">
        <v>1.5700000519999997</v>
      </c>
      <c r="X112" s="503">
        <v>141.83571514285714</v>
      </c>
      <c r="Y112" s="503">
        <v>45.332857951428579</v>
      </c>
    </row>
    <row r="113" spans="15:25">
      <c r="P113" s="502">
        <v>6</v>
      </c>
      <c r="Q113" s="503">
        <v>13.582571572857143</v>
      </c>
      <c r="R113" s="503">
        <v>8.6634286477142854</v>
      </c>
      <c r="S113" s="503">
        <v>166.34242902857142</v>
      </c>
      <c r="T113" s="503">
        <v>108.25571334000001</v>
      </c>
      <c r="U113" s="503">
        <v>18.79157175142857</v>
      </c>
      <c r="V113" s="503">
        <v>20.201017107142857</v>
      </c>
      <c r="W113" s="503">
        <v>2.3694285491428571</v>
      </c>
      <c r="X113" s="503">
        <v>164.55714089999998</v>
      </c>
      <c r="Y113" s="503">
        <v>65.987571171428584</v>
      </c>
    </row>
    <row r="114" spans="15:25">
      <c r="P114" s="502">
        <v>7</v>
      </c>
      <c r="Q114" s="503">
        <v>14.722571237142859</v>
      </c>
      <c r="R114" s="503">
        <v>11.071428435428571</v>
      </c>
      <c r="S114" s="503">
        <v>239.50057330000001</v>
      </c>
      <c r="T114" s="503">
        <v>202.98199900000003</v>
      </c>
      <c r="U114" s="503">
        <v>42.088571821428573</v>
      </c>
      <c r="V114" s="503">
        <v>15.283185821428571</v>
      </c>
      <c r="W114" s="503">
        <v>3.1689999100000001</v>
      </c>
      <c r="X114" s="503">
        <v>355.31285748571423</v>
      </c>
      <c r="Y114" s="503">
        <v>97.722999031428586</v>
      </c>
    </row>
    <row r="115" spans="15:25">
      <c r="O115" s="501">
        <v>8</v>
      </c>
      <c r="P115" s="502">
        <v>8</v>
      </c>
      <c r="Q115" s="503">
        <v>18.48</v>
      </c>
      <c r="R115" s="503">
        <v>14.97</v>
      </c>
      <c r="S115" s="503">
        <v>357.61814662857148</v>
      </c>
      <c r="T115" s="503">
        <v>251.1</v>
      </c>
      <c r="U115" s="503">
        <v>43.74</v>
      </c>
      <c r="V115" s="503">
        <v>16.564</v>
      </c>
      <c r="W115" s="503">
        <v>3.16</v>
      </c>
      <c r="X115" s="503">
        <v>437.78</v>
      </c>
      <c r="Y115" s="503">
        <v>142.13</v>
      </c>
    </row>
    <row r="116" spans="15:25">
      <c r="P116" s="502">
        <v>9</v>
      </c>
      <c r="Q116" s="503">
        <v>21.652428627142854</v>
      </c>
      <c r="R116" s="503">
        <v>14.185285431142857</v>
      </c>
      <c r="S116" s="503">
        <v>333.90885488571433</v>
      </c>
      <c r="T116" s="503">
        <v>204.95843285714287</v>
      </c>
      <c r="U116" s="503">
        <v>31.755000522857138</v>
      </c>
      <c r="V116" s="503">
        <v>15.852976190476195</v>
      </c>
      <c r="W116" s="503">
        <v>3.1689999100000001</v>
      </c>
      <c r="X116" s="503">
        <v>424.14571271428576</v>
      </c>
      <c r="Y116" s="503">
        <v>142.13857270714286</v>
      </c>
    </row>
    <row r="117" spans="15:25">
      <c r="P117" s="502">
        <v>10</v>
      </c>
      <c r="Q117" s="503">
        <v>30.272714344285713</v>
      </c>
      <c r="R117" s="503">
        <v>17.434571538571429</v>
      </c>
      <c r="S117" s="503">
        <v>431.64157101428572</v>
      </c>
      <c r="T117" s="503">
        <v>177.15485925714287</v>
      </c>
      <c r="U117" s="503">
        <v>31.196571622857142</v>
      </c>
      <c r="V117" s="503">
        <v>14.442</v>
      </c>
      <c r="W117" s="503">
        <v>4.7437142644285712</v>
      </c>
      <c r="X117" s="503">
        <v>293.69142804285718</v>
      </c>
      <c r="Y117" s="503">
        <v>72.30971418</v>
      </c>
    </row>
    <row r="118" spans="15:25">
      <c r="P118" s="502">
        <v>11</v>
      </c>
      <c r="Q118" s="503">
        <v>28.071857179999999</v>
      </c>
      <c r="R118" s="503">
        <v>17.048571724285715</v>
      </c>
      <c r="S118" s="503">
        <v>485.98543439999997</v>
      </c>
      <c r="T118" s="503">
        <v>169.375</v>
      </c>
      <c r="U118" s="503">
        <v>52.626284462857136</v>
      </c>
      <c r="V118" s="503">
        <v>18.273</v>
      </c>
      <c r="W118" s="503">
        <v>3.0879999738571429</v>
      </c>
      <c r="X118" s="503">
        <v>511.54500034285724</v>
      </c>
      <c r="Y118" s="503">
        <v>119.7894287057143</v>
      </c>
    </row>
    <row r="119" spans="15:25">
      <c r="O119" s="501">
        <v>12</v>
      </c>
      <c r="P119" s="502">
        <v>12</v>
      </c>
      <c r="Q119" s="503">
        <v>29.90999984714286</v>
      </c>
      <c r="R119" s="503">
        <v>21.62</v>
      </c>
      <c r="S119" s="503">
        <v>465.24414497142863</v>
      </c>
      <c r="T119" s="503">
        <v>201.58328465714288</v>
      </c>
      <c r="U119" s="503">
        <v>57.669144221428567</v>
      </c>
      <c r="V119" s="503">
        <v>23.244</v>
      </c>
      <c r="W119" s="503">
        <v>4.5095714328571432</v>
      </c>
      <c r="X119" s="503">
        <v>433.89143152857145</v>
      </c>
      <c r="Y119" s="503">
        <v>152.80443028571429</v>
      </c>
    </row>
    <row r="120" spans="15:25">
      <c r="P120" s="502">
        <v>13</v>
      </c>
      <c r="Q120" s="503">
        <v>28.360142844285718</v>
      </c>
      <c r="R120" s="503">
        <v>17.439428465714283</v>
      </c>
      <c r="S120" s="503">
        <v>396.37686155714289</v>
      </c>
      <c r="T120" s="503">
        <v>163.75585502857143</v>
      </c>
      <c r="U120" s="503">
        <v>35.725570951428573</v>
      </c>
      <c r="V120" s="503">
        <v>23.143392837142859</v>
      </c>
      <c r="W120" s="503">
        <v>3.3929999999999998</v>
      </c>
      <c r="X120" s="503">
        <v>281.79928587142859</v>
      </c>
      <c r="Y120" s="503">
        <v>107.32928468714286</v>
      </c>
    </row>
    <row r="121" spans="15:25">
      <c r="P121" s="502">
        <v>14</v>
      </c>
      <c r="Q121" s="503">
        <v>23.830285752857144</v>
      </c>
      <c r="R121" s="503">
        <v>12.833285604571429</v>
      </c>
      <c r="S121" s="503">
        <v>226.32643345714288</v>
      </c>
      <c r="T121" s="503">
        <v>133.53585814285714</v>
      </c>
      <c r="U121" s="503">
        <v>28.622000282857147</v>
      </c>
      <c r="V121" s="503">
        <v>19.16</v>
      </c>
      <c r="W121" s="503">
        <v>1.736</v>
      </c>
      <c r="X121" s="503">
        <v>176.23214502857144</v>
      </c>
      <c r="Y121" s="503">
        <v>80.936570849999995</v>
      </c>
    </row>
    <row r="122" spans="15:25">
      <c r="P122" s="502">
        <v>15</v>
      </c>
      <c r="Q122" s="503">
        <v>27</v>
      </c>
      <c r="R122" s="503">
        <v>15.571285655714286</v>
      </c>
      <c r="S122" s="503">
        <v>207.40800040000002</v>
      </c>
      <c r="T122" s="503">
        <v>107.59514291428572</v>
      </c>
      <c r="U122" s="503">
        <v>30.753999982857145</v>
      </c>
      <c r="V122" s="503">
        <v>14.377143042857142</v>
      </c>
      <c r="W122" s="503">
        <v>1.8612856864285716</v>
      </c>
      <c r="X122" s="503">
        <v>130.09</v>
      </c>
      <c r="Y122" s="503">
        <v>42.693143572857146</v>
      </c>
    </row>
    <row r="123" spans="15:25">
      <c r="O123" s="501">
        <v>16</v>
      </c>
      <c r="P123" s="502">
        <v>16</v>
      </c>
      <c r="Q123" s="503">
        <v>19.899999999999999</v>
      </c>
      <c r="R123" s="503">
        <v>12.83</v>
      </c>
      <c r="S123" s="503">
        <v>166.38871437142856</v>
      </c>
      <c r="T123" s="503">
        <v>95.78</v>
      </c>
      <c r="U123" s="503">
        <v>29.88</v>
      </c>
      <c r="V123" s="503">
        <v>12.36</v>
      </c>
      <c r="W123" s="503">
        <v>1.9</v>
      </c>
      <c r="X123" s="503">
        <v>96.9</v>
      </c>
      <c r="Y123" s="503">
        <v>33.717142651428574</v>
      </c>
    </row>
    <row r="124" spans="15:25">
      <c r="P124" s="502">
        <v>17</v>
      </c>
      <c r="Q124" s="503">
        <v>19.14</v>
      </c>
      <c r="R124" s="503">
        <v>13.52</v>
      </c>
      <c r="S124" s="503">
        <v>168.19342804285716</v>
      </c>
      <c r="T124" s="503">
        <v>95.39</v>
      </c>
      <c r="U124" s="503">
        <v>22.257285525714284</v>
      </c>
      <c r="V124" s="503">
        <v>13.4</v>
      </c>
      <c r="W124" s="503">
        <v>1.7940000124285713</v>
      </c>
      <c r="X124" s="503">
        <v>89.59</v>
      </c>
      <c r="Y124" s="503">
        <v>27.06</v>
      </c>
    </row>
    <row r="125" spans="15:25">
      <c r="P125" s="502">
        <v>18</v>
      </c>
      <c r="Q125" s="503">
        <v>19.703571455714286</v>
      </c>
      <c r="R125" s="503">
        <v>14.166857039571427</v>
      </c>
      <c r="S125" s="503">
        <v>171.5428597714286</v>
      </c>
      <c r="T125" s="503">
        <v>85.958285739999994</v>
      </c>
      <c r="U125" s="503">
        <v>21.651714052857141</v>
      </c>
      <c r="V125" s="503">
        <v>12.785805702857145</v>
      </c>
      <c r="W125" s="503">
        <v>2.3024285860000004</v>
      </c>
      <c r="X125" s="503">
        <v>89.602142331428567</v>
      </c>
      <c r="Y125" s="503">
        <v>22.269714081428571</v>
      </c>
    </row>
    <row r="126" spans="15:25">
      <c r="P126" s="502">
        <v>19</v>
      </c>
      <c r="Q126" s="503">
        <v>15.48828561</v>
      </c>
      <c r="R126" s="503">
        <v>12.650857108142857</v>
      </c>
      <c r="S126" s="503">
        <v>146.54485865714287</v>
      </c>
      <c r="T126" s="503">
        <v>88.244000028571435</v>
      </c>
      <c r="U126" s="503">
        <v>19.037142890000002</v>
      </c>
      <c r="V126" s="503">
        <v>11.328391347142857</v>
      </c>
      <c r="W126" s="503">
        <v>1.8057142665714285</v>
      </c>
      <c r="X126" s="503">
        <v>75.568572998571426</v>
      </c>
      <c r="Y126" s="503">
        <v>17.565999711428571</v>
      </c>
    </row>
    <row r="127" spans="15:25">
      <c r="O127" s="501">
        <v>20</v>
      </c>
      <c r="P127" s="502">
        <v>20</v>
      </c>
      <c r="Q127" s="503">
        <v>14.601142882857145</v>
      </c>
      <c r="R127" s="503">
        <v>10.013285772</v>
      </c>
      <c r="S127" s="503">
        <v>112.76242937142857</v>
      </c>
      <c r="T127" s="503">
        <v>64.809571402857145</v>
      </c>
      <c r="U127" s="503">
        <v>16.531571660000001</v>
      </c>
      <c r="V127" s="503">
        <v>10.899261474285714</v>
      </c>
      <c r="W127" s="503">
        <v>1.7767143248571429</v>
      </c>
      <c r="X127" s="503">
        <v>62.208570752857149</v>
      </c>
      <c r="Y127" s="503">
        <v>14.502285821428572</v>
      </c>
    </row>
    <row r="128" spans="15:25">
      <c r="P128" s="502">
        <v>21</v>
      </c>
      <c r="Q128" s="503">
        <v>13.411285537142858</v>
      </c>
      <c r="R128" s="503">
        <v>7.8631429672857154</v>
      </c>
      <c r="S128" s="503">
        <v>94.636570517142857</v>
      </c>
      <c r="T128" s="503">
        <v>49.303714208571428</v>
      </c>
      <c r="U128" s="503">
        <v>13.450571468571427</v>
      </c>
      <c r="V128" s="503">
        <v>11.166911400000002</v>
      </c>
      <c r="W128" s="503">
        <v>1.8437143055714282</v>
      </c>
      <c r="X128" s="503">
        <v>54.38714218285714</v>
      </c>
      <c r="Y128" s="503">
        <v>12.214999879999999</v>
      </c>
    </row>
    <row r="129" spans="15:26">
      <c r="P129" s="502">
        <v>22</v>
      </c>
      <c r="Q129" s="503">
        <v>12.490285737142855</v>
      </c>
      <c r="R129" s="503">
        <v>6.4215714250000007</v>
      </c>
      <c r="S129" s="503">
        <v>81.718714031428576</v>
      </c>
      <c r="T129" s="503">
        <v>42.928571428571431</v>
      </c>
      <c r="U129" s="503">
        <v>11.897571562857141</v>
      </c>
      <c r="V129" s="503">
        <v>10.57333578442857</v>
      </c>
      <c r="W129" s="503">
        <v>1.8770000252857142</v>
      </c>
      <c r="X129" s="503">
        <v>48.837857382857138</v>
      </c>
      <c r="Y129" s="503">
        <v>10.894571441428569</v>
      </c>
    </row>
    <row r="130" spans="15:26">
      <c r="P130" s="502">
        <v>23</v>
      </c>
      <c r="Q130" s="503">
        <v>12.278000014285713</v>
      </c>
      <c r="R130" s="503">
        <v>5.5577142921428564</v>
      </c>
      <c r="S130" s="503">
        <v>83.760285512857152</v>
      </c>
      <c r="T130" s="503">
        <v>67.797571451428567</v>
      </c>
      <c r="U130" s="503">
        <v>15.801714215714284</v>
      </c>
      <c r="V130" s="503">
        <v>11.341294289999999</v>
      </c>
      <c r="W130" s="503">
        <v>1.7928571701428571</v>
      </c>
      <c r="X130" s="503">
        <v>58.175000328571436</v>
      </c>
      <c r="Y130" s="503">
        <v>13.860571451428571</v>
      </c>
    </row>
    <row r="131" spans="15:26">
      <c r="O131" s="501">
        <v>24</v>
      </c>
      <c r="P131" s="502">
        <v>24</v>
      </c>
      <c r="Q131" s="503">
        <v>10.882714271142857</v>
      </c>
      <c r="R131" s="503">
        <v>5.3317142215714286</v>
      </c>
      <c r="S131" s="503">
        <v>82.799001421428557</v>
      </c>
      <c r="T131" s="503">
        <v>63.982142857142854</v>
      </c>
      <c r="U131" s="503">
        <v>15.595999989999999</v>
      </c>
      <c r="V131" s="503">
        <v>11.96411841142857</v>
      </c>
      <c r="W131" s="503">
        <v>2.0252857377142854</v>
      </c>
      <c r="X131" s="503">
        <v>61.988572801428582</v>
      </c>
      <c r="Y131" s="503">
        <v>13.392856871428572</v>
      </c>
    </row>
    <row r="132" spans="15:26">
      <c r="P132" s="502">
        <v>25</v>
      </c>
      <c r="Q132" s="503">
        <v>10.290999957142857</v>
      </c>
      <c r="R132" s="503">
        <v>3.7498572211428569</v>
      </c>
      <c r="S132" s="503">
        <v>74.093855721428568</v>
      </c>
      <c r="T132" s="503">
        <v>53.035571505714287</v>
      </c>
      <c r="U132" s="503">
        <v>14.135857038571428</v>
      </c>
      <c r="V132" s="503">
        <v>11.79</v>
      </c>
      <c r="W132" s="503">
        <v>2.0514285564285717</v>
      </c>
      <c r="X132" s="503">
        <v>51.970714024285719</v>
      </c>
      <c r="Y132" s="503">
        <v>10.749428476857142</v>
      </c>
    </row>
    <row r="133" spans="15:26">
      <c r="P133" s="502">
        <v>26</v>
      </c>
      <c r="Q133" s="503">
        <v>9.5591429302857147</v>
      </c>
      <c r="R133" s="503">
        <v>3.5651427677142853</v>
      </c>
      <c r="S133" s="503">
        <v>66.795142037142867</v>
      </c>
      <c r="T133" s="503">
        <v>40.369000025714286</v>
      </c>
      <c r="U133" s="503">
        <v>10.912428581428573</v>
      </c>
      <c r="V133" s="503">
        <v>10.93</v>
      </c>
      <c r="W133" s="503">
        <v>2.1038571597142854</v>
      </c>
      <c r="X133" s="503">
        <v>44.390714371428579</v>
      </c>
      <c r="Y133" s="503">
        <v>9.1145714351428584</v>
      </c>
    </row>
    <row r="134" spans="15:26">
      <c r="P134" s="502">
        <v>27</v>
      </c>
      <c r="Q134" s="503">
        <v>9.3137141635714293</v>
      </c>
      <c r="R134" s="503">
        <v>4.7600000245714282</v>
      </c>
      <c r="S134" s="503">
        <v>67.368571689999996</v>
      </c>
      <c r="T134" s="503">
        <v>33.409999999999997</v>
      </c>
      <c r="U134" s="503">
        <v>9.4035714009999989</v>
      </c>
      <c r="V134" s="503">
        <v>12.51</v>
      </c>
      <c r="W134" s="503">
        <v>2.0499999999999998</v>
      </c>
      <c r="X134" s="503">
        <v>39.173571994285716</v>
      </c>
      <c r="Y134" s="503">
        <v>7.6487142698571438</v>
      </c>
    </row>
    <row r="135" spans="15:26">
      <c r="O135" s="501">
        <v>28</v>
      </c>
      <c r="P135" s="502">
        <v>28</v>
      </c>
      <c r="Q135" s="503">
        <v>8.7544284548571447</v>
      </c>
      <c r="R135" s="503">
        <v>2.5707143034285713</v>
      </c>
      <c r="S135" s="503">
        <v>65.073571887142847</v>
      </c>
      <c r="T135" s="503">
        <v>33.160714285714285</v>
      </c>
      <c r="U135" s="503">
        <v>9.4155716217142871</v>
      </c>
      <c r="V135" s="503">
        <v>12.3</v>
      </c>
      <c r="W135" s="503">
        <v>2.2505714212857142</v>
      </c>
      <c r="X135" s="503">
        <v>36.999285560000011</v>
      </c>
      <c r="Y135" s="503">
        <v>7.0544285774285713</v>
      </c>
    </row>
    <row r="136" spans="15:26">
      <c r="P136" s="502">
        <v>29</v>
      </c>
      <c r="Q136" s="503">
        <v>8.6149000000000004</v>
      </c>
      <c r="R136" s="503">
        <v>3.7006000000000001</v>
      </c>
      <c r="S136" s="503">
        <v>62.515714285714289</v>
      </c>
      <c r="T136" s="503">
        <v>35.738</v>
      </c>
      <c r="U136" s="503">
        <v>9.5503999999999998</v>
      </c>
      <c r="V136" s="503">
        <v>12.245714285714286</v>
      </c>
      <c r="W136" s="503">
        <v>1.9771428571428571</v>
      </c>
      <c r="X136" s="503">
        <v>38.677142857142861</v>
      </c>
      <c r="Y136" s="503">
        <v>6.3400000000000007</v>
      </c>
    </row>
    <row r="137" spans="15:26">
      <c r="P137" s="502">
        <v>30</v>
      </c>
      <c r="Q137" s="503">
        <v>8.1221428598571439</v>
      </c>
      <c r="R137" s="503">
        <v>4.9111429789999992</v>
      </c>
      <c r="S137" s="503">
        <v>57.148857115714286</v>
      </c>
      <c r="T137" s="503">
        <v>85.065429679999994</v>
      </c>
      <c r="U137" s="503">
        <v>15.534142631428571</v>
      </c>
      <c r="V137" s="503">
        <v>10.995952741142858</v>
      </c>
      <c r="W137" s="503">
        <v>2.2859999964285715</v>
      </c>
      <c r="X137" s="503">
        <v>56.166428702857139</v>
      </c>
      <c r="Y137" s="503">
        <v>9.4385714285714304</v>
      </c>
    </row>
    <row r="138" spans="15:26">
      <c r="P138" s="502">
        <v>31</v>
      </c>
      <c r="Q138" s="503">
        <v>7.5620000000000003</v>
      </c>
      <c r="R138" s="503">
        <v>3.28</v>
      </c>
      <c r="S138" s="503">
        <v>58.768000000000001</v>
      </c>
      <c r="T138" s="503">
        <v>40.375</v>
      </c>
      <c r="U138" s="503">
        <v>8.5579999999999998</v>
      </c>
      <c r="V138" s="503">
        <v>13.18</v>
      </c>
      <c r="W138" s="503">
        <v>2</v>
      </c>
      <c r="X138" s="503">
        <v>50.215000000000003</v>
      </c>
      <c r="Y138" s="503">
        <v>8.5770238095238049</v>
      </c>
    </row>
    <row r="139" spans="15:26">
      <c r="O139" s="501">
        <v>32</v>
      </c>
      <c r="P139" s="502">
        <v>32</v>
      </c>
      <c r="Q139" s="503">
        <v>8.4994284765714276</v>
      </c>
      <c r="R139" s="503">
        <v>4.8781427315714287</v>
      </c>
      <c r="S139" s="503">
        <v>54.703428540000004</v>
      </c>
      <c r="T139" s="503">
        <v>52.946428571428569</v>
      </c>
      <c r="U139" s="503">
        <v>10.739857128857144</v>
      </c>
      <c r="V139" s="503">
        <v>10.850328444285712</v>
      </c>
      <c r="W139" s="503">
        <v>2.0667142697142857</v>
      </c>
      <c r="X139" s="503">
        <v>50.460713522857141</v>
      </c>
      <c r="Y139" s="503">
        <v>9.7962856299999999</v>
      </c>
    </row>
    <row r="140" spans="15:26">
      <c r="P140" s="502">
        <v>33</v>
      </c>
      <c r="Q140" s="503">
        <v>7.8117142411428571</v>
      </c>
      <c r="R140" s="503">
        <v>4.5999999999999996</v>
      </c>
      <c r="S140" s="503">
        <v>59.066285269999995</v>
      </c>
      <c r="T140" s="503">
        <v>47.13</v>
      </c>
      <c r="U140" s="503">
        <v>9.23</v>
      </c>
      <c r="V140" s="503">
        <v>10.84</v>
      </c>
      <c r="W140" s="503">
        <v>2.0499999999999998</v>
      </c>
      <c r="X140" s="503">
        <v>44.64</v>
      </c>
      <c r="Y140" s="503">
        <v>8.7822855541428577</v>
      </c>
    </row>
    <row r="141" spans="15:26">
      <c r="P141" s="502">
        <v>34</v>
      </c>
      <c r="Q141" s="503">
        <v>6.44</v>
      </c>
      <c r="R141" s="503">
        <v>5.1568571165714285</v>
      </c>
      <c r="S141" s="503">
        <v>82.033571515714272</v>
      </c>
      <c r="T141" s="503">
        <v>63.892999920000001</v>
      </c>
      <c r="U141" s="503">
        <v>10.917285918714287</v>
      </c>
      <c r="V141" s="503">
        <v>10.534582955714285</v>
      </c>
      <c r="W141" s="503">
        <v>1.8788571358571429</v>
      </c>
      <c r="X141" s="503">
        <v>35.627857751428571</v>
      </c>
      <c r="Y141" s="503">
        <v>11.383714402571428</v>
      </c>
    </row>
    <row r="142" spans="15:26">
      <c r="P142" s="502">
        <v>35</v>
      </c>
      <c r="Q142" s="503">
        <v>7.5428571428571427</v>
      </c>
      <c r="R142" s="503">
        <v>2.15</v>
      </c>
      <c r="S142" s="503">
        <v>71.48</v>
      </c>
      <c r="T142" s="503">
        <v>45.64</v>
      </c>
      <c r="U142" s="503">
        <v>9.4700000000000006</v>
      </c>
      <c r="V142" s="503">
        <v>10.92</v>
      </c>
      <c r="W142" s="503">
        <v>1.88</v>
      </c>
      <c r="X142" s="503">
        <v>32.979999999999997</v>
      </c>
      <c r="Y142" s="503">
        <v>7.88</v>
      </c>
    </row>
    <row r="143" spans="15:26">
      <c r="O143" s="501">
        <v>36</v>
      </c>
      <c r="P143" s="502">
        <v>36</v>
      </c>
      <c r="Q143" s="503">
        <v>7.1671427998571433</v>
      </c>
      <c r="R143" s="503">
        <v>4.8342857142857136</v>
      </c>
      <c r="S143" s="503">
        <v>63.092857142857149</v>
      </c>
      <c r="T143" s="503">
        <v>34.571428571428569</v>
      </c>
      <c r="U143" s="503">
        <v>7.5942857142857134</v>
      </c>
      <c r="V143" s="503">
        <v>11.091428571428571</v>
      </c>
      <c r="W143" s="503">
        <v>1.8442857142857143</v>
      </c>
      <c r="X143" s="503">
        <v>31.20428571428571</v>
      </c>
      <c r="Y143" s="503">
        <v>8.0857142857142854</v>
      </c>
      <c r="Z143" s="535"/>
    </row>
    <row r="144" spans="15:26">
      <c r="P144" s="502">
        <v>37</v>
      </c>
      <c r="Q144" s="503">
        <v>7.1637143408571422</v>
      </c>
      <c r="R144" s="503">
        <v>3.1535714688571423</v>
      </c>
      <c r="S144" s="503">
        <v>61.141713821428574</v>
      </c>
      <c r="T144" s="503">
        <v>28.744000025714286</v>
      </c>
      <c r="U144" s="503">
        <v>6.5637142318571433</v>
      </c>
      <c r="V144" s="503">
        <v>10.825238499999999</v>
      </c>
      <c r="W144" s="503">
        <v>1.8114285809999999</v>
      </c>
      <c r="X144" s="503">
        <v>29.614285605714283</v>
      </c>
      <c r="Y144" s="503">
        <v>8.6452856064285708</v>
      </c>
    </row>
    <row r="145" spans="14:25">
      <c r="P145" s="502">
        <v>38</v>
      </c>
      <c r="Q145" s="503">
        <v>8.31</v>
      </c>
      <c r="R145" s="503">
        <v>3.3441428289999995</v>
      </c>
      <c r="S145" s="503">
        <v>49.664428712857145</v>
      </c>
      <c r="T145" s="503">
        <v>35.571571351428574</v>
      </c>
      <c r="U145" s="503">
        <v>7.2939999444285712</v>
      </c>
      <c r="V145" s="503">
        <v>11.159824370000001</v>
      </c>
      <c r="W145" s="503">
        <v>1.8427142925714282</v>
      </c>
      <c r="X145" s="503">
        <v>30.912857054285716</v>
      </c>
      <c r="Y145" s="503">
        <v>8.6452856064285708</v>
      </c>
    </row>
    <row r="146" spans="14:25">
      <c r="P146" s="502">
        <v>39</v>
      </c>
      <c r="Q146" s="503">
        <v>7.621428489714285</v>
      </c>
      <c r="R146" s="503">
        <v>4.6500000000000004</v>
      </c>
      <c r="S146" s="503">
        <v>42.24</v>
      </c>
      <c r="T146" s="503">
        <v>39.39</v>
      </c>
      <c r="U146" s="503">
        <v>7.68</v>
      </c>
      <c r="V146" s="503">
        <v>11.33</v>
      </c>
      <c r="W146" s="503">
        <v>1.64</v>
      </c>
      <c r="X146" s="503">
        <v>37.200000000000003</v>
      </c>
      <c r="Y146" s="503">
        <v>7.4194285528571422</v>
      </c>
    </row>
    <row r="147" spans="14:25">
      <c r="O147" s="501">
        <v>40</v>
      </c>
      <c r="P147" s="502">
        <v>40</v>
      </c>
      <c r="Q147" s="503">
        <v>7.621428489714285</v>
      </c>
      <c r="R147" s="503">
        <v>5.128571373571428</v>
      </c>
      <c r="S147" s="503">
        <v>38.906285422857138</v>
      </c>
      <c r="T147" s="503">
        <v>41.34000069857143</v>
      </c>
      <c r="U147" s="503">
        <v>9.112857137571428</v>
      </c>
      <c r="V147" s="503">
        <v>11.565001485714285</v>
      </c>
      <c r="W147" s="503">
        <v>1.8221428395714285</v>
      </c>
      <c r="X147" s="503">
        <v>42.197143011428572</v>
      </c>
      <c r="Y147" s="503">
        <v>9.6005713597142837</v>
      </c>
    </row>
    <row r="148" spans="14:25">
      <c r="P148" s="502">
        <v>41</v>
      </c>
      <c r="Q148" s="503">
        <v>7.2698572022574259</v>
      </c>
      <c r="R148" s="503">
        <v>4.8594285079410948</v>
      </c>
      <c r="S148" s="503">
        <v>42.923713956560341</v>
      </c>
      <c r="T148" s="503">
        <v>56.607142857142847</v>
      </c>
      <c r="U148" s="503">
        <v>11.170142854962995</v>
      </c>
      <c r="V148" s="503">
        <v>12.740178653172041</v>
      </c>
      <c r="W148" s="503">
        <v>1.7041428429739784</v>
      </c>
      <c r="X148" s="503">
        <v>49.475714547293492</v>
      </c>
      <c r="Y148" s="503">
        <v>10.943285942077617</v>
      </c>
    </row>
    <row r="149" spans="14:25">
      <c r="P149" s="502">
        <v>42</v>
      </c>
      <c r="Q149" s="503">
        <v>6.2732856614249064</v>
      </c>
      <c r="R149" s="503">
        <v>4.00314286776951</v>
      </c>
      <c r="S149" s="503">
        <v>73.976001194545148</v>
      </c>
      <c r="T149" s="503">
        <v>89.232285635811792</v>
      </c>
      <c r="U149" s="503">
        <v>19.282285690307582</v>
      </c>
      <c r="V149" s="503">
        <v>11.792381422860229</v>
      </c>
      <c r="W149" s="503">
        <v>1.5524285691124997</v>
      </c>
      <c r="X149" s="503">
        <v>72.350713457379968</v>
      </c>
      <c r="Y149" s="503">
        <v>17.972571236746628</v>
      </c>
    </row>
    <row r="150" spans="14:25">
      <c r="P150" s="502">
        <v>43</v>
      </c>
      <c r="Q150" s="503">
        <v>8.3208571161542526</v>
      </c>
      <c r="R150" s="503">
        <v>6.0481427737644662</v>
      </c>
      <c r="S150" s="503">
        <v>97.234427315848038</v>
      </c>
      <c r="T150" s="503">
        <v>125.70828465052978</v>
      </c>
      <c r="U150" s="503">
        <v>26.382142475673081</v>
      </c>
      <c r="V150" s="503">
        <v>12.0416071755545</v>
      </c>
      <c r="W150" s="503">
        <v>1.585428544453207</v>
      </c>
      <c r="X150" s="503">
        <v>82.484284537179079</v>
      </c>
      <c r="Y150" s="503">
        <v>19.552571432931028</v>
      </c>
    </row>
    <row r="151" spans="14:25">
      <c r="O151" s="501">
        <v>44</v>
      </c>
      <c r="P151" s="502">
        <v>44</v>
      </c>
      <c r="Q151" s="503">
        <v>9.2941429947142868</v>
      </c>
      <c r="R151" s="503">
        <v>7.6531428608571428</v>
      </c>
      <c r="S151" s="503">
        <v>120.62971387142855</v>
      </c>
      <c r="T151" s="503">
        <v>157.60714285714286</v>
      </c>
      <c r="U151" s="503">
        <v>33.364427840000005</v>
      </c>
      <c r="V151" s="503">
        <v>12.188929967142856</v>
      </c>
      <c r="W151" s="503">
        <v>1.6864285471428571</v>
      </c>
      <c r="X151" s="503">
        <v>110.40928649571428</v>
      </c>
      <c r="Y151" s="503">
        <v>33.081571032857141</v>
      </c>
    </row>
    <row r="152" spans="14:25">
      <c r="P152" s="502">
        <v>45</v>
      </c>
      <c r="Q152" s="503">
        <v>8.6642857274285721</v>
      </c>
      <c r="R152" s="503">
        <v>4.2061428341428568</v>
      </c>
      <c r="S152" s="503">
        <v>125.43157086857143</v>
      </c>
      <c r="T152" s="503">
        <v>105.63685608857143</v>
      </c>
      <c r="U152" s="503">
        <v>18.735571588571428</v>
      </c>
      <c r="V152" s="503">
        <v>13</v>
      </c>
      <c r="W152" s="503">
        <v>1.7397142818571427</v>
      </c>
      <c r="X152" s="503">
        <v>114.14357212285714</v>
      </c>
      <c r="Y152" s="503">
        <v>39.80185754</v>
      </c>
    </row>
    <row r="153" spans="14:25">
      <c r="P153" s="502">
        <v>46</v>
      </c>
      <c r="Q153" s="503">
        <v>8.5371428571428574</v>
      </c>
      <c r="R153" s="503">
        <v>5.9</v>
      </c>
      <c r="S153" s="503">
        <v>78.757142857142853</v>
      </c>
      <c r="T153" s="503">
        <v>79.304285714285712</v>
      </c>
      <c r="U153" s="503">
        <v>13.16</v>
      </c>
      <c r="V153" s="503">
        <v>13.001428571428571</v>
      </c>
      <c r="W153" s="503">
        <v>1.5</v>
      </c>
      <c r="X153" s="503">
        <v>93.457142857142841</v>
      </c>
      <c r="Y153" s="503">
        <v>37.212857142857146</v>
      </c>
    </row>
    <row r="154" spans="14:25">
      <c r="P154" s="502">
        <v>47</v>
      </c>
      <c r="Q154" s="503">
        <v>9.0094285692857135</v>
      </c>
      <c r="R154" s="503">
        <v>7.1015714912857133</v>
      </c>
      <c r="S154" s="503">
        <v>88.111712864285735</v>
      </c>
      <c r="T154" s="503">
        <v>74.684428622857141</v>
      </c>
      <c r="U154" s="503">
        <v>13.483142988571428</v>
      </c>
      <c r="V154" s="503">
        <v>12.142405645714286</v>
      </c>
      <c r="W154" s="503">
        <v>1.5</v>
      </c>
      <c r="X154" s="503">
        <v>104.10500007571429</v>
      </c>
      <c r="Y154" s="503">
        <v>35.055428368571434</v>
      </c>
    </row>
    <row r="155" spans="14:25">
      <c r="O155" s="501">
        <v>48</v>
      </c>
      <c r="P155" s="502">
        <v>48</v>
      </c>
      <c r="Q155" s="503">
        <v>8.5042856081428582</v>
      </c>
      <c r="R155" s="503">
        <v>4.3617142950000005</v>
      </c>
      <c r="S155" s="503">
        <v>80.151286534285717</v>
      </c>
      <c r="T155" s="503">
        <v>95.303570342857142</v>
      </c>
      <c r="U155" s="503">
        <v>12.543571337142859</v>
      </c>
      <c r="V155" s="503">
        <v>11.975262778571429</v>
      </c>
      <c r="W155" s="503">
        <v>1.5</v>
      </c>
      <c r="X155" s="503">
        <v>91.569999695714287</v>
      </c>
      <c r="Y155" s="503">
        <v>28.370000294285713</v>
      </c>
    </row>
    <row r="156" spans="14:25">
      <c r="P156" s="502">
        <v>49</v>
      </c>
      <c r="Q156" s="503">
        <v>8.27</v>
      </c>
      <c r="R156" s="503">
        <v>6.9099999999999993</v>
      </c>
      <c r="S156" s="503">
        <v>66.555714285714288</v>
      </c>
      <c r="T156" s="503">
        <v>54.31</v>
      </c>
      <c r="U156" s="503">
        <v>8.99</v>
      </c>
      <c r="V156" s="503">
        <v>12.26</v>
      </c>
      <c r="W156" s="503">
        <v>1.5</v>
      </c>
      <c r="X156" s="503">
        <v>62.974285714285706</v>
      </c>
      <c r="Y156" s="503">
        <v>22.919999999999998</v>
      </c>
    </row>
    <row r="157" spans="14:25">
      <c r="P157" s="502">
        <v>50</v>
      </c>
      <c r="Q157" s="503">
        <v>8.1765714374285707</v>
      </c>
      <c r="R157" s="503">
        <v>6.5639999597142857</v>
      </c>
      <c r="S157" s="503">
        <v>61.602715082857152</v>
      </c>
      <c r="T157" s="503">
        <v>52.47614288285714</v>
      </c>
      <c r="U157" s="503">
        <v>10.909571511285714</v>
      </c>
      <c r="V157" s="503">
        <v>13.001428604285715</v>
      </c>
      <c r="W157" s="503">
        <v>1.457142846857143</v>
      </c>
      <c r="X157" s="503">
        <v>52.244286674285718</v>
      </c>
      <c r="Y157" s="503">
        <v>17.695714271428571</v>
      </c>
    </row>
    <row r="158" spans="14:25">
      <c r="P158" s="502">
        <v>51</v>
      </c>
      <c r="Q158" s="503">
        <v>10.342857142857142</v>
      </c>
      <c r="R158" s="503">
        <v>7.3285714285714283</v>
      </c>
      <c r="S158" s="503">
        <v>53.9</v>
      </c>
      <c r="T158" s="503">
        <v>126.14285714285714</v>
      </c>
      <c r="U158" s="503">
        <v>16.8</v>
      </c>
      <c r="V158" s="503">
        <v>12.257142857142856</v>
      </c>
      <c r="W158" s="503">
        <v>1.3857142857142859</v>
      </c>
      <c r="X158" s="503">
        <v>86.528571428571439</v>
      </c>
      <c r="Y158" s="503">
        <v>33.51428571428572</v>
      </c>
    </row>
    <row r="159" spans="14:25">
      <c r="O159" s="501">
        <v>52</v>
      </c>
      <c r="P159" s="502">
        <v>52</v>
      </c>
      <c r="Q159" s="503">
        <v>10.661999840142856</v>
      </c>
      <c r="R159" s="503">
        <v>7.4820000789999996</v>
      </c>
      <c r="S159" s="503">
        <v>57.504999978571433</v>
      </c>
      <c r="T159" s="503">
        <v>100.38085719714286</v>
      </c>
      <c r="U159" s="503">
        <v>16.435142652857145</v>
      </c>
      <c r="V159" s="503">
        <v>12.222315514285714</v>
      </c>
      <c r="W159" s="503">
        <v>1.2999999520000001</v>
      </c>
      <c r="X159" s="503">
        <v>103.53357153142858</v>
      </c>
      <c r="Y159" s="503">
        <v>52.753143308571431</v>
      </c>
    </row>
    <row r="160" spans="14:25">
      <c r="N160" s="501">
        <v>2019</v>
      </c>
      <c r="O160" s="501">
        <v>1</v>
      </c>
      <c r="P160" s="502">
        <v>1</v>
      </c>
      <c r="Q160" s="503">
        <v>8.992857251428573</v>
      </c>
      <c r="R160" s="503">
        <v>4.4642857141428571</v>
      </c>
      <c r="S160" s="503">
        <v>57.514999934285704</v>
      </c>
      <c r="T160" s="503">
        <v>79.871427261428579</v>
      </c>
      <c r="U160" s="503">
        <v>13.115714484285716</v>
      </c>
      <c r="V160" s="503">
        <v>11.571904317142856</v>
      </c>
      <c r="W160" s="503">
        <v>1.2999999520000001</v>
      </c>
      <c r="X160" s="503">
        <v>121.75642612857142</v>
      </c>
      <c r="Y160" s="503">
        <v>12.94999981</v>
      </c>
    </row>
    <row r="161" spans="15:25">
      <c r="P161" s="502">
        <v>2</v>
      </c>
      <c r="Q161" s="503">
        <v>7.4904285157142843</v>
      </c>
      <c r="R161" s="503">
        <v>3.3685714177142856</v>
      </c>
      <c r="S161" s="503">
        <v>63.363856724285711</v>
      </c>
      <c r="T161" s="503">
        <v>84.184571402857145</v>
      </c>
      <c r="U161" s="503">
        <v>16.11014284285714</v>
      </c>
      <c r="V161" s="503">
        <v>11.570298602857141</v>
      </c>
      <c r="W161" s="503">
        <v>1.2999999520000001</v>
      </c>
      <c r="X161" s="503">
        <v>180.32999965714288</v>
      </c>
      <c r="Y161" s="503">
        <v>14.739999770000001</v>
      </c>
    </row>
    <row r="162" spans="15:25">
      <c r="P162" s="502">
        <v>3</v>
      </c>
      <c r="Q162" s="503">
        <v>14.36</v>
      </c>
      <c r="R162" s="503">
        <v>10.74</v>
      </c>
      <c r="S162" s="503">
        <v>80.75</v>
      </c>
      <c r="T162" s="503">
        <v>149.30000000000001</v>
      </c>
      <c r="U162" s="503">
        <v>29.23</v>
      </c>
      <c r="V162" s="503">
        <v>11.28</v>
      </c>
      <c r="W162" s="503">
        <v>1.33</v>
      </c>
      <c r="X162" s="503">
        <v>167.22</v>
      </c>
      <c r="Y162" s="503">
        <v>15.52</v>
      </c>
    </row>
    <row r="163" spans="15:25">
      <c r="O163" s="501">
        <v>4</v>
      </c>
      <c r="P163" s="502">
        <v>4</v>
      </c>
      <c r="Q163" s="503">
        <v>17.131428719999999</v>
      </c>
      <c r="R163" s="503">
        <v>11.155714580142858</v>
      </c>
      <c r="S163" s="503">
        <v>85.689570837142853</v>
      </c>
      <c r="T163" s="503">
        <v>168.80999974285714</v>
      </c>
      <c r="U163" s="503">
        <v>36.200000218571425</v>
      </c>
      <c r="V163" s="503">
        <v>11.843988554285716</v>
      </c>
      <c r="W163" s="503">
        <v>3.0287143159999999</v>
      </c>
      <c r="X163" s="503">
        <v>185.51500375714286</v>
      </c>
      <c r="Y163" s="503">
        <v>17.370000839999999</v>
      </c>
    </row>
    <row r="164" spans="15:25">
      <c r="P164" s="502">
        <v>5</v>
      </c>
      <c r="Q164" s="503">
        <v>30.592286245714288</v>
      </c>
      <c r="R164" s="503">
        <v>16.463000024285716</v>
      </c>
      <c r="S164" s="503">
        <v>416.48700821428571</v>
      </c>
      <c r="T164" s="503">
        <v>195.24999782857142</v>
      </c>
      <c r="U164" s="503">
        <v>36.703999928571427</v>
      </c>
      <c r="V164" s="503">
        <v>12.496724401428571</v>
      </c>
      <c r="W164" s="503">
        <v>6.6928571292857146</v>
      </c>
      <c r="X164" s="503">
        <v>199.03571430000002</v>
      </c>
      <c r="Y164" s="503">
        <v>17.370000839999999</v>
      </c>
    </row>
    <row r="165" spans="15:25">
      <c r="P165" s="502">
        <v>6</v>
      </c>
      <c r="Q165" s="503">
        <v>20.372857142857146</v>
      </c>
      <c r="R165" s="503">
        <v>17.05857142857143</v>
      </c>
      <c r="S165" s="503">
        <v>426.67142857142863</v>
      </c>
      <c r="T165" s="503">
        <v>265.28000000000003</v>
      </c>
      <c r="U165" s="503">
        <v>51.29</v>
      </c>
      <c r="V165" s="503">
        <v>12.744285714285715</v>
      </c>
      <c r="W165" s="503">
        <v>14.464285714285714</v>
      </c>
      <c r="X165" s="503">
        <v>338.89857142857142</v>
      </c>
      <c r="Y165" s="503">
        <v>19.97</v>
      </c>
    </row>
    <row r="166" spans="15:25">
      <c r="P166" s="502">
        <v>7</v>
      </c>
      <c r="Q166" s="503">
        <v>28.837571554285717</v>
      </c>
      <c r="R166" s="503">
        <v>18.065285818571429</v>
      </c>
      <c r="S166" s="503">
        <v>581.62514822857145</v>
      </c>
      <c r="T166" s="503">
        <v>230.7322888857143</v>
      </c>
      <c r="U166" s="503">
        <v>46.224000658571427</v>
      </c>
      <c r="V166" s="503">
        <v>23.841369902857146</v>
      </c>
      <c r="W166" s="503">
        <v>21.059571402857141</v>
      </c>
      <c r="X166" s="503">
        <v>288.0957205571429</v>
      </c>
      <c r="Y166" s="503">
        <v>25.079999919999999</v>
      </c>
    </row>
    <row r="167" spans="15:25">
      <c r="P167" s="502">
        <v>8</v>
      </c>
      <c r="Q167" s="503">
        <v>20.077857700000003</v>
      </c>
      <c r="R167" s="503">
        <v>14.531571660571432</v>
      </c>
      <c r="S167" s="503">
        <v>439.74099729999995</v>
      </c>
      <c r="T167" s="503">
        <v>219.37485614285717</v>
      </c>
      <c r="U167" s="503">
        <v>42.94585745571429</v>
      </c>
      <c r="V167" s="503">
        <v>23.894881112857146</v>
      </c>
      <c r="W167" s="503">
        <v>6.8928571428571432</v>
      </c>
      <c r="X167" s="503">
        <v>411.75142995714288</v>
      </c>
      <c r="Y167" s="503">
        <v>27.309999470000001</v>
      </c>
    </row>
    <row r="168" spans="15:25">
      <c r="O168" s="501">
        <v>9</v>
      </c>
      <c r="P168" s="502">
        <v>9</v>
      </c>
      <c r="Q168" s="503">
        <v>26.317999977142858</v>
      </c>
      <c r="R168" s="503">
        <v>19.520428521428574</v>
      </c>
      <c r="S168" s="503">
        <v>316.26999772857147</v>
      </c>
      <c r="T168" s="503">
        <v>191.17842539999998</v>
      </c>
      <c r="U168" s="503">
        <v>34.696428571428569</v>
      </c>
      <c r="V168" s="503">
        <v>22.406962801428573</v>
      </c>
      <c r="W168" s="503">
        <v>3.3807143142857146</v>
      </c>
      <c r="X168" s="503">
        <v>249.46285358571427</v>
      </c>
      <c r="Y168" s="503">
        <v>29.979999540000001</v>
      </c>
    </row>
    <row r="169" spans="15:25" hidden="1">
      <c r="P169" s="502">
        <v>10</v>
      </c>
      <c r="Q169" s="503"/>
      <c r="R169" s="503"/>
      <c r="S169" s="503"/>
      <c r="T169" s="503"/>
      <c r="U169" s="503"/>
      <c r="V169" s="503"/>
      <c r="W169" s="503"/>
      <c r="X169" s="503"/>
      <c r="Y169" s="503"/>
    </row>
    <row r="170" spans="15:25" hidden="1">
      <c r="P170" s="502">
        <v>11</v>
      </c>
      <c r="Q170" s="503"/>
      <c r="R170" s="503"/>
      <c r="S170" s="503"/>
      <c r="T170" s="503"/>
      <c r="U170" s="503"/>
      <c r="V170" s="503"/>
      <c r="W170" s="503"/>
      <c r="X170" s="503"/>
      <c r="Y170" s="503"/>
    </row>
    <row r="171" spans="15:25" hidden="1">
      <c r="O171" s="501">
        <v>12</v>
      </c>
      <c r="P171" s="502">
        <v>12</v>
      </c>
      <c r="Q171" s="503"/>
      <c r="R171" s="503"/>
      <c r="S171" s="503"/>
      <c r="T171" s="503"/>
      <c r="U171" s="503"/>
      <c r="V171" s="503"/>
      <c r="W171" s="503"/>
      <c r="X171" s="503"/>
      <c r="Y171" s="503"/>
    </row>
    <row r="172" spans="15:25" hidden="1">
      <c r="P172" s="502">
        <v>13</v>
      </c>
      <c r="Q172" s="503"/>
      <c r="R172" s="503"/>
      <c r="S172" s="503"/>
      <c r="T172" s="503"/>
      <c r="U172" s="503"/>
      <c r="V172" s="503"/>
      <c r="W172" s="503"/>
      <c r="X172" s="503"/>
      <c r="Y172" s="503"/>
    </row>
    <row r="173" spans="15:25" hidden="1">
      <c r="P173" s="502">
        <v>14</v>
      </c>
      <c r="Q173" s="503"/>
      <c r="R173" s="503"/>
      <c r="S173" s="503"/>
      <c r="T173" s="503"/>
      <c r="U173" s="503"/>
      <c r="V173" s="503"/>
      <c r="W173" s="503"/>
      <c r="X173" s="503"/>
      <c r="Y173" s="503"/>
    </row>
    <row r="174" spans="15:25" hidden="1">
      <c r="P174" s="502">
        <v>15</v>
      </c>
      <c r="Q174" s="503"/>
      <c r="R174" s="503"/>
      <c r="S174" s="503"/>
      <c r="T174" s="503"/>
      <c r="U174" s="503"/>
      <c r="V174" s="503"/>
      <c r="W174" s="503"/>
      <c r="X174" s="503"/>
      <c r="Y174" s="503"/>
    </row>
    <row r="175" spans="15:25" hidden="1">
      <c r="O175" s="501">
        <v>16</v>
      </c>
      <c r="P175" s="502">
        <v>16</v>
      </c>
      <c r="Q175" s="503"/>
      <c r="R175" s="503"/>
      <c r="S175" s="503"/>
      <c r="T175" s="503"/>
      <c r="U175" s="503"/>
      <c r="V175" s="503"/>
      <c r="W175" s="503"/>
      <c r="X175" s="503"/>
      <c r="Y175" s="503"/>
    </row>
    <row r="176" spans="15:25" hidden="1">
      <c r="P176" s="502">
        <v>17</v>
      </c>
      <c r="Q176" s="503"/>
      <c r="R176" s="503"/>
      <c r="S176" s="503"/>
      <c r="T176" s="503"/>
      <c r="U176" s="503"/>
      <c r="V176" s="503"/>
      <c r="W176" s="503"/>
      <c r="X176" s="503"/>
      <c r="Y176" s="503"/>
    </row>
    <row r="177" spans="15:25" hidden="1">
      <c r="P177" s="502">
        <v>18</v>
      </c>
      <c r="Q177" s="503"/>
      <c r="R177" s="503"/>
      <c r="S177" s="503"/>
      <c r="T177" s="503"/>
      <c r="U177" s="503"/>
      <c r="V177" s="503"/>
      <c r="W177" s="503"/>
      <c r="X177" s="503"/>
      <c r="Y177" s="503"/>
    </row>
    <row r="178" spans="15:25" hidden="1">
      <c r="P178" s="502">
        <v>19</v>
      </c>
      <c r="Q178" s="503"/>
      <c r="R178" s="503"/>
      <c r="S178" s="503"/>
      <c r="T178" s="503"/>
      <c r="U178" s="503"/>
      <c r="V178" s="503"/>
      <c r="W178" s="503"/>
      <c r="X178" s="503"/>
      <c r="Y178" s="503"/>
    </row>
    <row r="179" spans="15:25" hidden="1">
      <c r="O179" s="501">
        <v>20</v>
      </c>
      <c r="P179" s="502">
        <v>20</v>
      </c>
      <c r="Q179" s="503"/>
      <c r="R179" s="503"/>
      <c r="S179" s="503"/>
      <c r="T179" s="503"/>
      <c r="U179" s="503"/>
      <c r="V179" s="503"/>
      <c r="W179" s="503"/>
      <c r="X179" s="503"/>
      <c r="Y179" s="503"/>
    </row>
    <row r="180" spans="15:25" hidden="1">
      <c r="P180" s="502">
        <v>21</v>
      </c>
      <c r="Q180" s="503"/>
      <c r="R180" s="503"/>
      <c r="S180" s="503"/>
      <c r="T180" s="503"/>
      <c r="U180" s="503"/>
      <c r="V180" s="503"/>
      <c r="W180" s="503"/>
      <c r="X180" s="503"/>
      <c r="Y180" s="503"/>
    </row>
    <row r="181" spans="15:25" hidden="1">
      <c r="P181" s="502">
        <v>22</v>
      </c>
      <c r="Q181" s="503"/>
      <c r="R181" s="503"/>
      <c r="S181" s="503"/>
      <c r="T181" s="503"/>
      <c r="U181" s="503"/>
      <c r="V181" s="503"/>
      <c r="W181" s="503"/>
      <c r="X181" s="503"/>
      <c r="Y181" s="503"/>
    </row>
    <row r="182" spans="15:25" hidden="1">
      <c r="P182" s="502">
        <v>23</v>
      </c>
      <c r="Q182" s="503"/>
      <c r="R182" s="503"/>
      <c r="S182" s="503"/>
      <c r="T182" s="503"/>
      <c r="U182" s="503"/>
      <c r="V182" s="503"/>
      <c r="W182" s="503"/>
      <c r="X182" s="503"/>
      <c r="Y182" s="503"/>
    </row>
    <row r="183" spans="15:25" hidden="1">
      <c r="O183" s="501">
        <v>24</v>
      </c>
      <c r="P183" s="502">
        <v>24</v>
      </c>
      <c r="Q183" s="503"/>
      <c r="R183" s="503"/>
      <c r="S183" s="503"/>
      <c r="T183" s="503"/>
      <c r="U183" s="503"/>
      <c r="V183" s="503"/>
      <c r="W183" s="503"/>
      <c r="X183" s="503"/>
      <c r="Y183" s="503"/>
    </row>
    <row r="184" spans="15:25" hidden="1">
      <c r="P184" s="502">
        <v>25</v>
      </c>
      <c r="Q184" s="503"/>
      <c r="R184" s="503"/>
      <c r="S184" s="503"/>
      <c r="T184" s="503"/>
      <c r="U184" s="503"/>
      <c r="V184" s="503"/>
      <c r="W184" s="503"/>
      <c r="X184" s="503"/>
      <c r="Y184" s="503"/>
    </row>
    <row r="185" spans="15:25" hidden="1">
      <c r="P185" s="502">
        <v>26</v>
      </c>
      <c r="Q185" s="503"/>
      <c r="R185" s="503"/>
      <c r="S185" s="503"/>
      <c r="T185" s="503"/>
      <c r="U185" s="503"/>
      <c r="V185" s="503"/>
      <c r="W185" s="503"/>
      <c r="X185" s="503"/>
      <c r="Y185" s="503"/>
    </row>
    <row r="186" spans="15:25" hidden="1">
      <c r="P186" s="502">
        <v>27</v>
      </c>
      <c r="Q186" s="503"/>
      <c r="R186" s="503"/>
      <c r="S186" s="503"/>
      <c r="T186" s="503"/>
      <c r="U186" s="503"/>
      <c r="V186" s="503"/>
      <c r="W186" s="503"/>
      <c r="X186" s="503"/>
      <c r="Y186" s="503"/>
    </row>
    <row r="187" spans="15:25" hidden="1">
      <c r="O187" s="501">
        <v>28</v>
      </c>
      <c r="P187" s="502">
        <v>28</v>
      </c>
      <c r="Q187" s="503"/>
      <c r="R187" s="503"/>
      <c r="S187" s="503"/>
      <c r="T187" s="503"/>
      <c r="U187" s="503"/>
      <c r="V187" s="503"/>
      <c r="W187" s="503"/>
      <c r="X187" s="503"/>
      <c r="Y187" s="503"/>
    </row>
    <row r="188" spans="15:25" hidden="1">
      <c r="P188" s="502">
        <v>29</v>
      </c>
      <c r="Q188" s="503"/>
      <c r="R188" s="503"/>
      <c r="S188" s="503"/>
      <c r="T188" s="503"/>
      <c r="U188" s="503"/>
      <c r="V188" s="503"/>
      <c r="W188" s="503"/>
      <c r="X188" s="503"/>
      <c r="Y188" s="503"/>
    </row>
    <row r="189" spans="15:25" hidden="1">
      <c r="P189" s="502">
        <v>30</v>
      </c>
      <c r="Q189" s="503"/>
      <c r="R189" s="503"/>
      <c r="S189" s="503"/>
      <c r="T189" s="503"/>
      <c r="U189" s="503"/>
      <c r="V189" s="503"/>
      <c r="W189" s="503"/>
      <c r="X189" s="503"/>
      <c r="Y189" s="503"/>
    </row>
    <row r="190" spans="15:25" hidden="1">
      <c r="P190" s="502">
        <v>31</v>
      </c>
      <c r="Q190" s="503"/>
      <c r="R190" s="503"/>
      <c r="S190" s="503"/>
      <c r="T190" s="503"/>
      <c r="U190" s="503"/>
      <c r="V190" s="503"/>
      <c r="W190" s="503"/>
      <c r="X190" s="503"/>
      <c r="Y190" s="503"/>
    </row>
    <row r="191" spans="15:25" hidden="1">
      <c r="O191" s="501">
        <v>32</v>
      </c>
      <c r="P191" s="502">
        <v>32</v>
      </c>
      <c r="Q191" s="503"/>
      <c r="R191" s="503"/>
      <c r="S191" s="503"/>
      <c r="T191" s="503"/>
      <c r="U191" s="503"/>
      <c r="V191" s="503"/>
      <c r="W191" s="503"/>
      <c r="X191" s="503"/>
      <c r="Y191" s="503"/>
    </row>
    <row r="192" spans="15:25" hidden="1">
      <c r="P192" s="502">
        <v>33</v>
      </c>
      <c r="Q192" s="503"/>
      <c r="R192" s="503"/>
      <c r="S192" s="503"/>
      <c r="T192" s="503"/>
      <c r="U192" s="503"/>
      <c r="V192" s="503"/>
      <c r="W192" s="503"/>
      <c r="X192" s="503"/>
      <c r="Y192" s="503"/>
    </row>
    <row r="193" spans="15:25" hidden="1">
      <c r="P193" s="502">
        <v>34</v>
      </c>
      <c r="Q193" s="503"/>
      <c r="R193" s="503"/>
      <c r="S193" s="503"/>
      <c r="T193" s="503"/>
      <c r="U193" s="503"/>
      <c r="V193" s="503"/>
      <c r="W193" s="503"/>
      <c r="X193" s="503"/>
      <c r="Y193" s="503"/>
    </row>
    <row r="194" spans="15:25" hidden="1">
      <c r="P194" s="502">
        <v>35</v>
      </c>
      <c r="Q194" s="503"/>
      <c r="R194" s="503"/>
      <c r="S194" s="503"/>
      <c r="T194" s="503"/>
      <c r="U194" s="503"/>
      <c r="V194" s="503"/>
      <c r="W194" s="503"/>
      <c r="X194" s="503"/>
      <c r="Y194" s="503"/>
    </row>
    <row r="195" spans="15:25" hidden="1">
      <c r="O195" s="501">
        <v>36</v>
      </c>
      <c r="P195" s="502">
        <v>36</v>
      </c>
      <c r="Q195" s="503"/>
      <c r="R195" s="503"/>
      <c r="S195" s="503"/>
      <c r="T195" s="503"/>
      <c r="U195" s="503"/>
      <c r="V195" s="503"/>
      <c r="W195" s="503"/>
      <c r="X195" s="503"/>
      <c r="Y195" s="503"/>
    </row>
    <row r="196" spans="15:25" hidden="1">
      <c r="P196" s="502">
        <v>37</v>
      </c>
      <c r="Q196" s="503"/>
      <c r="R196" s="503"/>
      <c r="S196" s="503"/>
      <c r="T196" s="503"/>
      <c r="U196" s="503"/>
      <c r="V196" s="503"/>
      <c r="W196" s="503"/>
      <c r="X196" s="503"/>
      <c r="Y196" s="503"/>
    </row>
    <row r="197" spans="15:25" hidden="1">
      <c r="P197" s="502">
        <v>38</v>
      </c>
      <c r="Q197" s="503"/>
      <c r="R197" s="503"/>
      <c r="S197" s="503"/>
      <c r="T197" s="503"/>
      <c r="U197" s="503"/>
      <c r="V197" s="503"/>
      <c r="W197" s="503"/>
      <c r="X197" s="503"/>
      <c r="Y197" s="503"/>
    </row>
    <row r="198" spans="15:25" hidden="1">
      <c r="P198" s="502">
        <v>39</v>
      </c>
      <c r="Q198" s="503"/>
      <c r="R198" s="503"/>
      <c r="S198" s="503"/>
      <c r="T198" s="503"/>
      <c r="U198" s="503"/>
      <c r="V198" s="503"/>
      <c r="W198" s="503"/>
      <c r="X198" s="503"/>
      <c r="Y198" s="503"/>
    </row>
    <row r="199" spans="15:25" hidden="1">
      <c r="O199" s="501">
        <v>40</v>
      </c>
      <c r="P199" s="502">
        <v>40</v>
      </c>
      <c r="Q199" s="503"/>
      <c r="R199" s="503"/>
      <c r="S199" s="503"/>
      <c r="T199" s="503"/>
      <c r="U199" s="503"/>
      <c r="V199" s="503"/>
      <c r="W199" s="503"/>
      <c r="X199" s="503"/>
      <c r="Y199" s="503"/>
    </row>
    <row r="200" spans="15:25" hidden="1">
      <c r="P200" s="502">
        <v>41</v>
      </c>
      <c r="Q200" s="503"/>
      <c r="R200" s="503"/>
      <c r="S200" s="503"/>
      <c r="T200" s="503"/>
      <c r="U200" s="503"/>
      <c r="V200" s="503"/>
      <c r="W200" s="503"/>
      <c r="X200" s="503"/>
      <c r="Y200" s="503"/>
    </row>
    <row r="201" spans="15:25" hidden="1">
      <c r="P201" s="502">
        <v>42</v>
      </c>
      <c r="Q201" s="503"/>
      <c r="R201" s="503"/>
      <c r="S201" s="503"/>
      <c r="T201" s="503"/>
      <c r="U201" s="503"/>
      <c r="V201" s="503"/>
      <c r="W201" s="503"/>
      <c r="X201" s="503"/>
      <c r="Y201" s="503"/>
    </row>
    <row r="202" spans="15:25" hidden="1">
      <c r="P202" s="502">
        <v>43</v>
      </c>
      <c r="Q202" s="503"/>
      <c r="R202" s="503"/>
      <c r="S202" s="503"/>
      <c r="T202" s="503"/>
      <c r="U202" s="503"/>
      <c r="V202" s="503"/>
      <c r="W202" s="503"/>
      <c r="X202" s="503"/>
      <c r="Y202" s="503"/>
    </row>
    <row r="203" spans="15:25" hidden="1">
      <c r="O203" s="501">
        <v>44</v>
      </c>
      <c r="P203" s="502">
        <v>44</v>
      </c>
      <c r="Q203" s="503"/>
      <c r="R203" s="503"/>
      <c r="S203" s="503"/>
      <c r="T203" s="503"/>
      <c r="U203" s="503"/>
      <c r="V203" s="503"/>
      <c r="W203" s="503"/>
      <c r="X203" s="503"/>
      <c r="Y203" s="503"/>
    </row>
    <row r="204" spans="15:25" hidden="1">
      <c r="P204" s="502">
        <v>45</v>
      </c>
      <c r="Q204" s="503"/>
      <c r="R204" s="503"/>
      <c r="S204" s="503"/>
      <c r="T204" s="503"/>
      <c r="U204" s="503"/>
      <c r="V204" s="503"/>
      <c r="W204" s="503"/>
      <c r="X204" s="503"/>
      <c r="Y204" s="503"/>
    </row>
    <row r="205" spans="15:25" hidden="1">
      <c r="P205" s="502">
        <v>46</v>
      </c>
      <c r="Q205" s="503"/>
      <c r="R205" s="503"/>
      <c r="S205" s="503"/>
      <c r="T205" s="503"/>
      <c r="U205" s="503"/>
      <c r="V205" s="503"/>
      <c r="W205" s="503"/>
      <c r="X205" s="503"/>
      <c r="Y205" s="503"/>
    </row>
    <row r="206" spans="15:25" hidden="1">
      <c r="P206" s="502">
        <v>47</v>
      </c>
      <c r="Q206" s="503"/>
      <c r="R206" s="503"/>
      <c r="S206" s="503"/>
      <c r="T206" s="503"/>
      <c r="U206" s="503"/>
      <c r="V206" s="503"/>
      <c r="W206" s="503"/>
      <c r="X206" s="503"/>
      <c r="Y206" s="503"/>
    </row>
    <row r="207" spans="15:25" hidden="1">
      <c r="O207" s="501">
        <v>48</v>
      </c>
      <c r="P207" s="502">
        <v>48</v>
      </c>
      <c r="Q207" s="503"/>
      <c r="R207" s="503"/>
      <c r="S207" s="503"/>
      <c r="T207" s="503"/>
      <c r="U207" s="503"/>
      <c r="V207" s="503"/>
      <c r="W207" s="503"/>
      <c r="X207" s="503"/>
      <c r="Y207" s="503"/>
    </row>
    <row r="208" spans="15:25" hidden="1">
      <c r="P208" s="502">
        <v>49</v>
      </c>
      <c r="Q208" s="503"/>
      <c r="R208" s="503"/>
      <c r="S208" s="503"/>
      <c r="T208" s="503"/>
      <c r="U208" s="503"/>
      <c r="V208" s="503"/>
      <c r="W208" s="503"/>
      <c r="X208" s="503"/>
      <c r="Y208" s="503"/>
    </row>
    <row r="209" spans="15:25" hidden="1">
      <c r="P209" s="502">
        <v>50</v>
      </c>
      <c r="Q209" s="503"/>
      <c r="R209" s="503"/>
      <c r="S209" s="503"/>
      <c r="T209" s="503"/>
      <c r="U209" s="503"/>
      <c r="V209" s="503"/>
      <c r="W209" s="503"/>
      <c r="X209" s="503"/>
      <c r="Y209" s="503"/>
    </row>
    <row r="210" spans="15:25" hidden="1">
      <c r="P210" s="502">
        <v>51</v>
      </c>
      <c r="Q210" s="503"/>
      <c r="R210" s="503"/>
      <c r="S210" s="503"/>
      <c r="T210" s="503"/>
      <c r="U210" s="503"/>
      <c r="V210" s="503"/>
      <c r="W210" s="503"/>
      <c r="X210" s="503"/>
      <c r="Y210" s="503"/>
    </row>
    <row r="211" spans="15:25" hidden="1">
      <c r="O211" s="501">
        <v>52</v>
      </c>
      <c r="P211" s="502">
        <v>52</v>
      </c>
      <c r="Q211" s="503"/>
      <c r="R211" s="503"/>
      <c r="S211" s="503"/>
      <c r="T211" s="503"/>
      <c r="U211" s="503"/>
      <c r="V211" s="503"/>
      <c r="W211" s="503"/>
      <c r="X211" s="503"/>
      <c r="Y211" s="503"/>
    </row>
    <row r="213" spans="15:25">
      <c r="Q213" s="534" t="s">
        <v>286</v>
      </c>
      <c r="R213" s="534" t="s">
        <v>287</v>
      </c>
      <c r="S213" s="534" t="s">
        <v>288</v>
      </c>
      <c r="T213" s="534" t="s">
        <v>289</v>
      </c>
      <c r="U213" s="534" t="s">
        <v>290</v>
      </c>
      <c r="V213" s="534" t="s">
        <v>291</v>
      </c>
      <c r="W213" s="534" t="s">
        <v>292</v>
      </c>
      <c r="X213" s="534" t="s">
        <v>293</v>
      </c>
      <c r="Y213" s="534" t="s">
        <v>294</v>
      </c>
    </row>
  </sheetData>
  <mergeCells count="3">
    <mergeCell ref="A65:L65"/>
    <mergeCell ref="A40:L40"/>
    <mergeCell ref="A18:L18"/>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O59"/>
  <sheetViews>
    <sheetView showGridLines="0" view="pageBreakPreview" zoomScale="130" zoomScaleNormal="100" zoomScaleSheetLayoutView="130" zoomScalePageLayoutView="160" workbookViewId="0">
      <selection activeCell="A3" sqref="A3"/>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3" max="13" width="20.5" style="480" customWidth="1"/>
    <col min="14" max="15" width="9.33203125" style="479"/>
  </cols>
  <sheetData>
    <row r="1" spans="1:15" ht="11.25" customHeight="1"/>
    <row r="2" spans="1:15" ht="11.25" customHeight="1">
      <c r="A2" s="917" t="s">
        <v>459</v>
      </c>
      <c r="B2" s="917"/>
      <c r="C2" s="917"/>
      <c r="D2" s="917"/>
      <c r="E2" s="917"/>
      <c r="F2" s="917"/>
      <c r="G2" s="917"/>
      <c r="H2" s="917"/>
      <c r="I2" s="917"/>
      <c r="J2" s="917"/>
      <c r="K2" s="917"/>
    </row>
    <row r="3" spans="1:15" ht="11.25" customHeight="1">
      <c r="A3" s="18"/>
      <c r="B3" s="18"/>
      <c r="C3" s="18"/>
      <c r="D3" s="18"/>
      <c r="E3" s="18"/>
      <c r="F3" s="18"/>
      <c r="G3" s="18"/>
      <c r="H3" s="18"/>
      <c r="I3" s="18"/>
      <c r="J3" s="18"/>
      <c r="K3" s="18"/>
      <c r="L3" s="36"/>
    </row>
    <row r="4" spans="1:15" ht="11.25" customHeight="1">
      <c r="A4" s="902" t="s">
        <v>460</v>
      </c>
      <c r="B4" s="902"/>
      <c r="C4" s="902"/>
      <c r="D4" s="902"/>
      <c r="E4" s="902"/>
      <c r="F4" s="902"/>
      <c r="G4" s="902"/>
      <c r="H4" s="902"/>
      <c r="I4" s="184"/>
      <c r="J4" s="184"/>
      <c r="L4" s="36"/>
    </row>
    <row r="5" spans="1:15" ht="7.5" customHeight="1">
      <c r="A5" s="185"/>
      <c r="B5" s="185"/>
      <c r="C5" s="185"/>
      <c r="D5" s="185"/>
      <c r="E5" s="185"/>
      <c r="F5" s="185"/>
      <c r="G5" s="185"/>
      <c r="H5" s="185"/>
      <c r="I5" s="185"/>
      <c r="J5" s="185"/>
      <c r="L5" s="8"/>
    </row>
    <row r="6" spans="1:15" ht="11.25" customHeight="1">
      <c r="A6" s="185"/>
      <c r="B6" s="189" t="s">
        <v>461</v>
      </c>
      <c r="C6" s="185"/>
      <c r="D6" s="185"/>
      <c r="E6" s="185"/>
      <c r="F6" s="185"/>
      <c r="G6" s="185"/>
      <c r="H6" s="185"/>
      <c r="I6" s="185"/>
      <c r="J6" s="185"/>
      <c r="L6" s="15"/>
    </row>
    <row r="7" spans="1:15" ht="7.5" customHeight="1">
      <c r="A7" s="185"/>
      <c r="B7" s="186"/>
      <c r="C7" s="185"/>
      <c r="D7" s="185"/>
      <c r="E7" s="185"/>
      <c r="F7" s="185"/>
      <c r="G7" s="185"/>
      <c r="H7" s="185"/>
      <c r="I7" s="185"/>
      <c r="J7" s="185"/>
      <c r="L7" s="12"/>
    </row>
    <row r="8" spans="1:15" ht="21" customHeight="1">
      <c r="A8" s="185"/>
      <c r="B8" s="591" t="s">
        <v>170</v>
      </c>
      <c r="C8" s="592" t="s">
        <v>171</v>
      </c>
      <c r="D8" s="592" t="s">
        <v>172</v>
      </c>
      <c r="E8" s="592" t="s">
        <v>174</v>
      </c>
      <c r="F8" s="592" t="s">
        <v>173</v>
      </c>
      <c r="G8" s="593" t="s">
        <v>175</v>
      </c>
      <c r="H8" s="181"/>
      <c r="I8" s="181"/>
      <c r="J8" s="181"/>
      <c r="L8" s="22"/>
      <c r="M8" s="481" t="s">
        <v>171</v>
      </c>
      <c r="N8" s="482" t="str">
        <f>M8&amp;"
 ("&amp;ROUND(HLOOKUP(M8,$C$8:$G$9,2,0),2)&amp;"   USD/MWh)"</f>
        <v>PIURA OESTE 220
 (6,87   USD/MWh)</v>
      </c>
    </row>
    <row r="9" spans="1:15" ht="18" customHeight="1">
      <c r="A9" s="185"/>
      <c r="B9" s="594" t="s">
        <v>176</v>
      </c>
      <c r="C9" s="282">
        <v>6.871222200309778</v>
      </c>
      <c r="D9" s="282">
        <v>6.7346773723975231</v>
      </c>
      <c r="E9" s="282">
        <v>6.6563814926878369</v>
      </c>
      <c r="F9" s="282">
        <v>6.6063014946239473</v>
      </c>
      <c r="G9" s="282">
        <v>6.4881916668918063</v>
      </c>
      <c r="H9" s="181"/>
      <c r="I9" s="181"/>
      <c r="J9" s="181"/>
      <c r="K9" s="181"/>
      <c r="L9" s="22"/>
      <c r="M9" s="481" t="s">
        <v>172</v>
      </c>
      <c r="N9" s="482" t="str">
        <f>M9&amp;"
("&amp;ROUND(HLOOKUP(M9,$C$8:$G$9,2,0),2)&amp;" USD/MWh)"</f>
        <v>CHICLAYO 220
(6,73 USD/MWh)</v>
      </c>
    </row>
    <row r="10" spans="1:15" ht="14.25" customHeight="1">
      <c r="A10" s="185"/>
      <c r="B10" s="941"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941"/>
      <c r="D10" s="941"/>
      <c r="E10" s="941"/>
      <c r="F10" s="941"/>
      <c r="G10" s="941"/>
      <c r="H10" s="941"/>
      <c r="I10" s="941"/>
      <c r="J10" s="181"/>
      <c r="K10" s="181"/>
      <c r="L10" s="22"/>
      <c r="M10" s="481" t="s">
        <v>174</v>
      </c>
      <c r="N10" s="482" t="str">
        <f>M10&amp;"
("&amp;ROUND(HLOOKUP(M10,$C$8:$G$9,2,0),2)&amp;" USD/MWh)"</f>
        <v>TRUJILLO 220
(6,66 USD/MWh)</v>
      </c>
    </row>
    <row r="11" spans="1:15" ht="11.25" customHeight="1">
      <c r="A11" s="185"/>
      <c r="B11" s="193"/>
      <c r="C11" s="181"/>
      <c r="D11" s="181"/>
      <c r="E11" s="181"/>
      <c r="F11" s="181"/>
      <c r="G11" s="181"/>
      <c r="H11" s="181"/>
      <c r="I11" s="181"/>
      <c r="J11" s="181"/>
      <c r="K11" s="181"/>
      <c r="L11" s="22"/>
      <c r="M11" s="481" t="s">
        <v>173</v>
      </c>
      <c r="N11" s="482" t="str">
        <f>M11&amp;"
("&amp;ROUND(HLOOKUP(M11,$C$8:$G$9,2,0),2)&amp;" USD/MWh)"</f>
        <v>CHIMBOTE1 138
(6,61 USD/MWh)</v>
      </c>
    </row>
    <row r="12" spans="1:15" ht="11.25" customHeight="1">
      <c r="A12" s="185"/>
      <c r="B12" s="181"/>
      <c r="C12" s="181"/>
      <c r="D12" s="181"/>
      <c r="E12" s="181"/>
      <c r="F12" s="181"/>
      <c r="G12" s="181"/>
      <c r="H12" s="181"/>
      <c r="I12" s="181"/>
      <c r="J12" s="181"/>
      <c r="K12" s="181"/>
      <c r="L12" s="24"/>
      <c r="M12" s="481" t="s">
        <v>175</v>
      </c>
      <c r="N12" s="482" t="str">
        <f>M12&amp;"
("&amp;ROUND(HLOOKUP(M12,$C$8:$G$9,2,0),2)&amp;" USD/MWh)"</f>
        <v>CAJAMARCA 220
(6,49 USD/MWh)</v>
      </c>
    </row>
    <row r="13" spans="1:15" ht="11.25" customHeight="1">
      <c r="A13" s="185"/>
      <c r="B13" s="181"/>
      <c r="C13" s="181"/>
      <c r="D13" s="181"/>
      <c r="E13" s="181"/>
      <c r="F13" s="181"/>
      <c r="G13" s="181"/>
      <c r="H13" s="181"/>
      <c r="I13" s="181"/>
      <c r="J13" s="181"/>
      <c r="K13" s="181"/>
      <c r="L13" s="22"/>
      <c r="M13" s="481"/>
      <c r="N13" s="482"/>
      <c r="O13" s="481"/>
    </row>
    <row r="14" spans="1:15" ht="11.25" customHeight="1">
      <c r="A14" s="185"/>
      <c r="B14" s="181"/>
      <c r="C14" s="181"/>
      <c r="D14" s="181"/>
      <c r="E14" s="181"/>
      <c r="F14" s="181"/>
      <c r="G14" s="181"/>
      <c r="H14" s="181"/>
      <c r="I14" s="181"/>
      <c r="J14" s="181"/>
      <c r="K14" s="181"/>
      <c r="L14" s="22"/>
      <c r="M14" s="481" t="s">
        <v>178</v>
      </c>
      <c r="N14" s="482" t="str">
        <f t="shared" ref="N14:N20" si="0">M14&amp;"
("&amp;ROUND(HLOOKUP(M14,$C$26:$I$27,2,0),2)&amp;" USD/MWh)"</f>
        <v>CHAVARRIA 220
(6,58 USD/MWh)</v>
      </c>
    </row>
    <row r="15" spans="1:15" ht="11.25" customHeight="1">
      <c r="A15" s="185"/>
      <c r="B15" s="181"/>
      <c r="C15" s="181"/>
      <c r="D15" s="181"/>
      <c r="E15" s="181"/>
      <c r="F15" s="181"/>
      <c r="G15" s="181"/>
      <c r="H15" s="181"/>
      <c r="I15" s="181"/>
      <c r="J15" s="181"/>
      <c r="K15" s="181"/>
      <c r="L15" s="22"/>
      <c r="M15" s="481" t="s">
        <v>180</v>
      </c>
      <c r="N15" s="482" t="str">
        <f t="shared" si="0"/>
        <v>INDEPENDENCIA 220
(6,48 USD/MWh)</v>
      </c>
    </row>
    <row r="16" spans="1:15" ht="11.25" customHeight="1">
      <c r="A16" s="185"/>
      <c r="B16" s="181"/>
      <c r="C16" s="181"/>
      <c r="D16" s="181"/>
      <c r="E16" s="181"/>
      <c r="F16" s="181"/>
      <c r="G16" s="181"/>
      <c r="H16" s="181"/>
      <c r="I16" s="181"/>
      <c r="J16" s="181"/>
      <c r="K16" s="181"/>
      <c r="L16" s="22"/>
      <c r="M16" s="481" t="s">
        <v>181</v>
      </c>
      <c r="N16" s="482" t="str">
        <f t="shared" si="0"/>
        <v>CARABAYLLO 220
(6,54 USD/MWh)</v>
      </c>
    </row>
    <row r="17" spans="1:14" ht="11.25" customHeight="1">
      <c r="A17" s="185"/>
      <c r="B17" s="181"/>
      <c r="C17" s="181"/>
      <c r="D17" s="181"/>
      <c r="E17" s="181"/>
      <c r="F17" s="181"/>
      <c r="G17" s="181"/>
      <c r="H17" s="181"/>
      <c r="I17" s="181"/>
      <c r="J17" s="181"/>
      <c r="K17" s="181"/>
      <c r="L17" s="22"/>
      <c r="M17" s="481" t="s">
        <v>177</v>
      </c>
      <c r="N17" s="482" t="str">
        <f t="shared" si="0"/>
        <v>SANTA ROSA 220
(6,58 USD/MWh)</v>
      </c>
    </row>
    <row r="18" spans="1:14" ht="11.25" customHeight="1">
      <c r="A18" s="185"/>
      <c r="B18" s="181"/>
      <c r="C18" s="181"/>
      <c r="D18" s="181"/>
      <c r="E18" s="181"/>
      <c r="F18" s="181"/>
      <c r="G18" s="181"/>
      <c r="H18" s="181"/>
      <c r="I18" s="181"/>
      <c r="J18" s="181"/>
      <c r="K18" s="181"/>
      <c r="L18" s="22"/>
      <c r="M18" s="481" t="s">
        <v>179</v>
      </c>
      <c r="N18" s="482" t="str">
        <f t="shared" si="0"/>
        <v>SAN JUAN 220
(6,6 USD/MWh)</v>
      </c>
    </row>
    <row r="19" spans="1:14" ht="11.25" customHeight="1">
      <c r="A19" s="185"/>
      <c r="B19" s="181"/>
      <c r="C19" s="181"/>
      <c r="D19" s="181"/>
      <c r="E19" s="181"/>
      <c r="F19" s="181"/>
      <c r="G19" s="181"/>
      <c r="H19" s="181"/>
      <c r="I19" s="181"/>
      <c r="J19" s="181"/>
      <c r="K19" s="181"/>
      <c r="L19" s="30"/>
      <c r="M19" s="481" t="s">
        <v>182</v>
      </c>
      <c r="N19" s="482" t="str">
        <f t="shared" si="0"/>
        <v>POMACOCHA 220
(5,98 USD/MWh)</v>
      </c>
    </row>
    <row r="20" spans="1:14" ht="11.25" customHeight="1">
      <c r="A20" s="185"/>
      <c r="B20" s="191"/>
      <c r="C20" s="191"/>
      <c r="D20" s="191"/>
      <c r="E20" s="191"/>
      <c r="F20" s="191"/>
      <c r="G20" s="181"/>
      <c r="H20" s="181"/>
      <c r="I20" s="181"/>
      <c r="J20" s="181"/>
      <c r="K20" s="181"/>
      <c r="L20" s="22"/>
      <c r="M20" s="481" t="s">
        <v>183</v>
      </c>
      <c r="N20" s="482" t="str">
        <f t="shared" si="0"/>
        <v>OROYA NUEVA 50
(5,78 USD/MWh)</v>
      </c>
    </row>
    <row r="21" spans="1:14" ht="11.25" customHeight="1">
      <c r="A21" s="185"/>
      <c r="B21" s="942" t="str">
        <f>"Gráfico N°20: Costos marginales medios registrados en las principales barras del área norte durante el mes de "&amp;'1. Resumen'!Q4</f>
        <v>Gráfico N°20: Costos marginales medios registrados en las principales barras del área norte durante el mes de febrero</v>
      </c>
      <c r="C21" s="942"/>
      <c r="D21" s="942"/>
      <c r="E21" s="942"/>
      <c r="F21" s="942"/>
      <c r="G21" s="942"/>
      <c r="H21" s="942"/>
      <c r="I21" s="942"/>
      <c r="J21" s="181"/>
      <c r="K21" s="181"/>
      <c r="L21" s="22"/>
      <c r="M21" s="481"/>
      <c r="N21" s="482"/>
    </row>
    <row r="22" spans="1:14" ht="7.5" customHeight="1">
      <c r="A22" s="185"/>
      <c r="B22" s="187"/>
      <c r="C22" s="187"/>
      <c r="D22" s="187"/>
      <c r="E22" s="187"/>
      <c r="F22" s="187"/>
      <c r="G22" s="185"/>
      <c r="H22" s="185"/>
      <c r="I22" s="185"/>
      <c r="J22" s="185"/>
      <c r="K22" s="185"/>
      <c r="L22" s="15"/>
      <c r="M22" s="481"/>
      <c r="N22" s="482"/>
    </row>
    <row r="23" spans="1:14" ht="11.25" customHeight="1">
      <c r="A23" s="185"/>
      <c r="B23" s="187"/>
      <c r="C23" s="187"/>
      <c r="D23" s="187"/>
      <c r="E23" s="187"/>
      <c r="F23" s="187"/>
      <c r="G23" s="185"/>
      <c r="H23" s="185"/>
      <c r="I23" s="185"/>
      <c r="J23" s="185"/>
      <c r="K23" s="185"/>
      <c r="L23" s="16"/>
      <c r="M23" s="481" t="s">
        <v>184</v>
      </c>
      <c r="N23" s="482" t="str">
        <f t="shared" ref="N23:N29" si="1">M23&amp;"
("&amp;ROUND(HLOOKUP(M23,$C$45:$I$46,2,0),2)&amp;" USD/MWh)"</f>
        <v>TINTAYA NUEVA 220
(6,87 USD/MWh)</v>
      </c>
    </row>
    <row r="24" spans="1:14" ht="11.25" customHeight="1">
      <c r="A24" s="185"/>
      <c r="B24" s="190" t="s">
        <v>462</v>
      </c>
      <c r="C24" s="187"/>
      <c r="D24" s="187"/>
      <c r="E24" s="187"/>
      <c r="F24" s="187"/>
      <c r="G24" s="185"/>
      <c r="H24" s="185"/>
      <c r="I24" s="185"/>
      <c r="J24" s="185"/>
      <c r="K24" s="185"/>
      <c r="L24" s="15"/>
      <c r="M24" s="481" t="s">
        <v>185</v>
      </c>
      <c r="N24" s="482" t="str">
        <f t="shared" si="1"/>
        <v>PUNO 138
(6,53 USD/MWh)</v>
      </c>
    </row>
    <row r="25" spans="1:14" ht="6.75" customHeight="1">
      <c r="A25" s="185"/>
      <c r="B25" s="187"/>
      <c r="C25" s="187"/>
      <c r="D25" s="187"/>
      <c r="E25" s="187"/>
      <c r="F25" s="187"/>
      <c r="G25" s="185"/>
      <c r="H25" s="185"/>
      <c r="I25" s="185"/>
      <c r="J25" s="185"/>
      <c r="K25" s="185"/>
      <c r="L25" s="15"/>
      <c r="M25" s="481" t="s">
        <v>186</v>
      </c>
      <c r="N25" s="482" t="str">
        <f t="shared" si="1"/>
        <v>SOCABAYA 220
(6,54 USD/MWh)</v>
      </c>
    </row>
    <row r="26" spans="1:14" ht="25.5" customHeight="1">
      <c r="A26" s="185"/>
      <c r="B26" s="595" t="s">
        <v>170</v>
      </c>
      <c r="C26" s="592" t="s">
        <v>179</v>
      </c>
      <c r="D26" s="592" t="s">
        <v>178</v>
      </c>
      <c r="E26" s="592" t="s">
        <v>177</v>
      </c>
      <c r="F26" s="592" t="s">
        <v>181</v>
      </c>
      <c r="G26" s="592" t="s">
        <v>180</v>
      </c>
      <c r="H26" s="592" t="s">
        <v>182</v>
      </c>
      <c r="I26" s="593" t="s">
        <v>183</v>
      </c>
      <c r="J26" s="182"/>
      <c r="K26" s="181"/>
      <c r="L26" s="22"/>
      <c r="M26" s="481" t="s">
        <v>187</v>
      </c>
      <c r="N26" s="482" t="str">
        <f t="shared" si="1"/>
        <v>MOQUEGUA 138
(6,53 USD/MWh)</v>
      </c>
    </row>
    <row r="27" spans="1:14" ht="18" customHeight="1">
      <c r="A27" s="185"/>
      <c r="B27" s="596" t="s">
        <v>176</v>
      </c>
      <c r="C27" s="282">
        <v>6.5952200154437914</v>
      </c>
      <c r="D27" s="282">
        <v>6.5836562700363794</v>
      </c>
      <c r="E27" s="282">
        <v>6.5798197576723583</v>
      </c>
      <c r="F27" s="282">
        <v>6.5445229887076053</v>
      </c>
      <c r="G27" s="282">
        <v>6.4848011970048871</v>
      </c>
      <c r="H27" s="282">
        <v>5.9784157967725875</v>
      </c>
      <c r="I27" s="282">
        <v>5.7789661902960852</v>
      </c>
      <c r="J27" s="192"/>
      <c r="K27" s="181"/>
      <c r="L27" s="22"/>
      <c r="M27" s="481" t="s">
        <v>188</v>
      </c>
      <c r="N27" s="482" t="str">
        <f t="shared" si="1"/>
        <v>DOLORESPATA 138
(6,3 USD/MWh)</v>
      </c>
    </row>
    <row r="28" spans="1:14" ht="19.5" customHeight="1">
      <c r="A28" s="185"/>
      <c r="B28" s="943"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943"/>
      <c r="D28" s="943"/>
      <c r="E28" s="943"/>
      <c r="F28" s="943"/>
      <c r="G28" s="943"/>
      <c r="H28" s="943"/>
      <c r="I28" s="943"/>
      <c r="J28" s="181"/>
      <c r="K28" s="181"/>
      <c r="L28" s="22"/>
      <c r="M28" s="481" t="s">
        <v>189</v>
      </c>
      <c r="N28" s="482" t="str">
        <f t="shared" si="1"/>
        <v>COTARUSE 220
(6,24 USD/MWh)</v>
      </c>
    </row>
    <row r="29" spans="1:14" ht="11.25" customHeight="1">
      <c r="A29" s="185"/>
      <c r="B29" s="191"/>
      <c r="C29" s="191"/>
      <c r="D29" s="191"/>
      <c r="E29" s="191"/>
      <c r="F29" s="191"/>
      <c r="G29" s="191"/>
      <c r="H29" s="191"/>
      <c r="I29" s="191"/>
      <c r="J29" s="191"/>
      <c r="K29" s="191"/>
      <c r="L29" s="22"/>
      <c r="M29" s="481" t="s">
        <v>190</v>
      </c>
      <c r="N29" s="482" t="str">
        <f t="shared" si="1"/>
        <v>SAN GABAN 138
(5,77 USD/MWh)</v>
      </c>
    </row>
    <row r="30" spans="1:14" ht="11.25" customHeight="1">
      <c r="A30" s="185"/>
      <c r="B30" s="191"/>
      <c r="C30" s="191"/>
      <c r="D30" s="191"/>
      <c r="E30" s="191"/>
      <c r="F30" s="191"/>
      <c r="G30" s="191"/>
      <c r="H30" s="191"/>
      <c r="I30" s="191"/>
      <c r="J30" s="191"/>
      <c r="K30" s="191"/>
      <c r="L30" s="22"/>
      <c r="M30" s="481"/>
      <c r="N30" s="478"/>
    </row>
    <row r="31" spans="1:14" ht="11.25" customHeight="1">
      <c r="A31" s="185"/>
      <c r="B31" s="191"/>
      <c r="C31" s="191"/>
      <c r="D31" s="191"/>
      <c r="E31" s="191"/>
      <c r="F31" s="191"/>
      <c r="G31" s="191"/>
      <c r="H31" s="191"/>
      <c r="I31" s="191"/>
      <c r="J31" s="191"/>
      <c r="K31" s="191"/>
      <c r="L31" s="22"/>
      <c r="M31" s="481"/>
      <c r="N31" s="478"/>
    </row>
    <row r="32" spans="1:14" ht="11.25" customHeight="1">
      <c r="A32" s="185"/>
      <c r="B32" s="191"/>
      <c r="C32" s="191"/>
      <c r="D32" s="191"/>
      <c r="E32" s="191"/>
      <c r="F32" s="191"/>
      <c r="G32" s="191"/>
      <c r="H32" s="191"/>
      <c r="I32" s="191"/>
      <c r="J32" s="191"/>
      <c r="K32" s="191"/>
      <c r="L32" s="22"/>
      <c r="M32" s="481"/>
    </row>
    <row r="33" spans="1:12" ht="11.25" customHeight="1">
      <c r="A33" s="185"/>
      <c r="B33" s="191"/>
      <c r="C33" s="191"/>
      <c r="D33" s="191"/>
      <c r="E33" s="191"/>
      <c r="F33" s="191"/>
      <c r="G33" s="191"/>
      <c r="H33" s="191"/>
      <c r="I33" s="191"/>
      <c r="J33" s="191"/>
      <c r="K33" s="191"/>
      <c r="L33" s="22"/>
    </row>
    <row r="34" spans="1:12" ht="11.25" customHeight="1">
      <c r="A34" s="185"/>
      <c r="B34" s="191"/>
      <c r="C34" s="191"/>
      <c r="D34" s="191"/>
      <c r="E34" s="191"/>
      <c r="F34" s="191"/>
      <c r="G34" s="191"/>
      <c r="H34" s="191"/>
      <c r="I34" s="191"/>
      <c r="J34" s="191"/>
      <c r="K34" s="191"/>
      <c r="L34" s="22"/>
    </row>
    <row r="35" spans="1:12" ht="11.25" customHeight="1">
      <c r="A35" s="185"/>
      <c r="B35" s="191"/>
      <c r="C35" s="191"/>
      <c r="D35" s="191"/>
      <c r="E35" s="191"/>
      <c r="F35" s="191"/>
      <c r="G35" s="191"/>
      <c r="H35" s="191"/>
      <c r="I35" s="191"/>
      <c r="J35" s="191"/>
      <c r="K35" s="191"/>
      <c r="L35" s="38"/>
    </row>
    <row r="36" spans="1:12" ht="11.25" customHeight="1">
      <c r="A36" s="185"/>
      <c r="B36" s="191"/>
      <c r="C36" s="191"/>
      <c r="D36" s="191"/>
      <c r="E36" s="191"/>
      <c r="F36" s="191"/>
      <c r="G36" s="191"/>
      <c r="H36" s="191"/>
      <c r="I36" s="191"/>
      <c r="J36" s="191"/>
      <c r="K36" s="191"/>
      <c r="L36" s="22"/>
    </row>
    <row r="37" spans="1:12" ht="11.25" customHeight="1">
      <c r="A37" s="185"/>
      <c r="B37" s="191"/>
      <c r="C37" s="191"/>
      <c r="D37" s="191"/>
      <c r="E37" s="191"/>
      <c r="F37" s="191"/>
      <c r="G37" s="191"/>
      <c r="H37" s="191"/>
      <c r="I37" s="191"/>
      <c r="J37" s="191"/>
      <c r="K37" s="191"/>
      <c r="L37" s="22"/>
    </row>
    <row r="38" spans="1:12" ht="11.25" customHeight="1">
      <c r="A38" s="185"/>
      <c r="B38" s="191"/>
      <c r="C38" s="191"/>
      <c r="D38" s="191"/>
      <c r="E38" s="191"/>
      <c r="F38" s="191"/>
      <c r="G38" s="191"/>
      <c r="H38" s="191"/>
      <c r="I38" s="191"/>
      <c r="J38" s="191"/>
      <c r="K38" s="191"/>
      <c r="L38" s="22"/>
    </row>
    <row r="39" spans="1:12" ht="11.25" customHeight="1">
      <c r="A39" s="185"/>
      <c r="B39" s="191"/>
      <c r="C39" s="191"/>
      <c r="D39" s="191"/>
      <c r="E39" s="191"/>
      <c r="F39" s="191"/>
      <c r="G39" s="191"/>
      <c r="H39" s="191"/>
      <c r="I39" s="191"/>
      <c r="J39" s="191"/>
      <c r="K39" s="191"/>
      <c r="L39" s="22"/>
    </row>
    <row r="40" spans="1:12" ht="13.5" customHeight="1">
      <c r="A40" s="185"/>
      <c r="B40" s="941" t="str">
        <f>"Gráfico N°21: Costos marginales medios registrados en las principales barras del área centro durante el mes de "&amp;'1. Resumen'!Q4</f>
        <v>Gráfico N°21: Costos marginales medios registrados en las principales barras del área centro durante el mes de febrero</v>
      </c>
      <c r="C40" s="941"/>
      <c r="D40" s="941"/>
      <c r="E40" s="941"/>
      <c r="F40" s="941"/>
      <c r="G40" s="941"/>
      <c r="H40" s="941"/>
      <c r="I40" s="941"/>
      <c r="J40" s="191"/>
      <c r="K40" s="191"/>
      <c r="L40" s="22"/>
    </row>
    <row r="41" spans="1:12" ht="6.75" customHeight="1">
      <c r="A41" s="185"/>
      <c r="B41" s="191"/>
      <c r="C41" s="191"/>
      <c r="D41" s="191"/>
      <c r="E41" s="191"/>
      <c r="F41" s="191"/>
      <c r="G41" s="191"/>
      <c r="H41" s="191"/>
      <c r="I41" s="191"/>
      <c r="J41" s="191"/>
      <c r="K41" s="191"/>
      <c r="L41" s="22"/>
    </row>
    <row r="42" spans="1:12" ht="8.25" customHeight="1">
      <c r="A42" s="185"/>
      <c r="B42" s="187"/>
      <c r="C42" s="187"/>
      <c r="D42" s="187"/>
      <c r="E42" s="187"/>
      <c r="F42" s="187"/>
      <c r="G42" s="187"/>
      <c r="H42" s="187"/>
      <c r="I42" s="187"/>
      <c r="J42" s="187"/>
      <c r="K42" s="187"/>
      <c r="L42" s="11"/>
    </row>
    <row r="43" spans="1:12" ht="11.25" customHeight="1">
      <c r="A43" s="185"/>
      <c r="B43" s="190" t="s">
        <v>463</v>
      </c>
      <c r="C43" s="187"/>
      <c r="D43" s="187"/>
      <c r="E43" s="187"/>
      <c r="F43" s="187"/>
      <c r="G43" s="187"/>
      <c r="H43" s="187"/>
      <c r="I43" s="187"/>
      <c r="J43" s="187"/>
      <c r="K43" s="187"/>
      <c r="L43" s="11"/>
    </row>
    <row r="44" spans="1:12" ht="6.75" customHeight="1">
      <c r="A44" s="185"/>
      <c r="B44" s="187"/>
      <c r="C44" s="187"/>
      <c r="D44" s="187"/>
      <c r="E44" s="187"/>
      <c r="F44" s="187"/>
      <c r="G44" s="187"/>
      <c r="H44" s="187"/>
      <c r="I44" s="187"/>
      <c r="J44" s="187"/>
      <c r="K44" s="187"/>
      <c r="L44" s="11"/>
    </row>
    <row r="45" spans="1:12" ht="27" customHeight="1">
      <c r="A45" s="185"/>
      <c r="B45" s="595" t="s">
        <v>170</v>
      </c>
      <c r="C45" s="592" t="s">
        <v>184</v>
      </c>
      <c r="D45" s="592" t="s">
        <v>186</v>
      </c>
      <c r="E45" s="592" t="s">
        <v>187</v>
      </c>
      <c r="F45" s="592" t="s">
        <v>185</v>
      </c>
      <c r="G45" s="592" t="s">
        <v>188</v>
      </c>
      <c r="H45" s="592" t="s">
        <v>189</v>
      </c>
      <c r="I45" s="593" t="s">
        <v>190</v>
      </c>
      <c r="J45" s="182"/>
      <c r="K45" s="191"/>
    </row>
    <row r="46" spans="1:12" ht="18.75" customHeight="1">
      <c r="A46" s="185"/>
      <c r="B46" s="596" t="s">
        <v>176</v>
      </c>
      <c r="C46" s="282">
        <v>6.8669687702614999</v>
      </c>
      <c r="D46" s="282">
        <v>6.5446687448220402</v>
      </c>
      <c r="E46" s="282">
        <v>6.5346877859123849</v>
      </c>
      <c r="F46" s="282">
        <v>6.5312786459459131</v>
      </c>
      <c r="G46" s="282">
        <v>6.3028864301923653</v>
      </c>
      <c r="H46" s="282">
        <v>6.236458648737492</v>
      </c>
      <c r="I46" s="282">
        <v>5.7661780162632192</v>
      </c>
      <c r="J46" s="192"/>
      <c r="K46" s="191"/>
    </row>
    <row r="47" spans="1:12" ht="18" customHeight="1">
      <c r="A47" s="185"/>
      <c r="B47" s="943"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943"/>
      <c r="D47" s="943"/>
      <c r="E47" s="943"/>
      <c r="F47" s="943"/>
      <c r="G47" s="943"/>
      <c r="H47" s="943"/>
      <c r="I47" s="943"/>
      <c r="J47" s="192"/>
      <c r="K47" s="191"/>
    </row>
    <row r="48" spans="1:12" ht="12.75">
      <c r="A48" s="185"/>
      <c r="B48" s="191"/>
      <c r="C48" s="191"/>
      <c r="D48" s="191"/>
      <c r="E48" s="191"/>
      <c r="F48" s="191"/>
      <c r="G48" s="181"/>
      <c r="H48" s="181"/>
      <c r="I48" s="181"/>
      <c r="J48" s="181"/>
      <c r="K48" s="191"/>
    </row>
    <row r="49" spans="1:11" ht="12.75">
      <c r="A49" s="185"/>
      <c r="B49" s="181"/>
      <c r="C49" s="181"/>
      <c r="D49" s="181"/>
      <c r="E49" s="181"/>
      <c r="F49" s="181"/>
      <c r="G49" s="181"/>
      <c r="H49" s="181"/>
      <c r="I49" s="181"/>
      <c r="J49" s="181"/>
      <c r="K49" s="191"/>
    </row>
    <row r="50" spans="1:11" ht="12.75">
      <c r="A50" s="185"/>
      <c r="B50" s="111"/>
      <c r="C50" s="111"/>
      <c r="D50" s="111"/>
      <c r="E50" s="111"/>
      <c r="F50" s="111"/>
      <c r="G50" s="111"/>
      <c r="H50" s="111"/>
      <c r="I50" s="111"/>
      <c r="J50" s="111"/>
      <c r="K50" s="191"/>
    </row>
    <row r="51" spans="1:11" ht="12.75">
      <c r="A51" s="185"/>
      <c r="B51" s="111"/>
      <c r="C51" s="111"/>
      <c r="D51" s="111"/>
      <c r="E51" s="111"/>
      <c r="F51" s="111"/>
      <c r="G51" s="111"/>
      <c r="H51" s="111"/>
      <c r="I51" s="111"/>
      <c r="J51" s="111"/>
      <c r="K51" s="191"/>
    </row>
    <row r="52" spans="1:11" ht="12.75">
      <c r="A52" s="185"/>
      <c r="B52" s="111"/>
      <c r="C52" s="111"/>
      <c r="D52" s="111"/>
      <c r="E52" s="111"/>
      <c r="F52" s="111"/>
      <c r="G52" s="111"/>
      <c r="H52" s="111"/>
      <c r="I52" s="111"/>
      <c r="J52" s="111"/>
      <c r="K52" s="191"/>
    </row>
    <row r="53" spans="1:11" ht="12.75">
      <c r="A53" s="185"/>
      <c r="B53" s="111"/>
      <c r="C53" s="111"/>
      <c r="D53" s="111"/>
      <c r="E53" s="111"/>
      <c r="F53" s="111"/>
      <c r="G53" s="111"/>
      <c r="H53" s="111"/>
      <c r="I53" s="111"/>
      <c r="J53" s="111"/>
      <c r="K53" s="191"/>
    </row>
    <row r="54" spans="1:11" ht="12.75">
      <c r="A54" s="185"/>
      <c r="B54" s="111"/>
      <c r="C54" s="111"/>
      <c r="D54" s="111"/>
      <c r="E54" s="111"/>
      <c r="F54" s="111"/>
      <c r="G54" s="111"/>
      <c r="H54" s="111"/>
      <c r="I54" s="111"/>
      <c r="J54" s="111"/>
      <c r="K54" s="191"/>
    </row>
    <row r="55" spans="1:11" ht="12.75">
      <c r="A55" s="185"/>
      <c r="B55" s="111"/>
      <c r="C55" s="111"/>
      <c r="D55" s="111"/>
      <c r="E55" s="111"/>
      <c r="F55" s="111"/>
      <c r="G55" s="111"/>
      <c r="H55" s="111"/>
      <c r="I55" s="111"/>
      <c r="J55" s="111"/>
      <c r="K55" s="191"/>
    </row>
    <row r="56" spans="1:11" ht="12.75">
      <c r="A56" s="185"/>
      <c r="B56" s="181"/>
      <c r="C56" s="181"/>
      <c r="D56" s="181"/>
      <c r="E56" s="181"/>
      <c r="F56" s="181"/>
      <c r="G56" s="181"/>
      <c r="H56" s="181"/>
      <c r="I56" s="181"/>
      <c r="J56" s="181"/>
      <c r="K56" s="191"/>
    </row>
    <row r="57" spans="1:11" ht="12.75">
      <c r="A57" s="185"/>
      <c r="B57" s="181"/>
      <c r="C57" s="181"/>
      <c r="D57" s="181"/>
      <c r="E57" s="181"/>
      <c r="F57" s="181"/>
      <c r="G57" s="181"/>
      <c r="H57" s="181"/>
      <c r="I57" s="181"/>
      <c r="J57" s="181"/>
      <c r="K57" s="191"/>
    </row>
    <row r="58" spans="1:11" ht="12.75">
      <c r="A58" s="185"/>
      <c r="B58" s="941" t="str">
        <f>"Gráfico N°22: Costos marginales medios registrados en las principales barras del área sur durante el mes de "&amp;'1. Resumen'!Q4</f>
        <v>Gráfico N°22: Costos marginales medios registrados en las principales barras del área sur durante el mes de febrero</v>
      </c>
      <c r="C58" s="941"/>
      <c r="D58" s="941"/>
      <c r="E58" s="941"/>
      <c r="F58" s="941"/>
      <c r="G58" s="941"/>
      <c r="H58" s="941"/>
      <c r="I58" s="941"/>
      <c r="J58" s="181"/>
      <c r="K58" s="191"/>
    </row>
    <row r="59" spans="1:11" ht="12.75">
      <c r="A59" s="74"/>
      <c r="B59" s="136"/>
      <c r="C59" s="136"/>
      <c r="D59" s="136"/>
      <c r="E59" s="136"/>
      <c r="F59" s="136"/>
      <c r="G59" s="136"/>
      <c r="H59" s="181"/>
      <c r="I59" s="181"/>
      <c r="J59" s="181"/>
      <c r="K59" s="191"/>
    </row>
  </sheetData>
  <mergeCells count="8">
    <mergeCell ref="B58:I58"/>
    <mergeCell ref="B21:I21"/>
    <mergeCell ref="B10:I10"/>
    <mergeCell ref="A2:K2"/>
    <mergeCell ref="A4:H4"/>
    <mergeCell ref="B28:I28"/>
    <mergeCell ref="B47:I47"/>
    <mergeCell ref="B40:I40"/>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L71"/>
  <sheetViews>
    <sheetView showGridLines="0" view="pageBreakPreview" topLeftCell="A29" zoomScale="175" zoomScaleNormal="100" zoomScaleSheetLayoutView="175" zoomScalePageLayoutView="145" workbookViewId="0">
      <selection activeCell="A3" sqref="A3"/>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02" t="s">
        <v>465</v>
      </c>
      <c r="B2" s="902"/>
      <c r="C2" s="902"/>
      <c r="D2" s="902"/>
      <c r="E2" s="902"/>
      <c r="F2" s="902"/>
      <c r="G2" s="902"/>
      <c r="H2" s="902"/>
      <c r="I2" s="902"/>
      <c r="J2" s="902"/>
      <c r="K2" s="902"/>
      <c r="L2" s="902"/>
    </row>
    <row r="3" spans="1:12" ht="11.25" customHeight="1">
      <c r="A3" s="185"/>
      <c r="B3" s="185"/>
      <c r="C3" s="185"/>
      <c r="D3" s="185"/>
      <c r="E3" s="185"/>
      <c r="F3" s="185"/>
      <c r="G3" s="185"/>
      <c r="H3" s="185"/>
      <c r="I3" s="185"/>
      <c r="J3" s="185"/>
      <c r="K3" s="185"/>
      <c r="L3" s="194"/>
    </row>
    <row r="4" spans="1:12" ht="11.25" customHeight="1">
      <c r="A4" s="185"/>
      <c r="B4" s="185"/>
      <c r="C4" s="185"/>
      <c r="D4" s="185"/>
      <c r="E4" s="185"/>
      <c r="F4" s="185"/>
      <c r="G4" s="185"/>
      <c r="H4" s="185"/>
      <c r="I4" s="185"/>
      <c r="J4" s="185"/>
      <c r="K4" s="185"/>
      <c r="L4" s="17"/>
    </row>
    <row r="5" spans="1:12" ht="11.25" customHeight="1">
      <c r="A5" s="185"/>
      <c r="B5" s="185"/>
      <c r="C5" s="185"/>
      <c r="D5" s="185"/>
      <c r="E5" s="185"/>
      <c r="F5" s="185"/>
      <c r="G5" s="185"/>
      <c r="H5" s="185"/>
      <c r="I5" s="185"/>
      <c r="J5" s="185"/>
      <c r="K5" s="185"/>
      <c r="L5" s="17"/>
    </row>
    <row r="6" spans="1:12" ht="11.25" customHeight="1">
      <c r="A6" s="185"/>
      <c r="B6" s="185"/>
      <c r="C6" s="185"/>
      <c r="D6" s="185"/>
      <c r="E6" s="185"/>
      <c r="F6" s="185"/>
      <c r="G6" s="185"/>
      <c r="H6" s="185"/>
      <c r="I6" s="185"/>
      <c r="J6" s="185"/>
      <c r="K6" s="185"/>
      <c r="L6" s="17"/>
    </row>
    <row r="7" spans="1:12" ht="11.25" customHeight="1">
      <c r="A7" s="185"/>
      <c r="B7" s="186"/>
      <c r="C7" s="185"/>
      <c r="D7" s="185"/>
      <c r="E7" s="185"/>
      <c r="F7" s="185"/>
      <c r="G7" s="185"/>
      <c r="H7" s="185"/>
      <c r="I7" s="185"/>
      <c r="J7" s="185"/>
      <c r="K7" s="185"/>
      <c r="L7" s="17"/>
    </row>
    <row r="8" spans="1:12" ht="11.25" customHeight="1">
      <c r="A8" s="185"/>
      <c r="B8" s="186"/>
      <c r="C8" s="185"/>
      <c r="D8" s="185"/>
      <c r="E8" s="185"/>
      <c r="F8" s="185"/>
      <c r="G8" s="185"/>
      <c r="H8" s="185"/>
      <c r="I8" s="185"/>
      <c r="J8" s="185"/>
      <c r="K8" s="185"/>
      <c r="L8" s="17"/>
    </row>
    <row r="9" spans="1:12" ht="11.25" customHeight="1">
      <c r="A9" s="185"/>
      <c r="B9" s="186"/>
      <c r="C9" s="185"/>
      <c r="D9" s="185"/>
      <c r="E9" s="185"/>
      <c r="F9" s="185"/>
      <c r="G9" s="185"/>
      <c r="H9" s="185"/>
      <c r="I9" s="185"/>
      <c r="J9" s="185"/>
      <c r="K9" s="185"/>
      <c r="L9" s="17"/>
    </row>
    <row r="10" spans="1:12" ht="11.25" customHeight="1">
      <c r="A10" s="185"/>
      <c r="B10" s="185"/>
      <c r="C10" s="185"/>
      <c r="D10" s="185"/>
      <c r="E10" s="185"/>
      <c r="F10" s="185"/>
      <c r="G10" s="185"/>
      <c r="H10" s="185"/>
      <c r="I10" s="185"/>
      <c r="J10" s="185"/>
      <c r="K10" s="185"/>
      <c r="L10" s="17"/>
    </row>
    <row r="11" spans="1:12" ht="11.25" customHeight="1">
      <c r="A11" s="185"/>
      <c r="B11" s="185"/>
      <c r="C11" s="185"/>
      <c r="D11" s="185"/>
      <c r="E11" s="185"/>
      <c r="F11" s="185"/>
      <c r="G11" s="185"/>
      <c r="H11" s="185"/>
      <c r="I11" s="185"/>
      <c r="J11" s="185"/>
      <c r="K11" s="185"/>
      <c r="L11" s="17"/>
    </row>
    <row r="12" spans="1:12" ht="11.25" customHeight="1">
      <c r="A12" s="185"/>
      <c r="B12" s="185"/>
      <c r="C12" s="185"/>
      <c r="D12" s="185"/>
      <c r="E12" s="185"/>
      <c r="F12" s="185"/>
      <c r="G12" s="185"/>
      <c r="H12" s="185"/>
      <c r="I12" s="185"/>
      <c r="J12" s="185"/>
      <c r="K12" s="185"/>
      <c r="L12" s="17"/>
    </row>
    <row r="13" spans="1:12" ht="11.25" customHeight="1">
      <c r="A13" s="185"/>
      <c r="B13" s="185"/>
      <c r="C13" s="185"/>
      <c r="D13" s="185"/>
      <c r="E13" s="185"/>
      <c r="F13" s="185"/>
      <c r="G13" s="185"/>
      <c r="H13" s="185"/>
      <c r="I13" s="185"/>
      <c r="J13" s="185"/>
      <c r="K13" s="185"/>
      <c r="L13" s="17"/>
    </row>
    <row r="14" spans="1:12" ht="11.25" customHeight="1">
      <c r="A14" s="185"/>
      <c r="B14" s="185"/>
      <c r="C14" s="185"/>
      <c r="D14" s="185"/>
      <c r="E14" s="185"/>
      <c r="F14" s="185"/>
      <c r="G14" s="185"/>
      <c r="H14" s="185"/>
      <c r="I14" s="185"/>
      <c r="J14" s="185"/>
      <c r="K14" s="185"/>
      <c r="L14" s="17"/>
    </row>
    <row r="15" spans="1:12" ht="11.25" customHeight="1">
      <c r="A15" s="185"/>
      <c r="B15" s="185"/>
      <c r="C15" s="185"/>
      <c r="D15" s="185"/>
      <c r="E15" s="185"/>
      <c r="F15" s="185"/>
      <c r="G15" s="185"/>
      <c r="H15" s="185"/>
      <c r="I15" s="185"/>
      <c r="J15" s="185"/>
      <c r="K15" s="185"/>
      <c r="L15" s="17"/>
    </row>
    <row r="16" spans="1:12" ht="11.25" customHeight="1">
      <c r="A16" s="185"/>
      <c r="B16" s="185"/>
      <c r="C16" s="185"/>
      <c r="D16" s="185"/>
      <c r="E16" s="185"/>
      <c r="F16" s="185"/>
      <c r="G16" s="185"/>
      <c r="H16" s="185"/>
      <c r="I16" s="185"/>
      <c r="J16" s="185"/>
      <c r="K16" s="185"/>
      <c r="L16" s="17"/>
    </row>
    <row r="17" spans="1:12" ht="11.25" customHeight="1">
      <c r="A17" s="185"/>
      <c r="B17" s="185"/>
      <c r="C17" s="185"/>
      <c r="D17" s="185"/>
      <c r="E17" s="185"/>
      <c r="F17" s="185"/>
      <c r="G17" s="185"/>
      <c r="H17" s="185"/>
      <c r="I17" s="185"/>
      <c r="J17" s="185"/>
      <c r="K17" s="185"/>
      <c r="L17" s="17"/>
    </row>
    <row r="18" spans="1:12" ht="11.25" customHeight="1">
      <c r="A18" s="185"/>
      <c r="B18" s="185"/>
      <c r="C18" s="185"/>
      <c r="D18" s="185"/>
      <c r="E18" s="185"/>
      <c r="F18" s="185"/>
      <c r="G18" s="185"/>
      <c r="H18" s="185"/>
      <c r="I18" s="185"/>
      <c r="J18" s="185"/>
      <c r="K18" s="185"/>
      <c r="L18" s="194"/>
    </row>
    <row r="19" spans="1:12" ht="11.25" customHeight="1">
      <c r="A19" s="185"/>
      <c r="B19" s="185"/>
      <c r="C19" s="185"/>
      <c r="D19" s="185"/>
      <c r="E19" s="185"/>
      <c r="F19" s="185"/>
      <c r="G19" s="185"/>
      <c r="H19" s="185"/>
      <c r="I19" s="185"/>
      <c r="J19" s="185"/>
      <c r="K19" s="185"/>
      <c r="L19" s="194"/>
    </row>
    <row r="20" spans="1:12" ht="11.25" customHeight="1">
      <c r="A20" s="185"/>
      <c r="B20" s="185"/>
      <c r="C20" s="185"/>
      <c r="D20" s="185"/>
      <c r="E20" s="185"/>
      <c r="F20" s="185"/>
      <c r="G20" s="185"/>
      <c r="H20" s="185"/>
      <c r="I20" s="185"/>
      <c r="J20" s="185"/>
      <c r="K20" s="185"/>
      <c r="L20" s="194"/>
    </row>
    <row r="21" spans="1:12" ht="11.25" customHeight="1">
      <c r="A21" s="185"/>
      <c r="B21" s="185"/>
      <c r="C21" s="185"/>
      <c r="D21" s="185"/>
      <c r="E21" s="185"/>
      <c r="F21" s="185"/>
      <c r="G21" s="185"/>
      <c r="H21" s="185"/>
      <c r="I21" s="185"/>
      <c r="J21" s="185"/>
      <c r="K21" s="185"/>
      <c r="L21" s="194"/>
    </row>
    <row r="22" spans="1:12" ht="11.25" customHeight="1">
      <c r="A22" s="185"/>
      <c r="B22" s="185"/>
      <c r="C22" s="185"/>
      <c r="D22" s="185"/>
      <c r="E22" s="185"/>
      <c r="F22" s="185"/>
      <c r="G22" s="185"/>
      <c r="H22" s="185"/>
      <c r="I22" s="185"/>
      <c r="J22" s="185"/>
      <c r="K22" s="185"/>
      <c r="L22" s="194"/>
    </row>
    <row r="23" spans="1:12" ht="11.25" customHeight="1">
      <c r="A23" s="185"/>
      <c r="B23" s="185"/>
      <c r="C23" s="185"/>
      <c r="D23" s="185"/>
      <c r="E23" s="185"/>
      <c r="F23" s="185"/>
      <c r="G23" s="185"/>
      <c r="H23" s="185"/>
      <c r="I23" s="185"/>
      <c r="J23" s="185"/>
      <c r="K23" s="185"/>
      <c r="L23" s="194"/>
    </row>
    <row r="24" spans="1:12" ht="11.25" customHeight="1">
      <c r="A24" s="185"/>
      <c r="B24" s="185"/>
      <c r="C24" s="185"/>
      <c r="D24" s="185"/>
      <c r="E24" s="185"/>
      <c r="F24" s="185"/>
      <c r="G24" s="185"/>
      <c r="H24" s="185"/>
      <c r="I24" s="185"/>
      <c r="J24" s="185"/>
      <c r="K24" s="185"/>
      <c r="L24" s="194"/>
    </row>
    <row r="25" spans="1:12" ht="11.25" customHeight="1">
      <c r="A25" s="185"/>
      <c r="B25" s="185"/>
      <c r="C25" s="185"/>
      <c r="D25" s="185"/>
      <c r="E25" s="185"/>
      <c r="F25" s="185"/>
      <c r="G25" s="185"/>
      <c r="H25" s="185"/>
      <c r="I25" s="185"/>
      <c r="J25" s="185"/>
      <c r="K25" s="185"/>
      <c r="L25" s="194"/>
    </row>
    <row r="26" spans="1:12" ht="11.25" customHeight="1">
      <c r="A26" s="185"/>
      <c r="B26" s="185"/>
      <c r="C26" s="185"/>
      <c r="D26" s="185"/>
      <c r="E26" s="185"/>
      <c r="F26" s="185"/>
      <c r="G26" s="185"/>
      <c r="H26" s="185"/>
      <c r="I26" s="185"/>
      <c r="J26" s="185"/>
      <c r="K26" s="185"/>
      <c r="L26" s="194"/>
    </row>
    <row r="27" spans="1:12" ht="11.25" customHeight="1">
      <c r="A27" s="185"/>
      <c r="B27" s="185"/>
      <c r="C27" s="185"/>
      <c r="D27" s="185"/>
      <c r="E27" s="185"/>
      <c r="F27" s="185"/>
      <c r="G27" s="185"/>
      <c r="H27" s="185"/>
      <c r="I27" s="185"/>
      <c r="J27" s="185"/>
      <c r="K27" s="185"/>
      <c r="L27" s="194"/>
    </row>
    <row r="28" spans="1:12" ht="11.25" customHeight="1">
      <c r="A28" s="185"/>
      <c r="B28" s="185"/>
      <c r="C28" s="185"/>
      <c r="D28" s="185"/>
      <c r="E28" s="185"/>
      <c r="F28" s="185"/>
      <c r="G28" s="185"/>
      <c r="H28" s="185"/>
      <c r="I28" s="185"/>
      <c r="J28" s="185"/>
      <c r="K28" s="185"/>
      <c r="L28" s="194"/>
    </row>
    <row r="29" spans="1:12" ht="11.25" customHeight="1">
      <c r="A29" s="185"/>
      <c r="B29" s="185"/>
      <c r="C29" s="185"/>
      <c r="D29" s="185"/>
      <c r="E29" s="185"/>
      <c r="F29" s="185"/>
      <c r="G29" s="185"/>
      <c r="H29" s="185"/>
      <c r="I29" s="185"/>
      <c r="J29" s="185"/>
      <c r="K29" s="185"/>
      <c r="L29" s="194"/>
    </row>
    <row r="30" spans="1:12" ht="11.25" customHeight="1">
      <c r="A30" s="185"/>
      <c r="B30" s="185"/>
      <c r="C30" s="185"/>
      <c r="D30" s="185"/>
      <c r="E30" s="185"/>
      <c r="F30" s="185"/>
      <c r="G30" s="185"/>
      <c r="H30" s="185"/>
      <c r="I30" s="185"/>
      <c r="J30" s="185"/>
      <c r="K30" s="185"/>
      <c r="L30" s="194"/>
    </row>
    <row r="31" spans="1:12" ht="11.25" customHeight="1">
      <c r="A31" s="185"/>
      <c r="B31" s="185"/>
      <c r="C31" s="185"/>
      <c r="D31" s="185"/>
      <c r="E31" s="185"/>
      <c r="F31" s="185"/>
      <c r="G31" s="185"/>
      <c r="H31" s="185"/>
      <c r="I31" s="185"/>
      <c r="J31" s="185"/>
      <c r="K31" s="185"/>
      <c r="L31" s="194"/>
    </row>
    <row r="32" spans="1:12" ht="11.25" customHeight="1">
      <c r="A32" s="185"/>
      <c r="B32" s="185"/>
      <c r="C32" s="185"/>
      <c r="D32" s="185"/>
      <c r="E32" s="185"/>
      <c r="F32" s="185"/>
      <c r="G32" s="185"/>
      <c r="H32" s="185"/>
      <c r="I32" s="185"/>
      <c r="J32" s="185"/>
      <c r="K32" s="185"/>
      <c r="L32" s="73"/>
    </row>
    <row r="33" spans="1:12" ht="11.25" customHeight="1">
      <c r="A33" s="185"/>
      <c r="B33" s="185"/>
      <c r="C33" s="185"/>
      <c r="D33" s="185"/>
      <c r="E33" s="185"/>
      <c r="F33" s="185"/>
      <c r="G33" s="185"/>
      <c r="H33" s="185"/>
      <c r="I33" s="185"/>
      <c r="J33" s="185"/>
      <c r="K33" s="185"/>
      <c r="L33" s="73"/>
    </row>
    <row r="34" spans="1:12" ht="11.25" customHeight="1">
      <c r="A34" s="185"/>
      <c r="B34" s="185"/>
      <c r="C34" s="185"/>
      <c r="D34" s="185"/>
      <c r="E34" s="185"/>
      <c r="F34" s="185"/>
      <c r="G34" s="185"/>
      <c r="H34" s="185"/>
      <c r="I34" s="185"/>
      <c r="J34" s="185"/>
      <c r="K34" s="185"/>
      <c r="L34" s="73"/>
    </row>
    <row r="35" spans="1:12" ht="11.25" customHeight="1">
      <c r="A35" s="185"/>
      <c r="B35" s="185"/>
      <c r="C35" s="185"/>
      <c r="D35" s="185"/>
      <c r="E35" s="185"/>
      <c r="F35" s="185"/>
      <c r="G35" s="185"/>
      <c r="H35" s="185"/>
      <c r="I35" s="185"/>
      <c r="J35" s="185"/>
      <c r="K35" s="185"/>
      <c r="L35" s="73"/>
    </row>
    <row r="36" spans="1:12" ht="11.25" customHeight="1">
      <c r="A36" s="185"/>
      <c r="B36" s="185"/>
      <c r="C36" s="185"/>
      <c r="D36" s="185"/>
      <c r="E36" s="185"/>
      <c r="F36" s="185"/>
      <c r="G36" s="185"/>
      <c r="H36" s="185"/>
      <c r="I36" s="185"/>
      <c r="J36" s="185"/>
      <c r="K36" s="185"/>
      <c r="L36" s="73"/>
    </row>
    <row r="37" spans="1:12" ht="11.25" customHeight="1">
      <c r="A37" s="185"/>
      <c r="B37" s="185"/>
      <c r="C37" s="185"/>
      <c r="D37" s="185"/>
      <c r="E37" s="185"/>
      <c r="F37" s="185"/>
      <c r="G37" s="185"/>
      <c r="H37" s="185"/>
      <c r="I37" s="185"/>
      <c r="J37" s="185"/>
      <c r="K37" s="185"/>
      <c r="L37" s="73"/>
    </row>
    <row r="38" spans="1:12" ht="11.25" customHeight="1">
      <c r="A38" s="185"/>
      <c r="B38" s="185"/>
      <c r="C38" s="185"/>
      <c r="D38" s="185"/>
      <c r="E38" s="185"/>
      <c r="F38" s="185"/>
      <c r="G38" s="185"/>
      <c r="H38" s="185"/>
      <c r="I38" s="185"/>
      <c r="J38" s="185"/>
      <c r="K38" s="185"/>
      <c r="L38" s="73"/>
    </row>
    <row r="39" spans="1:12" ht="11.25" customHeight="1">
      <c r="A39" s="185"/>
      <c r="B39" s="185"/>
      <c r="C39" s="185"/>
      <c r="D39" s="185"/>
      <c r="E39" s="185"/>
      <c r="F39" s="185"/>
      <c r="G39" s="185"/>
      <c r="H39" s="185"/>
      <c r="I39" s="185"/>
      <c r="J39" s="185"/>
      <c r="K39" s="185"/>
      <c r="L39" s="73"/>
    </row>
    <row r="40" spans="1:12" ht="11.25" customHeight="1">
      <c r="A40" s="185"/>
      <c r="B40" s="185"/>
      <c r="C40" s="185"/>
      <c r="D40" s="185"/>
      <c r="E40" s="185"/>
      <c r="F40" s="185"/>
      <c r="G40" s="185"/>
      <c r="H40" s="185"/>
      <c r="I40" s="185"/>
      <c r="J40" s="185"/>
      <c r="K40" s="185"/>
      <c r="L40" s="73"/>
    </row>
    <row r="41" spans="1:12" ht="11.25" customHeight="1">
      <c r="A41" s="185"/>
      <c r="B41" s="185"/>
      <c r="C41" s="185"/>
      <c r="D41" s="185"/>
      <c r="E41" s="185"/>
      <c r="F41" s="185"/>
      <c r="G41" s="185"/>
      <c r="H41" s="185"/>
      <c r="I41" s="185"/>
      <c r="J41" s="185"/>
      <c r="K41" s="185"/>
      <c r="L41" s="73"/>
    </row>
    <row r="42" spans="1:12" ht="11.25" customHeight="1">
      <c r="A42" s="185"/>
      <c r="B42" s="185"/>
      <c r="C42" s="185"/>
      <c r="D42" s="185"/>
      <c r="E42" s="185"/>
      <c r="F42" s="185"/>
      <c r="G42" s="185"/>
      <c r="H42" s="185"/>
      <c r="I42" s="185"/>
      <c r="J42" s="185"/>
      <c r="K42" s="185"/>
      <c r="L42" s="73"/>
    </row>
    <row r="43" spans="1:12" ht="11.25" customHeight="1">
      <c r="A43" s="185"/>
      <c r="B43" s="185"/>
      <c r="C43" s="185"/>
      <c r="D43" s="185"/>
      <c r="E43" s="185"/>
      <c r="F43" s="185"/>
      <c r="G43" s="185"/>
      <c r="H43" s="185"/>
      <c r="I43" s="185"/>
      <c r="J43" s="185"/>
      <c r="K43" s="185"/>
      <c r="L43" s="73"/>
    </row>
    <row r="44" spans="1:12" ht="11.25" customHeight="1">
      <c r="A44" s="74"/>
      <c r="B44" s="74"/>
      <c r="C44" s="74"/>
      <c r="D44" s="74"/>
      <c r="E44" s="74"/>
      <c r="F44" s="74"/>
      <c r="G44" s="74"/>
      <c r="H44" s="74"/>
      <c r="I44" s="74"/>
      <c r="J44" s="74"/>
      <c r="K44" s="185"/>
      <c r="L44" s="73"/>
    </row>
    <row r="45" spans="1:12" ht="11.25" customHeight="1">
      <c r="A45" s="74"/>
      <c r="B45" s="74"/>
      <c r="C45" s="74"/>
      <c r="D45" s="74"/>
      <c r="E45" s="74"/>
      <c r="F45" s="74"/>
      <c r="G45" s="74"/>
      <c r="H45" s="74"/>
      <c r="I45" s="74"/>
      <c r="J45" s="74"/>
      <c r="K45" s="185"/>
      <c r="L45" s="73"/>
    </row>
    <row r="46" spans="1:12" ht="11.25" customHeight="1">
      <c r="A46" s="74"/>
      <c r="B46" s="74"/>
      <c r="C46" s="74"/>
      <c r="D46" s="74"/>
      <c r="E46" s="74"/>
      <c r="F46" s="74"/>
      <c r="G46" s="74"/>
      <c r="H46" s="74"/>
      <c r="I46" s="74"/>
      <c r="J46" s="74"/>
      <c r="K46" s="185"/>
      <c r="L46" s="73"/>
    </row>
    <row r="47" spans="1:12" ht="11.25" customHeight="1">
      <c r="A47" s="74"/>
      <c r="B47" s="74"/>
      <c r="C47" s="74"/>
      <c r="D47" s="74"/>
      <c r="E47" s="74"/>
      <c r="F47" s="74"/>
      <c r="G47" s="74"/>
      <c r="H47" s="74"/>
      <c r="I47" s="74"/>
      <c r="J47" s="74"/>
      <c r="K47" s="185"/>
      <c r="L47" s="73"/>
    </row>
    <row r="48" spans="1:12" ht="11.25" customHeight="1">
      <c r="A48" s="74"/>
      <c r="B48" s="74"/>
      <c r="C48" s="74"/>
      <c r="D48" s="74"/>
      <c r="E48" s="74"/>
      <c r="F48" s="74"/>
      <c r="G48" s="74"/>
      <c r="H48" s="74"/>
      <c r="I48" s="74"/>
      <c r="J48" s="74"/>
      <c r="K48" s="185"/>
      <c r="L48" s="73"/>
    </row>
    <row r="49" spans="1:12" ht="11.25" customHeight="1">
      <c r="A49" s="74"/>
      <c r="B49" s="74"/>
      <c r="C49" s="74"/>
      <c r="D49" s="74"/>
      <c r="E49" s="74"/>
      <c r="F49" s="74"/>
      <c r="G49" s="74"/>
      <c r="H49" s="74"/>
      <c r="I49" s="74"/>
      <c r="J49" s="74"/>
      <c r="K49" s="185"/>
      <c r="L49" s="73"/>
    </row>
    <row r="50" spans="1:12" ht="12.75">
      <c r="A50" s="74"/>
      <c r="B50" s="74"/>
      <c r="C50" s="74"/>
      <c r="D50" s="74"/>
      <c r="E50" s="74"/>
      <c r="F50" s="74"/>
      <c r="G50" s="74"/>
      <c r="H50" s="74"/>
      <c r="I50" s="74"/>
      <c r="J50" s="74"/>
      <c r="K50" s="185"/>
      <c r="L50" s="73"/>
    </row>
    <row r="51" spans="1:12" ht="12.75">
      <c r="A51" s="74"/>
      <c r="B51" s="74"/>
      <c r="C51" s="74"/>
      <c r="D51" s="74"/>
      <c r="E51" s="74"/>
      <c r="F51" s="74"/>
      <c r="G51" s="74"/>
      <c r="H51" s="74"/>
      <c r="I51" s="74"/>
      <c r="J51" s="74"/>
      <c r="K51" s="185"/>
      <c r="L51" s="73"/>
    </row>
    <row r="52" spans="1:12" ht="12.75">
      <c r="A52" s="74"/>
      <c r="B52" s="74"/>
      <c r="C52" s="74"/>
      <c r="D52" s="74"/>
      <c r="E52" s="74"/>
      <c r="F52" s="74"/>
      <c r="G52" s="74"/>
      <c r="H52" s="74"/>
      <c r="I52" s="74"/>
      <c r="J52" s="74"/>
      <c r="K52" s="185"/>
      <c r="L52" s="73"/>
    </row>
    <row r="53" spans="1:12" ht="12.75">
      <c r="A53" s="74"/>
      <c r="B53" s="74"/>
      <c r="C53" s="74"/>
      <c r="D53" s="74"/>
      <c r="E53" s="74"/>
      <c r="F53" s="74"/>
      <c r="G53" s="74"/>
      <c r="H53" s="74"/>
      <c r="I53" s="74"/>
      <c r="J53" s="74"/>
      <c r="K53" s="185"/>
      <c r="L53" s="73"/>
    </row>
    <row r="54" spans="1:12" ht="12.75">
      <c r="A54" s="74"/>
      <c r="B54" s="74"/>
      <c r="C54" s="74"/>
      <c r="D54" s="74"/>
      <c r="E54" s="74"/>
      <c r="F54" s="74"/>
      <c r="G54" s="74"/>
      <c r="H54" s="74"/>
      <c r="I54" s="74"/>
      <c r="J54" s="74"/>
      <c r="K54" s="185"/>
      <c r="L54" s="73"/>
    </row>
    <row r="55" spans="1:12" ht="12.75">
      <c r="A55" s="74"/>
      <c r="B55" s="74"/>
      <c r="C55" s="74"/>
      <c r="D55" s="74"/>
      <c r="E55" s="74"/>
      <c r="F55" s="74"/>
      <c r="G55" s="74"/>
      <c r="H55" s="74"/>
      <c r="I55" s="74"/>
      <c r="J55" s="74"/>
      <c r="K55" s="185"/>
      <c r="L55" s="73"/>
    </row>
    <row r="56" spans="1:12" ht="12.75">
      <c r="A56" s="74"/>
      <c r="B56" s="74"/>
      <c r="C56" s="74"/>
      <c r="D56" s="74"/>
      <c r="E56" s="74"/>
      <c r="F56" s="74"/>
      <c r="G56" s="74"/>
      <c r="H56" s="74"/>
      <c r="I56" s="74"/>
      <c r="J56" s="74"/>
      <c r="K56" s="185"/>
      <c r="L56" s="73"/>
    </row>
    <row r="57" spans="1:12" ht="12.75">
      <c r="A57" s="74"/>
      <c r="B57" s="74"/>
      <c r="C57" s="74"/>
      <c r="D57" s="74"/>
      <c r="E57" s="74"/>
      <c r="F57" s="74"/>
      <c r="G57" s="74"/>
      <c r="H57" s="74"/>
      <c r="I57" s="74"/>
      <c r="J57" s="74"/>
      <c r="K57" s="185"/>
      <c r="L57" s="73"/>
    </row>
    <row r="58" spans="1:12" ht="12.75">
      <c r="A58" s="74"/>
      <c r="B58" s="74"/>
      <c r="C58" s="74"/>
      <c r="D58" s="74"/>
      <c r="E58" s="74"/>
      <c r="F58" s="74"/>
      <c r="G58" s="74"/>
      <c r="H58" s="74"/>
      <c r="I58" s="74"/>
      <c r="J58" s="74"/>
      <c r="K58" s="185"/>
      <c r="L58" s="73"/>
    </row>
    <row r="59" spans="1:12" ht="12.75">
      <c r="A59" s="74"/>
      <c r="B59" s="74"/>
      <c r="C59" s="74"/>
      <c r="D59" s="74"/>
      <c r="E59" s="74"/>
      <c r="F59" s="74"/>
      <c r="G59" s="74"/>
      <c r="H59" s="74"/>
      <c r="I59" s="74"/>
      <c r="J59" s="74"/>
      <c r="K59" s="185"/>
      <c r="L59" s="73"/>
    </row>
    <row r="60" spans="1:12" ht="12.75">
      <c r="A60" s="74"/>
      <c r="B60" s="74"/>
      <c r="C60" s="74"/>
      <c r="D60" s="74"/>
      <c r="E60" s="74"/>
      <c r="F60" s="74"/>
      <c r="G60" s="74"/>
      <c r="H60" s="74"/>
      <c r="I60" s="74"/>
      <c r="J60" s="74"/>
      <c r="K60" s="185"/>
      <c r="L60" s="73"/>
    </row>
    <row r="61" spans="1:12" ht="12.75">
      <c r="A61" s="74"/>
      <c r="B61" s="74"/>
      <c r="C61" s="74"/>
      <c r="D61" s="74"/>
      <c r="E61" s="74"/>
      <c r="F61" s="74"/>
      <c r="G61" s="74"/>
      <c r="H61" s="74"/>
      <c r="I61" s="74"/>
      <c r="J61" s="74"/>
      <c r="K61" s="185"/>
      <c r="L61" s="73"/>
    </row>
    <row r="62" spans="1:12" ht="12.75">
      <c r="A62" s="74"/>
      <c r="B62" s="74"/>
      <c r="C62" s="74"/>
      <c r="D62" s="74"/>
      <c r="E62" s="74"/>
      <c r="F62" s="74"/>
      <c r="G62" s="74"/>
      <c r="H62" s="74"/>
      <c r="I62" s="74"/>
      <c r="J62" s="74"/>
      <c r="K62" s="185"/>
      <c r="L62" s="73"/>
    </row>
    <row r="63" spans="1:12" ht="12.75">
      <c r="A63" s="74"/>
      <c r="B63" s="74"/>
      <c r="C63" s="74"/>
      <c r="D63" s="74"/>
      <c r="E63" s="74"/>
      <c r="F63" s="74"/>
      <c r="G63" s="74"/>
      <c r="H63" s="74"/>
      <c r="I63" s="74"/>
      <c r="J63" s="74"/>
      <c r="K63" s="185"/>
      <c r="L63" s="73"/>
    </row>
    <row r="64" spans="1:12" ht="12.75">
      <c r="A64" s="74"/>
      <c r="B64" s="74"/>
      <c r="C64" s="74"/>
      <c r="D64" s="74"/>
      <c r="E64" s="74"/>
      <c r="F64" s="74"/>
      <c r="G64" s="74"/>
      <c r="H64" s="74"/>
      <c r="I64" s="74"/>
      <c r="J64" s="74"/>
      <c r="K64" s="185"/>
      <c r="L64" s="73"/>
    </row>
    <row r="65" spans="1:12" ht="12.75">
      <c r="A65" s="74"/>
      <c r="B65" s="74"/>
      <c r="C65" s="74"/>
      <c r="D65" s="74"/>
      <c r="E65" s="74"/>
      <c r="F65" s="74"/>
      <c r="G65" s="74"/>
      <c r="H65" s="74"/>
      <c r="I65" s="74"/>
      <c r="J65" s="74"/>
      <c r="K65" s="185"/>
      <c r="L65" s="73"/>
    </row>
    <row r="66" spans="1:12" ht="12.75">
      <c r="A66" s="74"/>
      <c r="B66" s="74"/>
      <c r="C66" s="74"/>
      <c r="D66" s="74"/>
      <c r="E66" s="74"/>
      <c r="F66" s="74"/>
      <c r="G66" s="74"/>
      <c r="H66" s="74"/>
      <c r="I66" s="74"/>
      <c r="J66" s="74"/>
      <c r="K66" s="185"/>
      <c r="L66" s="73"/>
    </row>
    <row r="67" spans="1:12" ht="12.75">
      <c r="A67" s="74"/>
      <c r="B67" s="74"/>
      <c r="C67" s="74"/>
      <c r="D67" s="74"/>
      <c r="E67" s="74"/>
      <c r="F67" s="74"/>
      <c r="G67" s="74"/>
      <c r="H67" s="74"/>
      <c r="I67" s="74"/>
      <c r="J67" s="74"/>
      <c r="K67" s="185"/>
      <c r="L67" s="73"/>
    </row>
    <row r="68" spans="1:12" ht="12.75">
      <c r="A68" s="74"/>
      <c r="B68" s="74"/>
      <c r="C68" s="74"/>
      <c r="D68" s="74"/>
      <c r="E68" s="74"/>
      <c r="F68" s="74"/>
      <c r="G68" s="74"/>
      <c r="H68" s="74"/>
      <c r="I68" s="74"/>
      <c r="J68" s="74"/>
      <c r="K68" s="185"/>
      <c r="L68" s="73"/>
    </row>
    <row r="69" spans="1:12" ht="12.75">
      <c r="A69" s="74"/>
      <c r="B69" s="74"/>
      <c r="C69" s="74"/>
      <c r="D69" s="74"/>
      <c r="E69" s="74"/>
      <c r="F69" s="74"/>
      <c r="G69" s="74"/>
      <c r="H69" s="74"/>
      <c r="I69" s="74"/>
      <c r="J69" s="74"/>
      <c r="K69" s="185"/>
      <c r="L69" s="73"/>
    </row>
    <row r="70" spans="1:12" ht="12.75">
      <c r="A70" s="195"/>
      <c r="B70" s="195"/>
      <c r="C70" s="195"/>
      <c r="D70" s="195"/>
      <c r="E70" s="195"/>
      <c r="F70" s="195"/>
      <c r="G70" s="195"/>
      <c r="H70" s="195"/>
      <c r="I70" s="195"/>
      <c r="J70" s="195"/>
      <c r="K70" s="185"/>
      <c r="L70" s="73"/>
    </row>
    <row r="71" spans="1:12" ht="12.75">
      <c r="A71" s="74"/>
      <c r="B71" s="73"/>
      <c r="C71" s="73"/>
      <c r="D71" s="73"/>
      <c r="E71" s="73"/>
      <c r="F71" s="73"/>
      <c r="G71" s="73"/>
      <c r="H71" s="73"/>
      <c r="I71" s="73"/>
      <c r="J71" s="73"/>
      <c r="K71" s="185"/>
      <c r="L71" s="73"/>
    </row>
  </sheetData>
  <mergeCells count="1">
    <mergeCell ref="A2:L2"/>
  </mergeCells>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L64"/>
  <sheetViews>
    <sheetView showGridLines="0" view="pageBreakPreview" zoomScale="115" zoomScaleNormal="100" zoomScaleSheetLayoutView="115" zoomScalePageLayoutView="115" workbookViewId="0">
      <selection activeCell="A3" sqref="A3"/>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44" t="s">
        <v>464</v>
      </c>
      <c r="B2" s="944"/>
      <c r="C2" s="944"/>
      <c r="D2" s="944"/>
      <c r="E2" s="944"/>
      <c r="F2" s="944"/>
      <c r="G2" s="944"/>
      <c r="H2" s="944"/>
      <c r="I2" s="205"/>
      <c r="J2" s="205"/>
      <c r="K2" s="205"/>
    </row>
    <row r="3" spans="1:12" ht="3" customHeight="1">
      <c r="A3" s="77"/>
      <c r="B3" s="77"/>
      <c r="C3" s="77"/>
      <c r="D3" s="77"/>
      <c r="E3" s="77"/>
      <c r="F3" s="77"/>
      <c r="G3" s="77"/>
      <c r="H3" s="77"/>
      <c r="I3" s="206"/>
      <c r="J3" s="206"/>
      <c r="K3" s="206"/>
      <c r="L3" s="36"/>
    </row>
    <row r="4" spans="1:12" ht="10.5" customHeight="1">
      <c r="A4" s="935" t="s">
        <v>466</v>
      </c>
      <c r="B4" s="935"/>
      <c r="C4" s="935"/>
      <c r="D4" s="935"/>
      <c r="E4" s="935"/>
      <c r="F4" s="935"/>
      <c r="G4" s="935"/>
      <c r="H4" s="935"/>
      <c r="I4" s="197"/>
      <c r="J4" s="197"/>
      <c r="K4" s="197"/>
      <c r="L4" s="36"/>
    </row>
    <row r="5" spans="1:12" ht="11.25" customHeight="1">
      <c r="A5" s="77"/>
      <c r="B5" s="165"/>
      <c r="C5" s="78"/>
      <c r="D5" s="79"/>
      <c r="E5" s="79"/>
      <c r="F5" s="80"/>
      <c r="G5" s="76"/>
      <c r="H5" s="76"/>
      <c r="I5" s="198"/>
      <c r="J5" s="198"/>
      <c r="K5" s="198"/>
      <c r="L5" s="207"/>
    </row>
    <row r="6" spans="1:12" ht="30.75" customHeight="1">
      <c r="A6" s="631" t="s">
        <v>191</v>
      </c>
      <c r="B6" s="629" t="s">
        <v>192</v>
      </c>
      <c r="C6" s="629" t="s">
        <v>193</v>
      </c>
      <c r="D6" s="628" t="str">
        <f>UPPER('1. Resumen'!Q4)&amp;"
 "&amp;'1. Resumen'!Q5</f>
        <v>FEBRERO
 2019</v>
      </c>
      <c r="E6" s="628" t="str">
        <f>UPPER('1. Resumen'!Q4)&amp;"
 "&amp;'1. Resumen'!Q5-1</f>
        <v>FEBRERO
 2018</v>
      </c>
      <c r="F6" s="628" t="str">
        <f>UPPER('1. Resumen'!Q4)&amp;"
 "&amp;'1. Resumen'!Q5-2</f>
        <v>FEBRERO
 2017</v>
      </c>
      <c r="G6" s="629" t="s">
        <v>818</v>
      </c>
      <c r="H6" s="630" t="s">
        <v>478</v>
      </c>
      <c r="I6" s="198"/>
      <c r="J6" s="198"/>
      <c r="K6" s="198"/>
      <c r="L6" s="167"/>
    </row>
    <row r="7" spans="1:12" ht="20.25" customHeight="1">
      <c r="A7" s="945" t="s">
        <v>195</v>
      </c>
      <c r="B7" s="514" t="s">
        <v>554</v>
      </c>
      <c r="C7" s="470" t="s">
        <v>563</v>
      </c>
      <c r="D7" s="211">
        <v>32.25</v>
      </c>
      <c r="E7" s="211"/>
      <c r="F7" s="211"/>
      <c r="G7" s="283"/>
      <c r="H7" s="283"/>
      <c r="I7" s="198"/>
      <c r="J7" s="198"/>
      <c r="K7" s="198"/>
      <c r="L7" s="58"/>
    </row>
    <row r="8" spans="1:12" ht="12.75">
      <c r="A8" s="946"/>
      <c r="B8" s="514" t="s">
        <v>793</v>
      </c>
      <c r="C8" s="470" t="s">
        <v>794</v>
      </c>
      <c r="D8" s="211"/>
      <c r="E8" s="211">
        <v>0.58333333333333393</v>
      </c>
      <c r="F8" s="211"/>
      <c r="G8" s="283">
        <f t="shared" ref="G8:G20" si="0">+D8/E8-1</f>
        <v>-1</v>
      </c>
      <c r="H8" s="283"/>
      <c r="I8" s="198"/>
      <c r="J8" s="198"/>
      <c r="K8" s="198"/>
      <c r="L8" s="58"/>
    </row>
    <row r="9" spans="1:12" ht="12.75">
      <c r="A9" s="946"/>
      <c r="B9" s="514" t="s">
        <v>555</v>
      </c>
      <c r="C9" s="470" t="s">
        <v>564</v>
      </c>
      <c r="D9" s="211"/>
      <c r="E9" s="211">
        <v>6.9333333333333336</v>
      </c>
      <c r="F9" s="211"/>
      <c r="G9" s="283">
        <f t="shared" si="0"/>
        <v>-1</v>
      </c>
      <c r="H9" s="283"/>
      <c r="I9" s="198"/>
      <c r="J9" s="198"/>
      <c r="K9" s="198"/>
      <c r="L9" s="58"/>
    </row>
    <row r="10" spans="1:12" ht="12.75">
      <c r="A10" s="946"/>
      <c r="B10" s="514" t="s">
        <v>556</v>
      </c>
      <c r="C10" s="470" t="s">
        <v>565</v>
      </c>
      <c r="D10" s="211">
        <v>10.46666666666667</v>
      </c>
      <c r="E10" s="211"/>
      <c r="F10" s="211">
        <v>76.333333333333343</v>
      </c>
      <c r="G10" s="283"/>
      <c r="H10" s="283">
        <f t="shared" ref="H10:H25" si="1">+E10/F10-1</f>
        <v>-1</v>
      </c>
      <c r="I10" s="198"/>
      <c r="J10" s="198"/>
      <c r="K10" s="198"/>
      <c r="L10" s="58"/>
    </row>
    <row r="11" spans="1:12" ht="12.75">
      <c r="A11" s="946"/>
      <c r="B11" s="514" t="s">
        <v>557</v>
      </c>
      <c r="C11" s="470" t="s">
        <v>566</v>
      </c>
      <c r="D11" s="211"/>
      <c r="E11" s="211"/>
      <c r="F11" s="211">
        <v>8.1333333333333329</v>
      </c>
      <c r="G11" s="283"/>
      <c r="H11" s="283">
        <f t="shared" si="1"/>
        <v>-1</v>
      </c>
      <c r="I11" s="198"/>
      <c r="J11" s="198"/>
      <c r="K11" s="198"/>
      <c r="L11" s="58"/>
    </row>
    <row r="12" spans="1:12" ht="12.75">
      <c r="A12" s="946"/>
      <c r="B12" s="514" t="s">
        <v>528</v>
      </c>
      <c r="C12" s="470" t="s">
        <v>516</v>
      </c>
      <c r="D12" s="211">
        <v>8.0500000000000007</v>
      </c>
      <c r="E12" s="211">
        <v>8.4000000000000021</v>
      </c>
      <c r="F12" s="211">
        <v>104.4</v>
      </c>
      <c r="G12" s="283">
        <f t="shared" si="0"/>
        <v>-4.1666666666666852E-2</v>
      </c>
      <c r="H12" s="283">
        <f t="shared" si="1"/>
        <v>-0.91954022988505746</v>
      </c>
      <c r="I12" s="198"/>
      <c r="J12" s="198"/>
      <c r="K12" s="198"/>
      <c r="L12" s="58"/>
    </row>
    <row r="13" spans="1:12" ht="16.5">
      <c r="A13" s="946"/>
      <c r="B13" s="514" t="s">
        <v>558</v>
      </c>
      <c r="C13" s="470" t="s">
        <v>567</v>
      </c>
      <c r="D13" s="211">
        <v>86.75</v>
      </c>
      <c r="E13" s="211"/>
      <c r="F13" s="211"/>
      <c r="G13" s="283"/>
      <c r="H13" s="283"/>
      <c r="I13" s="198"/>
      <c r="J13" s="198"/>
      <c r="K13" s="198"/>
      <c r="L13" s="58"/>
    </row>
    <row r="14" spans="1:12" ht="12.75">
      <c r="A14" s="946"/>
      <c r="B14" s="514" t="s">
        <v>795</v>
      </c>
      <c r="C14" s="470" t="s">
        <v>796</v>
      </c>
      <c r="D14" s="211">
        <v>0.58333333333333659</v>
      </c>
      <c r="E14" s="211"/>
      <c r="F14" s="211"/>
      <c r="G14" s="283"/>
      <c r="H14" s="283"/>
      <c r="I14" s="198"/>
      <c r="J14" s="198"/>
      <c r="K14" s="198"/>
      <c r="L14" s="58"/>
    </row>
    <row r="15" spans="1:12" ht="12.75">
      <c r="A15" s="946"/>
      <c r="B15" s="514" t="s">
        <v>529</v>
      </c>
      <c r="C15" s="470" t="s">
        <v>530</v>
      </c>
      <c r="D15" s="211">
        <v>6.716666666666665</v>
      </c>
      <c r="E15" s="211">
        <v>12.8</v>
      </c>
      <c r="F15" s="211"/>
      <c r="G15" s="283">
        <f t="shared" si="0"/>
        <v>-0.47526041666666685</v>
      </c>
      <c r="H15" s="283"/>
      <c r="I15" s="198"/>
      <c r="J15" s="198"/>
      <c r="K15" s="198"/>
      <c r="L15" s="58"/>
    </row>
    <row r="16" spans="1:12" ht="12.75">
      <c r="A16" s="946"/>
      <c r="B16" s="514" t="s">
        <v>561</v>
      </c>
      <c r="C16" s="470" t="s">
        <v>531</v>
      </c>
      <c r="D16" s="211"/>
      <c r="E16" s="211">
        <v>3.0333333333333345</v>
      </c>
      <c r="F16" s="211"/>
      <c r="G16" s="283">
        <f t="shared" si="0"/>
        <v>-1</v>
      </c>
      <c r="H16" s="283"/>
      <c r="I16" s="198"/>
      <c r="J16" s="198"/>
      <c r="K16" s="198"/>
      <c r="L16" s="58"/>
    </row>
    <row r="17" spans="1:12" ht="12.75">
      <c r="A17" s="946"/>
      <c r="B17" s="514" t="s">
        <v>562</v>
      </c>
      <c r="C17" s="470" t="s">
        <v>570</v>
      </c>
      <c r="D17" s="211">
        <v>25.883333333333333</v>
      </c>
      <c r="E17" s="211">
        <v>48.933333333333337</v>
      </c>
      <c r="F17" s="211">
        <v>18.400000000000006</v>
      </c>
      <c r="G17" s="283">
        <f t="shared" si="0"/>
        <v>-0.47104904632152589</v>
      </c>
      <c r="H17" s="283">
        <f t="shared" si="1"/>
        <v>1.6594202898550718</v>
      </c>
      <c r="I17" s="198"/>
      <c r="J17" s="198"/>
      <c r="K17" s="198"/>
      <c r="L17" s="58"/>
    </row>
    <row r="18" spans="1:12" ht="12.75">
      <c r="A18" s="946"/>
      <c r="B18" s="514" t="s">
        <v>797</v>
      </c>
      <c r="C18" s="470" t="s">
        <v>798</v>
      </c>
      <c r="D18" s="211">
        <v>1.600000000000001</v>
      </c>
      <c r="E18" s="211"/>
      <c r="F18" s="211"/>
      <c r="G18" s="283"/>
      <c r="H18" s="283"/>
      <c r="I18" s="198"/>
      <c r="J18" s="198"/>
      <c r="K18" s="198"/>
      <c r="L18" s="58"/>
    </row>
    <row r="19" spans="1:12" ht="12.75">
      <c r="A19" s="947"/>
      <c r="B19" s="514" t="s">
        <v>799</v>
      </c>
      <c r="C19" s="470" t="s">
        <v>800</v>
      </c>
      <c r="D19" s="211">
        <v>4.3333333333333339</v>
      </c>
      <c r="E19" s="211"/>
      <c r="F19" s="211">
        <v>513.35</v>
      </c>
      <c r="G19" s="283"/>
      <c r="H19" s="283">
        <f t="shared" si="1"/>
        <v>-1</v>
      </c>
      <c r="I19" s="198"/>
      <c r="J19" s="198"/>
      <c r="K19" s="198"/>
      <c r="L19" s="58"/>
    </row>
    <row r="20" spans="1:12" ht="12.75">
      <c r="A20" s="945" t="s">
        <v>808</v>
      </c>
      <c r="B20" s="514" t="s">
        <v>801</v>
      </c>
      <c r="C20" s="470" t="s">
        <v>802</v>
      </c>
      <c r="D20" s="211"/>
      <c r="E20" s="211">
        <v>2.7333333333333316</v>
      </c>
      <c r="F20" s="211">
        <v>0.71666666666666679</v>
      </c>
      <c r="G20" s="283">
        <f t="shared" si="0"/>
        <v>-1</v>
      </c>
      <c r="H20" s="283">
        <f t="shared" si="1"/>
        <v>2.81395348837209</v>
      </c>
      <c r="I20" s="198"/>
      <c r="J20" s="198"/>
      <c r="K20" s="198"/>
      <c r="L20" s="58"/>
    </row>
    <row r="21" spans="1:12" ht="12.75">
      <c r="A21" s="947"/>
      <c r="B21" s="514" t="s">
        <v>559</v>
      </c>
      <c r="C21" s="470" t="s">
        <v>568</v>
      </c>
      <c r="D21" s="211">
        <v>2.0333333333333368</v>
      </c>
      <c r="E21" s="211"/>
      <c r="F21" s="211"/>
      <c r="G21" s="283"/>
      <c r="H21" s="283"/>
      <c r="I21" s="198"/>
      <c r="J21" s="198"/>
      <c r="K21" s="198"/>
      <c r="L21" s="58"/>
    </row>
    <row r="22" spans="1:12" ht="16.5">
      <c r="A22" s="945" t="s">
        <v>194</v>
      </c>
      <c r="B22" s="514" t="s">
        <v>803</v>
      </c>
      <c r="C22" s="470" t="s">
        <v>495</v>
      </c>
      <c r="D22" s="211">
        <v>595.10000000000014</v>
      </c>
      <c r="E22" s="211"/>
      <c r="F22" s="211"/>
      <c r="G22" s="283"/>
      <c r="H22" s="283"/>
      <c r="I22" s="198"/>
      <c r="J22" s="198"/>
      <c r="K22" s="198"/>
      <c r="L22" s="58"/>
    </row>
    <row r="23" spans="1:12" ht="12.75">
      <c r="A23" s="946"/>
      <c r="B23" s="514" t="s">
        <v>804</v>
      </c>
      <c r="C23" s="470" t="s">
        <v>805</v>
      </c>
      <c r="D23" s="211">
        <v>3.6833333333333336</v>
      </c>
      <c r="E23" s="211"/>
      <c r="F23" s="211"/>
      <c r="G23" s="283"/>
      <c r="H23" s="283"/>
      <c r="I23" s="198"/>
      <c r="J23" s="198"/>
      <c r="K23" s="198"/>
      <c r="L23" s="58"/>
    </row>
    <row r="24" spans="1:12" ht="12.75">
      <c r="A24" s="946"/>
      <c r="B24" s="514" t="s">
        <v>560</v>
      </c>
      <c r="C24" s="470" t="s">
        <v>569</v>
      </c>
      <c r="D24" s="211"/>
      <c r="E24" s="211"/>
      <c r="F24" s="211">
        <v>10.533333333333333</v>
      </c>
      <c r="G24" s="283"/>
      <c r="H24" s="283">
        <f t="shared" si="1"/>
        <v>-1</v>
      </c>
      <c r="I24" s="198"/>
      <c r="J24" s="198"/>
      <c r="K24" s="198"/>
      <c r="L24" s="58"/>
    </row>
    <row r="25" spans="1:12" ht="12.75">
      <c r="A25" s="947"/>
      <c r="B25" s="514" t="s">
        <v>806</v>
      </c>
      <c r="C25" s="470" t="s">
        <v>807</v>
      </c>
      <c r="D25" s="211"/>
      <c r="E25" s="211"/>
      <c r="F25" s="211">
        <v>5.2666666666666666</v>
      </c>
      <c r="G25" s="283"/>
      <c r="H25" s="283">
        <f t="shared" si="1"/>
        <v>-1</v>
      </c>
      <c r="I25" s="198"/>
      <c r="J25" s="198"/>
      <c r="K25" s="198"/>
      <c r="L25" s="58"/>
    </row>
    <row r="26" spans="1:12" ht="18.75" customHeight="1">
      <c r="A26" s="615" t="s">
        <v>196</v>
      </c>
      <c r="B26" s="616"/>
      <c r="C26" s="617"/>
      <c r="D26" s="618">
        <f>SUM(D7:D25)</f>
        <v>777.45</v>
      </c>
      <c r="E26" s="618">
        <f>SUM(E7:E25)</f>
        <v>83.416666666666671</v>
      </c>
      <c r="F26" s="618">
        <f>SUM(F7:F25)</f>
        <v>737.13333333333333</v>
      </c>
      <c r="G26" s="619">
        <f>+E26/F26-1</f>
        <v>-0.8868363932350547</v>
      </c>
      <c r="H26" s="619">
        <f>+D26/E26-1</f>
        <v>8.3200799200799196</v>
      </c>
      <c r="I26" s="198"/>
      <c r="J26" s="198"/>
      <c r="K26" s="199"/>
      <c r="L26" s="208"/>
    </row>
    <row r="27" spans="1:12" ht="11.25" customHeight="1">
      <c r="A27" s="280" t="str">
        <f>"Cuadro N° 14: Horas de operación de los principales equipos de congestión en "&amp;'1. Resumen'!Q4</f>
        <v>Cuadro N° 14: Horas de operación de los principales equipos de congestión en febrero</v>
      </c>
      <c r="B27" s="212"/>
      <c r="C27" s="213"/>
      <c r="D27" s="214"/>
      <c r="E27" s="214"/>
      <c r="F27" s="215"/>
      <c r="G27" s="76"/>
      <c r="H27" s="82"/>
      <c r="I27" s="198"/>
      <c r="J27" s="198"/>
      <c r="K27" s="199"/>
      <c r="L27" s="208"/>
    </row>
    <row r="28" spans="1:12" ht="11.25" customHeight="1">
      <c r="A28" s="137"/>
      <c r="B28" s="212"/>
      <c r="C28" s="213"/>
      <c r="D28" s="214"/>
      <c r="E28" s="214"/>
      <c r="F28" s="215"/>
      <c r="G28" s="76"/>
      <c r="H28" s="76"/>
      <c r="I28" s="198"/>
      <c r="J28" s="198"/>
      <c r="K28" s="199"/>
      <c r="L28" s="208"/>
    </row>
    <row r="29" spans="1:12" ht="11.25" customHeight="1">
      <c r="A29" s="137"/>
      <c r="B29" s="212"/>
      <c r="C29" s="213"/>
      <c r="D29" s="214"/>
      <c r="E29" s="214"/>
      <c r="F29" s="215"/>
      <c r="G29" s="76"/>
      <c r="H29" s="76"/>
      <c r="I29" s="198"/>
      <c r="J29" s="198"/>
      <c r="K29" s="199"/>
      <c r="L29" s="208"/>
    </row>
    <row r="30" spans="1:12" ht="11.25" customHeight="1">
      <c r="A30" s="77"/>
      <c r="B30" s="165"/>
      <c r="C30" s="78"/>
      <c r="D30" s="79"/>
      <c r="E30" s="79"/>
      <c r="F30" s="80"/>
      <c r="G30" s="76"/>
      <c r="H30" s="76"/>
      <c r="I30" s="198"/>
      <c r="J30" s="198"/>
      <c r="K30" s="199"/>
      <c r="L30" s="208"/>
    </row>
    <row r="31" spans="1:12" ht="11.25" customHeight="1">
      <c r="A31" s="77"/>
      <c r="B31" s="165"/>
      <c r="C31" s="78"/>
      <c r="D31" s="79"/>
      <c r="E31" s="79"/>
      <c r="F31" s="80"/>
      <c r="G31" s="76"/>
      <c r="H31" s="76"/>
      <c r="I31" s="198"/>
      <c r="J31" s="198"/>
      <c r="K31" s="199"/>
      <c r="L31" s="208"/>
    </row>
    <row r="32" spans="1:12" ht="11.25" customHeight="1">
      <c r="A32" s="77"/>
      <c r="B32" s="165"/>
      <c r="C32" s="78"/>
      <c r="D32" s="79"/>
      <c r="E32" s="79"/>
      <c r="F32" s="80"/>
      <c r="G32" s="76"/>
      <c r="H32" s="76"/>
      <c r="I32" s="198"/>
      <c r="J32" s="198"/>
      <c r="K32" s="199"/>
      <c r="L32" s="209"/>
    </row>
    <row r="33" spans="1:12" ht="11.25" customHeight="1">
      <c r="A33" s="77"/>
      <c r="B33" s="165"/>
      <c r="C33" s="78"/>
      <c r="D33" s="79"/>
      <c r="E33" s="79"/>
      <c r="F33" s="80"/>
      <c r="G33" s="76"/>
      <c r="H33" s="76"/>
      <c r="I33" s="198"/>
      <c r="J33" s="198"/>
      <c r="K33" s="199"/>
      <c r="L33" s="208"/>
    </row>
    <row r="34" spans="1:12" ht="11.25" customHeight="1">
      <c r="A34" s="77"/>
      <c r="B34" s="165"/>
      <c r="C34" s="78"/>
      <c r="D34" s="79"/>
      <c r="E34" s="79"/>
      <c r="F34" s="80"/>
      <c r="G34" s="76"/>
      <c r="H34" s="76"/>
      <c r="I34" s="198"/>
      <c r="J34" s="198"/>
      <c r="K34" s="199"/>
      <c r="L34" s="208"/>
    </row>
    <row r="35" spans="1:12" ht="11.25" customHeight="1">
      <c r="A35" s="77"/>
      <c r="B35" s="165"/>
      <c r="C35" s="78"/>
      <c r="D35" s="79"/>
      <c r="E35" s="79"/>
      <c r="F35" s="80"/>
      <c r="G35" s="76"/>
      <c r="H35" s="76"/>
      <c r="I35" s="198"/>
      <c r="J35" s="198"/>
      <c r="K35" s="198"/>
      <c r="L35" s="58"/>
    </row>
    <row r="36" spans="1:12" ht="11.25" customHeight="1">
      <c r="A36" s="77"/>
      <c r="B36" s="165"/>
      <c r="C36" s="78"/>
      <c r="D36" s="79"/>
      <c r="E36" s="79"/>
      <c r="F36" s="80"/>
      <c r="G36" s="76"/>
      <c r="H36" s="76"/>
      <c r="I36" s="198"/>
      <c r="J36" s="198"/>
      <c r="K36" s="199"/>
      <c r="L36" s="208"/>
    </row>
    <row r="37" spans="1:12" ht="11.25" customHeight="1">
      <c r="A37" s="77"/>
      <c r="B37" s="165"/>
      <c r="C37" s="78"/>
      <c r="D37" s="79"/>
      <c r="E37" s="79"/>
      <c r="F37" s="80"/>
      <c r="G37" s="76"/>
      <c r="H37" s="76"/>
      <c r="I37" s="198"/>
      <c r="J37" s="198"/>
      <c r="K37" s="200"/>
      <c r="L37" s="208"/>
    </row>
    <row r="38" spans="1:12" ht="11.25" customHeight="1">
      <c r="A38" s="77"/>
      <c r="B38" s="165"/>
      <c r="C38" s="78"/>
      <c r="D38" s="79"/>
      <c r="E38" s="79"/>
      <c r="F38" s="80"/>
      <c r="G38" s="76"/>
      <c r="H38" s="76"/>
      <c r="I38" s="198"/>
      <c r="J38" s="198"/>
      <c r="K38" s="200"/>
      <c r="L38" s="208"/>
    </row>
    <row r="39" spans="1:12" ht="11.25" customHeight="1">
      <c r="A39" s="77"/>
      <c r="B39" s="165"/>
      <c r="C39" s="78"/>
      <c r="D39" s="79"/>
      <c r="E39" s="79"/>
      <c r="F39" s="80"/>
      <c r="G39" s="76"/>
      <c r="H39" s="76"/>
      <c r="I39" s="198"/>
      <c r="J39" s="198"/>
      <c r="K39" s="200"/>
      <c r="L39" s="208"/>
    </row>
    <row r="40" spans="1:12" ht="11.25" customHeight="1">
      <c r="A40" s="77"/>
      <c r="B40" s="165"/>
      <c r="C40" s="78"/>
      <c r="D40" s="79"/>
      <c r="E40" s="79"/>
      <c r="F40" s="80"/>
      <c r="G40" s="76"/>
      <c r="H40" s="76"/>
      <c r="I40" s="198"/>
      <c r="J40" s="198"/>
      <c r="K40" s="200"/>
      <c r="L40" s="208"/>
    </row>
    <row r="41" spans="1:12" ht="11.25" customHeight="1">
      <c r="A41" s="77"/>
      <c r="B41" s="165"/>
      <c r="C41" s="78"/>
      <c r="D41" s="79"/>
      <c r="E41" s="79"/>
      <c r="F41" s="80"/>
      <c r="G41" s="76"/>
      <c r="H41" s="76"/>
      <c r="I41" s="198"/>
      <c r="J41" s="198"/>
      <c r="K41" s="200"/>
      <c r="L41" s="208"/>
    </row>
    <row r="42" spans="1:12" ht="11.25" customHeight="1">
      <c r="A42" s="77"/>
      <c r="B42" s="165"/>
      <c r="C42" s="78"/>
      <c r="D42" s="79"/>
      <c r="E42" s="79"/>
      <c r="F42" s="80"/>
      <c r="G42" s="76"/>
      <c r="H42" s="76"/>
      <c r="I42" s="198"/>
      <c r="J42" s="198"/>
      <c r="K42" s="200"/>
      <c r="L42" s="208"/>
    </row>
    <row r="43" spans="1:12" ht="11.25" customHeight="1">
      <c r="A43" s="77"/>
      <c r="B43" s="77"/>
      <c r="C43" s="77"/>
      <c r="D43" s="77"/>
      <c r="E43" s="77"/>
      <c r="F43" s="77"/>
      <c r="G43" s="77"/>
      <c r="H43" s="77"/>
      <c r="I43" s="198"/>
      <c r="J43" s="198"/>
      <c r="K43" s="200"/>
      <c r="L43" s="208"/>
    </row>
    <row r="44" spans="1:12" ht="11.25" customHeight="1">
      <c r="A44" s="77"/>
      <c r="B44" s="77"/>
      <c r="C44" s="77"/>
      <c r="D44" s="77"/>
      <c r="E44" s="77"/>
      <c r="F44" s="77"/>
      <c r="G44" s="77"/>
      <c r="H44" s="77"/>
      <c r="I44" s="198"/>
      <c r="J44" s="198"/>
      <c r="K44" s="201"/>
      <c r="L44" s="59"/>
    </row>
    <row r="45" spans="1:12" ht="11.25" customHeight="1">
      <c r="A45" s="77"/>
      <c r="B45" s="77"/>
      <c r="C45" s="77"/>
      <c r="D45" s="77"/>
      <c r="E45" s="77"/>
      <c r="F45" s="77"/>
      <c r="G45" s="77"/>
      <c r="H45" s="77"/>
      <c r="I45" s="198"/>
      <c r="J45" s="198"/>
      <c r="K45" s="201"/>
      <c r="L45" s="59"/>
    </row>
    <row r="46" spans="1:12" ht="11.25" customHeight="1">
      <c r="A46" s="77"/>
      <c r="B46" s="77"/>
      <c r="C46" s="77"/>
      <c r="D46" s="77"/>
      <c r="E46" s="77"/>
      <c r="F46" s="77"/>
      <c r="G46" s="77"/>
      <c r="H46" s="77"/>
      <c r="I46" s="198"/>
      <c r="J46" s="198"/>
      <c r="K46" s="201"/>
      <c r="L46" s="59"/>
    </row>
    <row r="47" spans="1:12" ht="11.25" customHeight="1">
      <c r="A47" s="77"/>
      <c r="B47" s="77"/>
      <c r="C47" s="77"/>
      <c r="D47" s="77"/>
      <c r="E47" s="77"/>
      <c r="F47" s="77"/>
      <c r="G47" s="77"/>
      <c r="H47" s="77"/>
      <c r="I47" s="198"/>
      <c r="J47" s="198"/>
      <c r="K47" s="200"/>
    </row>
    <row r="48" spans="1:12" ht="11.25" customHeight="1">
      <c r="A48" s="77"/>
      <c r="B48" s="77"/>
      <c r="C48" s="77"/>
      <c r="D48" s="77"/>
      <c r="E48" s="77"/>
      <c r="F48" s="77"/>
      <c r="G48" s="77"/>
      <c r="H48" s="77"/>
      <c r="I48" s="198"/>
      <c r="J48" s="198"/>
      <c r="K48" s="200"/>
    </row>
    <row r="49" spans="1:11" ht="12.75">
      <c r="A49" s="54"/>
      <c r="B49" s="77"/>
      <c r="C49" s="77"/>
      <c r="D49" s="77"/>
      <c r="E49" s="77"/>
      <c r="F49" s="77"/>
      <c r="G49" s="77"/>
      <c r="H49" s="77"/>
      <c r="I49" s="198"/>
      <c r="J49" s="198"/>
      <c r="K49" s="200"/>
    </row>
    <row r="50" spans="1:11" ht="12.75">
      <c r="A50" s="77"/>
      <c r="B50" s="77"/>
      <c r="C50" s="77"/>
      <c r="D50" s="77"/>
      <c r="E50" s="77"/>
      <c r="F50" s="77"/>
      <c r="G50" s="77"/>
      <c r="H50" s="77"/>
      <c r="I50" s="198"/>
      <c r="J50" s="198"/>
      <c r="K50" s="200"/>
    </row>
    <row r="51" spans="1:11" ht="12.75">
      <c r="A51" s="77"/>
      <c r="B51" s="77"/>
      <c r="C51" s="77"/>
      <c r="D51" s="77"/>
      <c r="E51" s="77"/>
      <c r="F51" s="77"/>
      <c r="G51" s="77"/>
      <c r="H51" s="77"/>
      <c r="I51" s="198"/>
      <c r="J51" s="198"/>
      <c r="K51" s="200"/>
    </row>
    <row r="52" spans="1:11" ht="12.75">
      <c r="A52" s="77"/>
      <c r="B52" s="77"/>
      <c r="C52" s="77"/>
      <c r="D52" s="77"/>
      <c r="E52" s="77"/>
      <c r="F52" s="77"/>
      <c r="G52" s="77"/>
      <c r="H52" s="77"/>
      <c r="I52" s="198"/>
      <c r="J52" s="198"/>
      <c r="K52" s="200"/>
    </row>
    <row r="53" spans="1:11" ht="12.75">
      <c r="A53" s="77"/>
      <c r="B53" s="77"/>
      <c r="C53" s="77"/>
      <c r="D53" s="77"/>
      <c r="E53" s="77"/>
      <c r="F53" s="77"/>
      <c r="G53" s="77"/>
      <c r="H53" s="77"/>
      <c r="I53" s="198"/>
      <c r="J53" s="198"/>
      <c r="K53" s="200"/>
    </row>
    <row r="54" spans="1:11" ht="12.75">
      <c r="A54" s="77"/>
      <c r="B54" s="77"/>
      <c r="C54" s="77"/>
      <c r="D54" s="77"/>
      <c r="E54" s="77"/>
      <c r="F54" s="77"/>
      <c r="G54" s="77"/>
      <c r="H54" s="77"/>
      <c r="I54" s="111"/>
      <c r="J54" s="111"/>
      <c r="K54" s="200"/>
    </row>
    <row r="55" spans="1:11" ht="12.75">
      <c r="A55" s="77"/>
      <c r="B55" s="77"/>
      <c r="C55" s="77"/>
      <c r="D55" s="77"/>
      <c r="E55" s="77"/>
      <c r="F55" s="77"/>
      <c r="G55" s="77"/>
      <c r="H55" s="77"/>
      <c r="I55" s="111"/>
      <c r="J55" s="111"/>
      <c r="K55" s="200"/>
    </row>
    <row r="56" spans="1:11" ht="12.75">
      <c r="A56" s="77"/>
      <c r="B56" s="77"/>
      <c r="C56" s="77"/>
      <c r="D56" s="77"/>
      <c r="E56" s="77"/>
      <c r="F56" s="77"/>
      <c r="G56" s="77"/>
      <c r="H56" s="77"/>
      <c r="I56" s="111"/>
      <c r="J56" s="111"/>
      <c r="K56" s="200"/>
    </row>
    <row r="57" spans="1:11" ht="12.75">
      <c r="B57" s="77"/>
      <c r="C57" s="77"/>
      <c r="D57" s="77"/>
      <c r="E57" s="77"/>
      <c r="F57" s="77"/>
      <c r="G57" s="77"/>
      <c r="H57" s="77"/>
      <c r="I57" s="111"/>
      <c r="J57" s="111"/>
      <c r="K57" s="200"/>
    </row>
    <row r="58" spans="1:11" ht="12.75">
      <c r="A58" s="280" t="str">
        <f>"Gráfico N° 23: Comparación de las horas de operación de los principales equipos de congestión en "&amp;'1. Resumen'!Q4&amp;"."</f>
        <v>Gráfico N° 23: Comparación de las horas de operación de los principales equipos de congestión en febrero.</v>
      </c>
      <c r="B58" s="77"/>
      <c r="C58" s="77"/>
      <c r="D58" s="77"/>
      <c r="E58" s="77"/>
      <c r="F58" s="77"/>
      <c r="G58" s="77"/>
      <c r="H58" s="77"/>
      <c r="I58" s="111"/>
      <c r="J58" s="111"/>
      <c r="K58" s="200"/>
    </row>
    <row r="59" spans="1:11" ht="12.75">
      <c r="A59" s="77"/>
      <c r="B59" s="77"/>
      <c r="C59" s="77"/>
      <c r="D59" s="77"/>
      <c r="E59" s="77"/>
      <c r="F59" s="77"/>
      <c r="G59" s="77"/>
      <c r="H59" s="77"/>
      <c r="I59" s="199"/>
      <c r="J59" s="199"/>
      <c r="K59" s="200"/>
    </row>
    <row r="60" spans="1:11" ht="12.75">
      <c r="A60" s="198"/>
      <c r="B60" s="199"/>
      <c r="C60" s="199"/>
      <c r="D60" s="199"/>
      <c r="E60" s="199"/>
      <c r="F60" s="199"/>
      <c r="G60" s="199"/>
      <c r="H60" s="199"/>
      <c r="I60" s="199"/>
      <c r="J60" s="199"/>
      <c r="K60" s="200"/>
    </row>
    <row r="61" spans="1:11" ht="12.75">
      <c r="A61" s="198"/>
      <c r="B61" s="210"/>
      <c r="C61" s="200"/>
      <c r="D61" s="200"/>
      <c r="E61" s="200"/>
      <c r="F61" s="200"/>
      <c r="G61" s="199"/>
      <c r="H61" s="199"/>
      <c r="I61" s="199"/>
      <c r="J61" s="199"/>
      <c r="K61" s="200"/>
    </row>
    <row r="62" spans="1:11" ht="12.75">
      <c r="A62" s="1"/>
      <c r="B62" s="31"/>
      <c r="C62" s="31"/>
      <c r="D62" s="31"/>
      <c r="E62" s="31"/>
      <c r="F62" s="31"/>
      <c r="G62" s="31"/>
      <c r="H62" s="199"/>
      <c r="I62" s="199"/>
      <c r="J62" s="199"/>
      <c r="K62" s="200"/>
    </row>
    <row r="63" spans="1:11" ht="12.75">
      <c r="A63" s="1"/>
      <c r="B63" s="31"/>
      <c r="C63" s="31"/>
      <c r="D63" s="31"/>
      <c r="E63" s="31"/>
      <c r="F63" s="31"/>
      <c r="G63" s="31"/>
      <c r="H63" s="199"/>
      <c r="I63" s="199"/>
      <c r="J63" s="199"/>
      <c r="K63" s="199"/>
    </row>
    <row r="64" spans="1:11" ht="12.75">
      <c r="A64" s="1"/>
      <c r="B64" s="31"/>
      <c r="C64" s="31"/>
      <c r="D64" s="31"/>
      <c r="E64" s="31"/>
      <c r="F64" s="31"/>
      <c r="G64" s="31"/>
      <c r="H64" s="199"/>
      <c r="I64" s="199"/>
      <c r="J64" s="199"/>
      <c r="K64" s="199"/>
    </row>
  </sheetData>
  <mergeCells count="5">
    <mergeCell ref="A4:H4"/>
    <mergeCell ref="A2:H2"/>
    <mergeCell ref="A7:A19"/>
    <mergeCell ref="A20:A21"/>
    <mergeCell ref="A22:A25"/>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L250"/>
  <sheetViews>
    <sheetView showGridLines="0" view="pageBreakPreview" zoomScale="175" zoomScaleNormal="160" zoomScaleSheetLayoutView="175" zoomScalePageLayoutView="160" workbookViewId="0">
      <selection activeCell="A3" sqref="A3"/>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56" t="s">
        <v>522</v>
      </c>
      <c r="B2" s="956"/>
      <c r="C2" s="956"/>
      <c r="D2" s="956"/>
      <c r="E2" s="956"/>
      <c r="F2" s="956"/>
      <c r="G2" s="956"/>
      <c r="H2" s="956"/>
      <c r="I2" s="956"/>
      <c r="J2" s="956"/>
      <c r="K2" s="164"/>
    </row>
    <row r="3" spans="1:12" ht="6.75" customHeight="1">
      <c r="A3" s="17"/>
      <c r="B3" s="160"/>
      <c r="C3" s="216"/>
      <c r="D3" s="18"/>
      <c r="E3" s="18"/>
      <c r="F3" s="194"/>
      <c r="G3" s="66"/>
      <c r="H3" s="66"/>
      <c r="I3" s="71"/>
      <c r="J3" s="164"/>
      <c r="K3" s="164"/>
      <c r="L3" s="36"/>
    </row>
    <row r="4" spans="1:12" ht="11.25" customHeight="1">
      <c r="A4" s="957" t="s">
        <v>523</v>
      </c>
      <c r="B4" s="957"/>
      <c r="C4" s="957"/>
      <c r="D4" s="957"/>
      <c r="E4" s="957"/>
      <c r="F4" s="957"/>
      <c r="G4" s="957"/>
      <c r="H4" s="957"/>
      <c r="I4" s="957"/>
      <c r="J4" s="957"/>
      <c r="K4" s="164"/>
      <c r="L4" s="36"/>
    </row>
    <row r="5" spans="1:12" ht="38.25" customHeight="1">
      <c r="A5" s="954" t="s">
        <v>197</v>
      </c>
      <c r="B5" s="645" t="s">
        <v>198</v>
      </c>
      <c r="C5" s="646" t="s">
        <v>199</v>
      </c>
      <c r="D5" s="646" t="s">
        <v>200</v>
      </c>
      <c r="E5" s="646" t="s">
        <v>201</v>
      </c>
      <c r="F5" s="646" t="s">
        <v>202</v>
      </c>
      <c r="G5" s="646" t="s">
        <v>203</v>
      </c>
      <c r="H5" s="646" t="s">
        <v>204</v>
      </c>
      <c r="I5" s="647" t="s">
        <v>205</v>
      </c>
      <c r="J5" s="648" t="s">
        <v>206</v>
      </c>
      <c r="K5" s="131"/>
    </row>
    <row r="6" spans="1:12" ht="11.25" customHeight="1">
      <c r="A6" s="955"/>
      <c r="B6" s="645" t="s">
        <v>207</v>
      </c>
      <c r="C6" s="646" t="s">
        <v>208</v>
      </c>
      <c r="D6" s="646" t="s">
        <v>209</v>
      </c>
      <c r="E6" s="646" t="s">
        <v>210</v>
      </c>
      <c r="F6" s="646" t="s">
        <v>211</v>
      </c>
      <c r="G6" s="646" t="s">
        <v>212</v>
      </c>
      <c r="H6" s="646" t="s">
        <v>213</v>
      </c>
      <c r="I6" s="649"/>
      <c r="J6" s="648" t="s">
        <v>214</v>
      </c>
      <c r="K6" s="19"/>
    </row>
    <row r="7" spans="1:12" ht="13.5" customHeight="1">
      <c r="A7" s="463" t="s">
        <v>476</v>
      </c>
      <c r="B7" s="446">
        <v>28</v>
      </c>
      <c r="C7" s="447">
        <v>2</v>
      </c>
      <c r="D7" s="447"/>
      <c r="E7" s="448">
        <v>7</v>
      </c>
      <c r="F7" s="447">
        <v>18</v>
      </c>
      <c r="G7" s="447"/>
      <c r="H7" s="447">
        <v>1</v>
      </c>
      <c r="I7" s="449">
        <f>+SUM(B7:H7)</f>
        <v>56</v>
      </c>
      <c r="J7" s="450">
        <v>403.75999999999993</v>
      </c>
      <c r="K7" s="24"/>
    </row>
    <row r="8" spans="1:12" ht="13.5" customHeight="1">
      <c r="A8" s="451" t="s">
        <v>170</v>
      </c>
      <c r="B8" s="452"/>
      <c r="C8" s="452">
        <v>1</v>
      </c>
      <c r="D8" s="452"/>
      <c r="E8" s="453">
        <v>1</v>
      </c>
      <c r="F8" s="452"/>
      <c r="G8" s="452"/>
      <c r="H8" s="452"/>
      <c r="I8" s="454">
        <f t="shared" ref="I8:I11" si="0">+SUM(B8:H8)</f>
        <v>2</v>
      </c>
      <c r="J8" s="455">
        <v>54.57</v>
      </c>
      <c r="K8" s="22"/>
    </row>
    <row r="9" spans="1:12" ht="13.5" customHeight="1">
      <c r="A9" s="463" t="s">
        <v>774</v>
      </c>
      <c r="B9" s="446"/>
      <c r="C9" s="447">
        <v>1</v>
      </c>
      <c r="D9" s="447"/>
      <c r="E9" s="448"/>
      <c r="F9" s="447"/>
      <c r="G9" s="447"/>
      <c r="H9" s="447"/>
      <c r="I9" s="449">
        <f t="shared" si="0"/>
        <v>1</v>
      </c>
      <c r="J9" s="450">
        <v>5.25</v>
      </c>
      <c r="K9" s="22"/>
    </row>
    <row r="10" spans="1:12" ht="13.5" customHeight="1">
      <c r="A10" s="451" t="s">
        <v>503</v>
      </c>
      <c r="B10" s="452"/>
      <c r="C10" s="452"/>
      <c r="D10" s="452"/>
      <c r="E10" s="453"/>
      <c r="F10" s="452">
        <v>1</v>
      </c>
      <c r="G10" s="452"/>
      <c r="H10" s="452"/>
      <c r="I10" s="454">
        <f t="shared" si="0"/>
        <v>1</v>
      </c>
      <c r="J10" s="455">
        <v>3.62</v>
      </c>
      <c r="K10" s="22"/>
    </row>
    <row r="11" spans="1:12" ht="13.5" customHeight="1">
      <c r="A11" s="463" t="s">
        <v>775</v>
      </c>
      <c r="B11" s="446"/>
      <c r="C11" s="447">
        <v>2</v>
      </c>
      <c r="D11" s="447"/>
      <c r="E11" s="448">
        <v>2</v>
      </c>
      <c r="F11" s="447">
        <v>2</v>
      </c>
      <c r="G11" s="447"/>
      <c r="H11" s="447"/>
      <c r="I11" s="449">
        <f t="shared" si="0"/>
        <v>6</v>
      </c>
      <c r="J11" s="450">
        <v>150.11000000000001</v>
      </c>
      <c r="K11" s="22"/>
    </row>
    <row r="12" spans="1:12" ht="13.5" customHeight="1">
      <c r="A12" s="451" t="s">
        <v>205</v>
      </c>
      <c r="B12" s="454">
        <f t="shared" ref="B12:J12" si="1">+SUM(B7:B11)</f>
        <v>28</v>
      </c>
      <c r="C12" s="454">
        <f t="shared" si="1"/>
        <v>6</v>
      </c>
      <c r="D12" s="454">
        <f t="shared" si="1"/>
        <v>0</v>
      </c>
      <c r="E12" s="632">
        <f t="shared" si="1"/>
        <v>10</v>
      </c>
      <c r="F12" s="454">
        <f t="shared" si="1"/>
        <v>21</v>
      </c>
      <c r="G12" s="454">
        <f t="shared" si="1"/>
        <v>0</v>
      </c>
      <c r="H12" s="454">
        <f t="shared" si="1"/>
        <v>1</v>
      </c>
      <c r="I12" s="454">
        <f>+SUM(B12:H12)</f>
        <v>66</v>
      </c>
      <c r="J12" s="633">
        <f t="shared" si="1"/>
        <v>617.30999999999995</v>
      </c>
      <c r="K12" s="22"/>
    </row>
    <row r="13" spans="1:12" ht="11.25" customHeight="1">
      <c r="A13" s="95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2019</v>
      </c>
      <c r="B13" s="959"/>
      <c r="C13" s="959"/>
      <c r="D13" s="959"/>
      <c r="E13" s="959"/>
      <c r="F13" s="959"/>
      <c r="G13" s="959"/>
      <c r="H13" s="959"/>
      <c r="I13" s="959"/>
      <c r="J13" s="959"/>
      <c r="K13" s="22"/>
    </row>
    <row r="14" spans="1:12" ht="11.25" customHeight="1">
      <c r="K14" s="22"/>
    </row>
    <row r="15" spans="1:12" s="468" customFormat="1" ht="11.25" customHeight="1">
      <c r="A15" s="958" t="s">
        <v>493</v>
      </c>
      <c r="B15" s="958"/>
      <c r="C15" s="958"/>
      <c r="D15" s="958"/>
      <c r="E15" s="958"/>
      <c r="F15" s="958"/>
      <c r="G15" s="958"/>
      <c r="H15" s="958"/>
      <c r="I15" s="958"/>
      <c r="J15" s="958"/>
      <c r="K15" s="467"/>
    </row>
    <row r="16" spans="1:12" ht="11.25" customHeight="1">
      <c r="A16" s="17"/>
      <c r="B16" s="219"/>
      <c r="C16" s="218"/>
      <c r="D16" s="218"/>
      <c r="E16" s="218"/>
      <c r="F16" s="218"/>
      <c r="G16" s="179"/>
      <c r="H16" s="179"/>
      <c r="I16" s="138"/>
      <c r="J16" s="25"/>
      <c r="K16" s="25"/>
      <c r="L16" s="22"/>
    </row>
    <row r="17" spans="1:12" ht="11.25" customHeight="1">
      <c r="A17" s="951" t="str">
        <f>"FALLAS  POR TIPO DE CAUSA  -  "&amp;UPPER('1. Resumen'!Q4)&amp;" "&amp;'1. Resumen'!Q5</f>
        <v>FALLAS  POR TIPO DE CAUSA  -  FEBRERO 2019</v>
      </c>
      <c r="B17" s="951"/>
      <c r="C17" s="951"/>
      <c r="D17" s="951"/>
      <c r="E17" s="951" t="str">
        <f>"FALLAS  POR TIPO DE EQUIPO  -  "&amp;UPPER('1. Resumen'!Q4)&amp;" "&amp;'1. Resumen'!Q5</f>
        <v>FALLAS  POR TIPO DE EQUIPO  -  FEBRERO 2019</v>
      </c>
      <c r="F17" s="951"/>
      <c r="G17" s="951"/>
      <c r="H17" s="951"/>
      <c r="I17" s="951"/>
      <c r="J17" s="951"/>
      <c r="K17" s="25"/>
      <c r="L17" s="22"/>
    </row>
    <row r="18" spans="1:12" ht="11.25" customHeight="1">
      <c r="A18" s="17"/>
      <c r="E18" s="218"/>
      <c r="F18" s="218"/>
      <c r="G18" s="179"/>
      <c r="H18" s="179"/>
      <c r="I18" s="138"/>
      <c r="J18" s="111"/>
      <c r="K18" s="111"/>
      <c r="L18" s="22"/>
    </row>
    <row r="19" spans="1:12" ht="11.25" customHeight="1">
      <c r="A19" s="17"/>
      <c r="B19" s="219"/>
      <c r="C19" s="218"/>
      <c r="D19" s="218"/>
      <c r="E19" s="218"/>
      <c r="F19" s="218"/>
      <c r="G19" s="179"/>
      <c r="H19" s="179"/>
      <c r="I19" s="138"/>
      <c r="J19" s="111"/>
      <c r="K19" s="111"/>
      <c r="L19" s="30"/>
    </row>
    <row r="20" spans="1:12" ht="11.25" customHeight="1">
      <c r="A20" s="17"/>
      <c r="B20" s="219"/>
      <c r="C20" s="218"/>
      <c r="D20" s="218"/>
      <c r="E20" s="218"/>
      <c r="F20" s="218"/>
      <c r="G20" s="179"/>
      <c r="H20" s="179"/>
      <c r="I20" s="138"/>
      <c r="J20" s="111"/>
      <c r="K20" s="111"/>
      <c r="L20" s="22"/>
    </row>
    <row r="21" spans="1:12" ht="11.25" customHeight="1">
      <c r="A21" s="17"/>
      <c r="B21" s="219"/>
      <c r="C21" s="218"/>
      <c r="D21" s="218"/>
      <c r="E21" s="218"/>
      <c r="F21" s="218"/>
      <c r="G21" s="179"/>
      <c r="H21" s="179"/>
      <c r="I21" s="138"/>
      <c r="J21" s="111"/>
      <c r="K21" s="111"/>
      <c r="L21" s="22"/>
    </row>
    <row r="22" spans="1:12" ht="11.25" customHeight="1">
      <c r="A22" s="17"/>
      <c r="B22" s="219"/>
      <c r="C22" s="218"/>
      <c r="D22" s="218"/>
      <c r="E22" s="218"/>
      <c r="F22" s="218"/>
      <c r="G22" s="179"/>
      <c r="H22" s="179"/>
      <c r="I22" s="138"/>
      <c r="J22" s="111"/>
      <c r="K22" s="111"/>
      <c r="L22" s="22"/>
    </row>
    <row r="23" spans="1:12" ht="11.25" customHeight="1">
      <c r="A23" s="17"/>
      <c r="B23" s="219"/>
      <c r="C23" s="218"/>
      <c r="D23" s="218"/>
      <c r="E23" s="218"/>
      <c r="F23" s="218"/>
      <c r="G23" s="179"/>
      <c r="H23" s="179"/>
      <c r="I23" s="138"/>
      <c r="J23" s="111"/>
      <c r="K23" s="111"/>
      <c r="L23" s="30"/>
    </row>
    <row r="24" spans="1:12" ht="11.25" customHeight="1">
      <c r="A24" s="17"/>
      <c r="B24" s="219"/>
      <c r="C24" s="218"/>
      <c r="D24" s="218"/>
      <c r="E24" s="218"/>
      <c r="F24" s="218"/>
      <c r="G24" s="179"/>
      <c r="H24" s="179"/>
      <c r="I24" s="138"/>
      <c r="J24" s="111"/>
      <c r="K24" s="111"/>
      <c r="L24" s="22"/>
    </row>
    <row r="25" spans="1:12" ht="11.25" customHeight="1">
      <c r="A25" s="17"/>
      <c r="B25" s="219"/>
      <c r="C25" s="218"/>
      <c r="D25" s="218"/>
      <c r="E25" s="218"/>
      <c r="F25" s="218"/>
      <c r="G25" s="179"/>
      <c r="H25" s="179"/>
      <c r="I25" s="138"/>
      <c r="J25" s="111"/>
      <c r="K25" s="111"/>
      <c r="L25" s="22"/>
    </row>
    <row r="26" spans="1:12" ht="11.25" customHeight="1">
      <c r="A26" s="17"/>
      <c r="B26" s="219"/>
      <c r="C26" s="218"/>
      <c r="D26" s="218"/>
      <c r="E26" s="218"/>
      <c r="F26" s="218"/>
      <c r="G26" s="179"/>
      <c r="H26" s="179"/>
      <c r="I26" s="138"/>
      <c r="J26" s="111"/>
      <c r="K26" s="111"/>
      <c r="L26" s="22"/>
    </row>
    <row r="27" spans="1:12" ht="11.25" customHeight="1">
      <c r="A27" s="17"/>
      <c r="B27" s="219"/>
      <c r="C27" s="218"/>
      <c r="D27" s="218"/>
      <c r="E27" s="218"/>
      <c r="F27" s="218"/>
      <c r="G27" s="179"/>
      <c r="H27" s="179"/>
      <c r="I27" s="138"/>
      <c r="J27" s="111"/>
      <c r="K27" s="111"/>
      <c r="L27" s="22"/>
    </row>
    <row r="28" spans="1:12" ht="11.25" customHeight="1">
      <c r="A28" s="17"/>
      <c r="B28" s="219"/>
      <c r="C28" s="218"/>
      <c r="D28" s="218"/>
      <c r="E28" s="218"/>
      <c r="F28" s="218"/>
      <c r="G28" s="179"/>
      <c r="H28" s="179"/>
      <c r="I28" s="138"/>
      <c r="J28" s="111"/>
      <c r="K28" s="111"/>
      <c r="L28" s="22"/>
    </row>
    <row r="29" spans="1:12" ht="11.25" customHeight="1">
      <c r="A29" s="17"/>
      <c r="B29" s="219"/>
      <c r="C29" s="218"/>
      <c r="D29" s="218"/>
      <c r="E29" s="218"/>
      <c r="F29" s="218"/>
      <c r="G29" s="179"/>
      <c r="H29" s="179"/>
      <c r="I29" s="138"/>
      <c r="J29" s="111"/>
      <c r="K29" s="111"/>
      <c r="L29" s="22"/>
    </row>
    <row r="30" spans="1:12" ht="11.25" customHeight="1">
      <c r="A30" s="17"/>
      <c r="B30" s="219"/>
      <c r="C30" s="218"/>
      <c r="D30" s="218"/>
      <c r="E30" s="218"/>
      <c r="F30" s="218"/>
      <c r="G30" s="179"/>
      <c r="H30" s="179"/>
      <c r="I30" s="138"/>
      <c r="J30" s="111"/>
      <c r="K30" s="111"/>
      <c r="L30" s="22"/>
    </row>
    <row r="31" spans="1:12" ht="11.25" customHeight="1">
      <c r="A31" s="17"/>
      <c r="B31" s="219"/>
      <c r="C31" s="218"/>
      <c r="D31" s="218"/>
      <c r="E31" s="218"/>
      <c r="F31" s="218"/>
      <c r="G31" s="179"/>
      <c r="H31" s="179"/>
      <c r="I31" s="138"/>
      <c r="J31" s="111"/>
      <c r="K31" s="111"/>
      <c r="L31" s="22"/>
    </row>
    <row r="32" spans="1:12" ht="11.25" customHeight="1">
      <c r="A32" s="17"/>
      <c r="B32" s="219"/>
      <c r="C32" s="218"/>
      <c r="D32" s="218"/>
      <c r="E32" s="218"/>
      <c r="F32" s="218"/>
      <c r="G32" s="179"/>
      <c r="H32" s="179"/>
      <c r="I32" s="138"/>
      <c r="J32" s="111"/>
      <c r="K32" s="111"/>
      <c r="L32" s="22"/>
    </row>
    <row r="33" spans="1:12" ht="11.25" customHeight="1">
      <c r="A33" s="17"/>
      <c r="B33" s="219"/>
      <c r="C33" s="218"/>
      <c r="D33" s="218"/>
      <c r="E33" s="218"/>
      <c r="F33" s="218"/>
      <c r="G33" s="179"/>
      <c r="H33" s="179"/>
      <c r="I33" s="138"/>
      <c r="J33" s="111"/>
      <c r="K33" s="111"/>
      <c r="L33" s="22"/>
    </row>
    <row r="34" spans="1:12" ht="11.25" customHeight="1">
      <c r="A34" s="17"/>
      <c r="B34" s="219"/>
      <c r="C34" s="218"/>
      <c r="D34" s="218"/>
      <c r="E34" s="218"/>
      <c r="F34" s="218"/>
      <c r="G34" s="179"/>
      <c r="H34" s="179"/>
      <c r="I34" s="138"/>
      <c r="J34" s="111"/>
      <c r="K34" s="111"/>
      <c r="L34" s="22"/>
    </row>
    <row r="35" spans="1:12" ht="23.25" customHeight="1">
      <c r="A35" s="950" t="s">
        <v>491</v>
      </c>
      <c r="B35" s="950"/>
      <c r="C35" s="950"/>
      <c r="D35" s="284"/>
      <c r="E35" s="953" t="s">
        <v>492</v>
      </c>
      <c r="F35" s="953"/>
      <c r="G35" s="953"/>
      <c r="H35" s="953"/>
      <c r="I35" s="953"/>
      <c r="J35" s="953"/>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20"/>
    </row>
    <row r="38" spans="1:12" ht="11.25" customHeight="1">
      <c r="A38" s="952" t="str">
        <f>"ENERGIA INTERRUMPIDA APROXIMADA POR TIPO DE EQUIPO (MWh)  -  "&amp;UPPER('1. Resumen'!Q4)&amp;" "&amp;'1. Resumen'!Q5</f>
        <v>ENERGIA INTERRUMPIDA APROXIMADA POR TIPO DE EQUIPO (MWh)  -  FEBRERO 2019</v>
      </c>
      <c r="B38" s="952"/>
      <c r="C38" s="952"/>
      <c r="D38" s="952"/>
      <c r="E38" s="952"/>
      <c r="F38" s="952"/>
      <c r="G38" s="952"/>
      <c r="H38" s="952"/>
      <c r="I38" s="952"/>
      <c r="J38" s="952"/>
      <c r="K38" s="25"/>
      <c r="L38" s="220"/>
    </row>
    <row r="39" spans="1:12" ht="11.25" customHeight="1">
      <c r="A39" s="17"/>
      <c r="B39" s="132"/>
      <c r="C39" s="132"/>
      <c r="D39" s="132"/>
      <c r="E39" s="132"/>
      <c r="F39" s="132"/>
      <c r="G39" s="25"/>
      <c r="H39" s="25"/>
      <c r="I39" s="25"/>
      <c r="J39" s="25"/>
      <c r="K39" s="25"/>
      <c r="L39" s="220"/>
    </row>
    <row r="40" spans="1:12" ht="11.25" customHeight="1">
      <c r="A40" s="17"/>
      <c r="B40" s="132"/>
      <c r="C40" s="25"/>
      <c r="D40" s="25"/>
      <c r="E40" s="25"/>
      <c r="F40" s="25"/>
      <c r="G40" s="25"/>
      <c r="H40" s="25"/>
      <c r="I40" s="25"/>
      <c r="J40" s="25"/>
      <c r="K40" s="25"/>
      <c r="L40" s="220"/>
    </row>
    <row r="41" spans="1:12" ht="11.25" customHeight="1">
      <c r="A41" s="17"/>
      <c r="B41" s="132"/>
      <c r="C41" s="25"/>
      <c r="D41" s="25"/>
      <c r="E41" s="25"/>
      <c r="F41" s="25"/>
      <c r="G41" s="25"/>
      <c r="H41" s="25"/>
    </row>
    <row r="42" spans="1:12" ht="12.75">
      <c r="A42" s="17"/>
      <c r="B42" s="132"/>
      <c r="J42" s="25"/>
      <c r="K42" s="25"/>
      <c r="L42" s="220"/>
    </row>
    <row r="43" spans="1:12" ht="12.75">
      <c r="A43" s="17"/>
      <c r="B43" s="132"/>
      <c r="C43" s="132"/>
      <c r="D43" s="132"/>
      <c r="E43" s="132"/>
      <c r="F43" s="132"/>
      <c r="G43" s="25"/>
      <c r="H43" s="25"/>
      <c r="I43" s="25"/>
      <c r="J43" s="25"/>
      <c r="K43" s="25"/>
      <c r="L43" s="220"/>
    </row>
    <row r="44" spans="1:12" ht="12.75">
      <c r="A44" s="17"/>
      <c r="B44" s="132"/>
      <c r="C44" s="132"/>
      <c r="D44" s="132"/>
      <c r="E44" s="132"/>
      <c r="F44" s="132"/>
      <c r="G44" s="25"/>
      <c r="H44" s="25"/>
      <c r="I44" s="25"/>
      <c r="J44" s="25"/>
      <c r="K44" s="25"/>
      <c r="L44" s="220"/>
    </row>
    <row r="45" spans="1:12" ht="12.75">
      <c r="A45" s="17"/>
      <c r="B45" s="132"/>
      <c r="C45" s="132"/>
      <c r="D45" s="132"/>
      <c r="E45" s="132"/>
      <c r="F45" s="132"/>
      <c r="G45" s="25"/>
      <c r="H45" s="25"/>
      <c r="I45" s="25"/>
      <c r="J45" s="25"/>
      <c r="K45" s="25"/>
      <c r="L45" s="220"/>
    </row>
    <row r="46" spans="1:12" ht="12.75">
      <c r="A46" s="17"/>
      <c r="B46" s="132"/>
      <c r="C46" s="132"/>
      <c r="D46" s="132"/>
      <c r="E46" s="132"/>
      <c r="F46" s="132"/>
      <c r="G46" s="25"/>
      <c r="H46" s="25"/>
      <c r="I46" s="25"/>
      <c r="J46" s="25"/>
      <c r="K46" s="25"/>
      <c r="L46" s="220"/>
    </row>
    <row r="47" spans="1:12" ht="12.75">
      <c r="A47" s="164"/>
      <c r="B47" s="25"/>
      <c r="C47" s="25"/>
      <c r="D47" s="25"/>
      <c r="E47" s="25"/>
      <c r="F47" s="25"/>
      <c r="G47" s="25"/>
      <c r="H47" s="25"/>
      <c r="I47" s="25"/>
      <c r="J47" s="25"/>
      <c r="K47" s="25"/>
      <c r="L47" s="220"/>
    </row>
    <row r="48" spans="1:12" ht="12.75">
      <c r="A48" s="164"/>
      <c r="B48" s="25"/>
      <c r="C48" s="25"/>
      <c r="D48" s="25"/>
      <c r="E48" s="25"/>
      <c r="F48" s="25"/>
      <c r="G48" s="25"/>
      <c r="H48" s="25"/>
      <c r="I48" s="25"/>
      <c r="J48" s="25"/>
      <c r="K48" s="25"/>
      <c r="L48" s="220"/>
    </row>
    <row r="49" spans="1:12" ht="12.75">
      <c r="A49" s="164"/>
      <c r="B49" s="25"/>
      <c r="C49" s="25"/>
      <c r="D49" s="25"/>
      <c r="E49" s="25"/>
      <c r="F49" s="25"/>
      <c r="G49" s="25"/>
      <c r="H49" s="25"/>
      <c r="I49" s="25"/>
      <c r="J49" s="25"/>
      <c r="K49" s="25"/>
      <c r="L49" s="220"/>
    </row>
    <row r="50" spans="1:12" ht="12.75">
      <c r="A50" s="164"/>
      <c r="B50" s="25"/>
      <c r="C50" s="25"/>
      <c r="D50" s="25"/>
      <c r="E50" s="25"/>
      <c r="F50" s="25"/>
      <c r="G50" s="25"/>
      <c r="H50" s="25"/>
      <c r="I50" s="25"/>
      <c r="J50" s="25"/>
      <c r="K50" s="25"/>
      <c r="L50" s="220"/>
    </row>
    <row r="51" spans="1:12" ht="12.75">
      <c r="A51" s="164"/>
      <c r="B51" s="25"/>
      <c r="C51" s="25"/>
      <c r="D51" s="25"/>
      <c r="E51" s="25"/>
      <c r="F51" s="25"/>
      <c r="G51" s="25"/>
      <c r="H51" s="25"/>
      <c r="I51" s="25"/>
      <c r="J51" s="25"/>
      <c r="K51" s="25"/>
      <c r="L51" s="220"/>
    </row>
    <row r="52" spans="1:12" ht="12.75">
      <c r="A52" s="164"/>
      <c r="B52" s="25"/>
      <c r="C52" s="25"/>
      <c r="D52" s="25"/>
      <c r="E52" s="25"/>
      <c r="F52" s="25"/>
      <c r="G52" s="25"/>
      <c r="H52" s="25"/>
      <c r="I52" s="25"/>
      <c r="J52" s="25"/>
      <c r="K52" s="25"/>
      <c r="L52" s="220"/>
    </row>
    <row r="53" spans="1:12">
      <c r="A53" s="284" t="str">
        <f>"Gráfico N°26: Comparación de la energía interrumpida aproximada por tipo de equipo en "&amp;'1. Resumen'!Q4&amp;" "&amp;'1. Resumen'!Q5</f>
        <v>Gráfico N°26: Comparación de la energía interrumpida aproximada por tipo de equipo en febrero 2019</v>
      </c>
      <c r="B53" s="25"/>
      <c r="C53" s="25"/>
      <c r="D53" s="25"/>
      <c r="E53" s="25"/>
      <c r="F53" s="25"/>
      <c r="G53" s="25"/>
      <c r="H53" s="25"/>
      <c r="I53" s="25"/>
      <c r="J53" s="25"/>
      <c r="K53" s="25"/>
      <c r="L53" s="220"/>
    </row>
    <row r="54" spans="1:12">
      <c r="B54" s="25"/>
      <c r="C54" s="25"/>
      <c r="D54" s="25"/>
      <c r="E54" s="25"/>
      <c r="F54" s="25"/>
      <c r="G54" s="25"/>
      <c r="H54" s="25"/>
      <c r="I54" s="25"/>
      <c r="J54" s="25"/>
      <c r="K54" s="25"/>
      <c r="L54" s="220"/>
    </row>
    <row r="55" spans="1:12" ht="24.75" customHeight="1">
      <c r="A55" s="948" t="s">
        <v>215</v>
      </c>
      <c r="B55" s="948"/>
      <c r="C55" s="948"/>
      <c r="D55" s="948"/>
      <c r="E55" s="948"/>
      <c r="F55" s="948"/>
      <c r="G55" s="948"/>
      <c r="H55" s="948"/>
      <c r="I55" s="948"/>
      <c r="J55" s="948"/>
      <c r="K55" s="25"/>
      <c r="L55" s="220"/>
    </row>
    <row r="56" spans="1:12" ht="11.25" customHeight="1">
      <c r="A56" s="949" t="s">
        <v>216</v>
      </c>
      <c r="B56" s="949"/>
      <c r="C56" s="949"/>
      <c r="D56" s="949"/>
      <c r="E56" s="949"/>
      <c r="F56" s="949"/>
      <c r="G56" s="949"/>
      <c r="H56" s="949"/>
      <c r="I56" s="949"/>
      <c r="J56" s="949"/>
      <c r="K56" s="25"/>
      <c r="L56" s="220"/>
    </row>
    <row r="57" spans="1:12" ht="12.75">
      <c r="A57" s="164"/>
      <c r="B57" s="25"/>
      <c r="C57" s="25"/>
      <c r="D57" s="25"/>
      <c r="E57" s="25"/>
      <c r="F57" s="25"/>
      <c r="G57" s="25"/>
      <c r="H57" s="25"/>
      <c r="I57" s="25"/>
      <c r="J57" s="25"/>
      <c r="K57" s="25"/>
      <c r="L57" s="220"/>
    </row>
    <row r="58" spans="1:12" ht="12.75">
      <c r="A58" s="164"/>
      <c r="B58" s="25"/>
      <c r="C58" s="25"/>
      <c r="D58" s="25"/>
      <c r="E58" s="25"/>
      <c r="F58" s="25"/>
      <c r="G58" s="25"/>
      <c r="H58" s="25"/>
      <c r="I58" s="25"/>
      <c r="J58" s="25"/>
      <c r="K58" s="25"/>
      <c r="L58" s="220"/>
    </row>
    <row r="59" spans="1:12" ht="12.75">
      <c r="A59" s="164"/>
      <c r="B59" s="25"/>
      <c r="C59" s="25"/>
      <c r="D59" s="25"/>
      <c r="E59" s="25"/>
      <c r="F59" s="25"/>
      <c r="G59" s="25"/>
      <c r="H59" s="25"/>
      <c r="I59" s="25"/>
      <c r="J59" s="25"/>
      <c r="K59" s="25"/>
      <c r="L59" s="220"/>
    </row>
    <row r="60" spans="1:12" ht="12.75">
      <c r="A60" s="164"/>
      <c r="B60" s="25"/>
      <c r="C60" s="25"/>
      <c r="D60" s="25"/>
      <c r="E60" s="25"/>
      <c r="F60" s="25"/>
      <c r="G60" s="25"/>
      <c r="H60" s="25"/>
      <c r="I60" s="25"/>
      <c r="J60" s="25"/>
      <c r="K60" s="25"/>
      <c r="L60" s="220"/>
    </row>
    <row r="61" spans="1:12" ht="12.75">
      <c r="A61" s="164"/>
      <c r="B61" s="25"/>
      <c r="C61" s="25"/>
      <c r="D61" s="25"/>
      <c r="E61" s="25"/>
      <c r="F61" s="25"/>
      <c r="G61" s="25"/>
      <c r="H61" s="25"/>
      <c r="I61" s="25"/>
      <c r="J61" s="25"/>
      <c r="K61" s="25"/>
      <c r="L61" s="220"/>
    </row>
    <row r="62" spans="1:12" ht="12.75">
      <c r="A62" s="164"/>
      <c r="B62" s="25"/>
      <c r="C62" s="25"/>
      <c r="D62" s="25"/>
      <c r="E62" s="25"/>
      <c r="F62" s="25"/>
      <c r="G62" s="25"/>
      <c r="H62" s="25"/>
      <c r="I62" s="25"/>
      <c r="J62" s="25"/>
      <c r="K62" s="25"/>
      <c r="L62" s="220"/>
    </row>
    <row r="63" spans="1:12" ht="12.75">
      <c r="A63" s="164"/>
      <c r="B63" s="25"/>
      <c r="C63" s="25"/>
      <c r="D63" s="25"/>
      <c r="E63" s="25"/>
      <c r="F63" s="25"/>
      <c r="G63" s="25"/>
      <c r="H63" s="25"/>
      <c r="I63" s="25"/>
      <c r="J63" s="25"/>
      <c r="K63" s="25"/>
      <c r="L63" s="220"/>
    </row>
    <row r="64" spans="1:12" ht="12.75">
      <c r="A64" s="164"/>
      <c r="B64" s="25"/>
      <c r="C64" s="25"/>
      <c r="D64" s="25"/>
      <c r="E64" s="25"/>
      <c r="F64" s="25"/>
      <c r="G64" s="25"/>
      <c r="H64" s="25"/>
      <c r="I64" s="25"/>
      <c r="J64" s="25"/>
      <c r="K64" s="25"/>
      <c r="L64" s="220"/>
    </row>
    <row r="65" spans="1:12" ht="12.75">
      <c r="A65" s="164"/>
      <c r="B65" s="25"/>
      <c r="C65" s="25"/>
      <c r="D65" s="25"/>
      <c r="E65" s="25"/>
      <c r="F65" s="25"/>
      <c r="G65" s="25"/>
      <c r="H65" s="25"/>
      <c r="I65" s="25"/>
      <c r="J65" s="25"/>
      <c r="K65" s="25"/>
      <c r="L65" s="220"/>
    </row>
    <row r="66" spans="1:12" ht="12.75">
      <c r="A66" s="164"/>
      <c r="B66" s="25"/>
      <c r="C66" s="25"/>
      <c r="D66" s="25"/>
      <c r="E66" s="25"/>
      <c r="F66" s="25"/>
      <c r="G66" s="25"/>
      <c r="H66" s="25"/>
      <c r="I66" s="25"/>
      <c r="J66" s="25"/>
      <c r="K66" s="25"/>
      <c r="L66" s="220"/>
    </row>
    <row r="67" spans="1:12" ht="12.75">
      <c r="A67" s="164"/>
      <c r="B67" s="25"/>
      <c r="J67" s="25"/>
      <c r="K67" s="25"/>
      <c r="L67" s="220"/>
    </row>
    <row r="68" spans="1:12" ht="12.75">
      <c r="A68" s="164"/>
      <c r="B68" s="25"/>
      <c r="J68" s="25"/>
      <c r="K68" s="25"/>
      <c r="L68" s="220"/>
    </row>
    <row r="69" spans="1:12" ht="12.75">
      <c r="A69" s="164"/>
      <c r="B69" s="25"/>
      <c r="J69" s="25"/>
      <c r="K69" s="25"/>
      <c r="L69" s="220"/>
    </row>
    <row r="70" spans="1:12" ht="12.75">
      <c r="A70" s="164"/>
      <c r="B70" s="25"/>
      <c r="J70" s="25"/>
      <c r="K70" s="25"/>
      <c r="L70" s="220"/>
    </row>
    <row r="71" spans="1:12">
      <c r="B71" s="220"/>
      <c r="C71" s="220"/>
      <c r="D71" s="220"/>
      <c r="E71" s="220"/>
      <c r="F71" s="220"/>
      <c r="G71" s="220"/>
      <c r="H71" s="220"/>
      <c r="I71" s="220"/>
      <c r="J71" s="220"/>
      <c r="K71" s="220"/>
      <c r="L71" s="220"/>
    </row>
    <row r="72" spans="1:12">
      <c r="B72" s="220"/>
      <c r="C72" s="220"/>
      <c r="D72" s="220"/>
      <c r="E72" s="220"/>
      <c r="F72" s="220"/>
      <c r="G72" s="220"/>
      <c r="H72" s="220"/>
      <c r="I72" s="220"/>
      <c r="J72" s="220"/>
      <c r="K72" s="220"/>
      <c r="L72" s="220"/>
    </row>
    <row r="73" spans="1:12">
      <c r="B73" s="220"/>
      <c r="C73" s="220"/>
      <c r="D73" s="220"/>
      <c r="E73" s="220"/>
      <c r="F73" s="220"/>
      <c r="G73" s="220"/>
      <c r="H73" s="220"/>
      <c r="I73" s="220"/>
      <c r="J73" s="220"/>
      <c r="K73" s="220"/>
      <c r="L73" s="220"/>
    </row>
    <row r="74" spans="1:12">
      <c r="B74" s="220"/>
      <c r="C74" s="220"/>
      <c r="D74" s="220"/>
      <c r="E74" s="220"/>
      <c r="F74" s="220"/>
      <c r="G74" s="220"/>
      <c r="H74" s="220"/>
      <c r="I74" s="220"/>
      <c r="J74" s="220"/>
      <c r="K74" s="220"/>
      <c r="L74" s="220"/>
    </row>
    <row r="75" spans="1:12">
      <c r="B75" s="220"/>
      <c r="C75" s="220"/>
      <c r="D75" s="220"/>
      <c r="E75" s="220"/>
      <c r="F75" s="220"/>
      <c r="G75" s="220"/>
      <c r="H75" s="220"/>
      <c r="I75" s="220"/>
      <c r="J75" s="220"/>
      <c r="K75" s="220"/>
      <c r="L75" s="220"/>
    </row>
    <row r="76" spans="1:12">
      <c r="B76" s="220"/>
      <c r="C76" s="220"/>
      <c r="D76" s="220"/>
      <c r="E76" s="220"/>
      <c r="F76" s="220"/>
      <c r="G76" s="220"/>
      <c r="H76" s="220"/>
      <c r="I76" s="220"/>
      <c r="J76" s="220"/>
      <c r="K76" s="220"/>
      <c r="L76" s="220"/>
    </row>
    <row r="77" spans="1:12">
      <c r="B77" s="220"/>
      <c r="C77" s="220"/>
      <c r="D77" s="220"/>
      <c r="E77" s="220"/>
      <c r="F77" s="220"/>
      <c r="G77" s="220"/>
      <c r="H77" s="220"/>
      <c r="I77" s="220"/>
      <c r="J77" s="220"/>
      <c r="K77" s="220"/>
      <c r="L77" s="220"/>
    </row>
    <row r="78" spans="1:12">
      <c r="B78" s="220"/>
      <c r="C78" s="220"/>
      <c r="D78" s="220"/>
      <c r="E78" s="220"/>
      <c r="F78" s="220"/>
      <c r="G78" s="220"/>
      <c r="H78" s="220"/>
      <c r="I78" s="220"/>
      <c r="J78" s="220"/>
      <c r="K78" s="220"/>
      <c r="L78" s="220"/>
    </row>
    <row r="79" spans="1:12">
      <c r="B79" s="220"/>
      <c r="C79" s="220"/>
      <c r="D79" s="220"/>
      <c r="E79" s="220"/>
      <c r="F79" s="220"/>
      <c r="G79" s="220"/>
      <c r="H79" s="220"/>
      <c r="I79" s="220"/>
      <c r="J79" s="220"/>
      <c r="K79" s="220"/>
      <c r="L79" s="220"/>
    </row>
    <row r="80" spans="1:12">
      <c r="B80" s="220"/>
      <c r="C80" s="220"/>
      <c r="D80" s="220"/>
      <c r="E80" s="220"/>
      <c r="F80" s="220"/>
      <c r="G80" s="220"/>
      <c r="H80" s="220"/>
      <c r="I80" s="220"/>
      <c r="J80" s="220"/>
      <c r="K80" s="220"/>
      <c r="L80" s="220"/>
    </row>
    <row r="81" spans="2:12">
      <c r="B81" s="220"/>
      <c r="C81" s="220"/>
      <c r="D81" s="220"/>
      <c r="E81" s="220"/>
      <c r="F81" s="220"/>
      <c r="G81" s="220"/>
      <c r="H81" s="220"/>
      <c r="I81" s="220"/>
      <c r="J81" s="220"/>
      <c r="K81" s="220"/>
      <c r="L81" s="220"/>
    </row>
    <row r="82" spans="2:12">
      <c r="B82" s="220"/>
      <c r="C82" s="220"/>
      <c r="D82" s="220"/>
      <c r="E82" s="220"/>
      <c r="F82" s="220"/>
      <c r="G82" s="220"/>
      <c r="H82" s="220"/>
      <c r="I82" s="220"/>
      <c r="J82" s="220"/>
      <c r="K82" s="220"/>
      <c r="L82" s="220"/>
    </row>
    <row r="83" spans="2:12">
      <c r="B83" s="220"/>
      <c r="C83" s="220"/>
      <c r="D83" s="220"/>
      <c r="E83" s="220"/>
      <c r="F83" s="220"/>
      <c r="G83" s="220"/>
      <c r="H83" s="220"/>
      <c r="I83" s="220"/>
      <c r="J83" s="220"/>
      <c r="K83" s="220"/>
      <c r="L83" s="220"/>
    </row>
    <row r="84" spans="2:12">
      <c r="B84" s="220"/>
      <c r="C84" s="220"/>
      <c r="D84" s="220"/>
      <c r="E84" s="220"/>
      <c r="F84" s="220"/>
      <c r="G84" s="220"/>
      <c r="H84" s="220"/>
      <c r="I84" s="220"/>
      <c r="J84" s="220"/>
      <c r="K84" s="220"/>
      <c r="L84" s="220"/>
    </row>
    <row r="85" spans="2:12">
      <c r="B85" s="220"/>
      <c r="C85" s="220"/>
      <c r="D85" s="220"/>
      <c r="E85" s="220"/>
      <c r="F85" s="220"/>
      <c r="G85" s="220"/>
      <c r="H85" s="220"/>
      <c r="I85" s="220"/>
      <c r="J85" s="220"/>
      <c r="K85" s="220"/>
      <c r="L85" s="220"/>
    </row>
    <row r="86" spans="2:12">
      <c r="B86" s="220"/>
      <c r="C86" s="220"/>
      <c r="D86" s="220"/>
      <c r="E86" s="220"/>
      <c r="F86" s="220"/>
      <c r="G86" s="220"/>
      <c r="H86" s="220"/>
      <c r="I86" s="220"/>
      <c r="J86" s="220"/>
      <c r="K86" s="220"/>
      <c r="L86" s="220"/>
    </row>
    <row r="87" spans="2:12">
      <c r="B87" s="220"/>
      <c r="C87" s="220"/>
      <c r="D87" s="220"/>
      <c r="E87" s="220"/>
      <c r="F87" s="220"/>
      <c r="G87" s="220"/>
      <c r="H87" s="220"/>
      <c r="I87" s="220"/>
      <c r="J87" s="220"/>
      <c r="K87" s="220"/>
      <c r="L87" s="220"/>
    </row>
    <row r="88" spans="2:12">
      <c r="B88" s="220"/>
      <c r="C88" s="220"/>
      <c r="D88" s="220"/>
      <c r="E88" s="220"/>
      <c r="F88" s="220"/>
      <c r="G88" s="220"/>
      <c r="H88" s="220"/>
      <c r="I88" s="220"/>
      <c r="J88" s="220"/>
      <c r="K88" s="220"/>
      <c r="L88" s="220"/>
    </row>
    <row r="89" spans="2:12">
      <c r="B89" s="220"/>
      <c r="C89" s="220"/>
      <c r="D89" s="220"/>
      <c r="E89" s="220"/>
      <c r="F89" s="220"/>
      <c r="G89" s="220"/>
      <c r="H89" s="220"/>
      <c r="I89" s="220"/>
      <c r="J89" s="220"/>
      <c r="K89" s="220"/>
      <c r="L89" s="220"/>
    </row>
    <row r="90" spans="2:12">
      <c r="B90" s="220"/>
      <c r="C90" s="220"/>
      <c r="D90" s="220"/>
      <c r="E90" s="220"/>
      <c r="F90" s="220"/>
      <c r="G90" s="220"/>
      <c r="H90" s="220"/>
      <c r="I90" s="220"/>
      <c r="J90" s="220"/>
      <c r="K90" s="220"/>
      <c r="L90" s="220"/>
    </row>
    <row r="91" spans="2:12">
      <c r="B91" s="220"/>
      <c r="C91" s="220"/>
      <c r="D91" s="220"/>
      <c r="E91" s="220"/>
      <c r="F91" s="220"/>
      <c r="G91" s="220"/>
      <c r="H91" s="220"/>
      <c r="I91" s="220"/>
      <c r="J91" s="220"/>
      <c r="K91" s="220"/>
      <c r="L91" s="220"/>
    </row>
    <row r="92" spans="2:12">
      <c r="B92" s="220"/>
      <c r="C92" s="220"/>
      <c r="D92" s="220"/>
      <c r="E92" s="220"/>
      <c r="F92" s="220"/>
      <c r="G92" s="220"/>
      <c r="H92" s="220"/>
      <c r="I92" s="220"/>
      <c r="J92" s="220"/>
      <c r="K92" s="220"/>
      <c r="L92" s="220"/>
    </row>
    <row r="93" spans="2:12">
      <c r="B93" s="220"/>
      <c r="C93" s="220"/>
      <c r="D93" s="220"/>
      <c r="E93" s="220"/>
      <c r="F93" s="220"/>
      <c r="G93" s="220"/>
      <c r="H93" s="220"/>
      <c r="I93" s="220"/>
      <c r="J93" s="220"/>
      <c r="K93" s="220"/>
      <c r="L93" s="220"/>
    </row>
    <row r="94" spans="2:12">
      <c r="B94" s="220"/>
      <c r="C94" s="220"/>
      <c r="D94" s="220"/>
      <c r="E94" s="220"/>
      <c r="F94" s="220"/>
      <c r="G94" s="220"/>
      <c r="H94" s="220"/>
      <c r="I94" s="220"/>
      <c r="J94" s="220"/>
      <c r="K94" s="220"/>
      <c r="L94" s="220"/>
    </row>
    <row r="95" spans="2:12">
      <c r="B95" s="220"/>
      <c r="C95" s="220"/>
      <c r="D95" s="220"/>
      <c r="E95" s="220"/>
      <c r="F95" s="220"/>
      <c r="G95" s="220"/>
      <c r="H95" s="220"/>
      <c r="I95" s="220"/>
      <c r="J95" s="220"/>
      <c r="K95" s="220"/>
      <c r="L95" s="220"/>
    </row>
    <row r="96" spans="2:12">
      <c r="B96" s="220"/>
      <c r="C96" s="220"/>
      <c r="D96" s="220"/>
      <c r="E96" s="220"/>
      <c r="F96" s="220"/>
      <c r="G96" s="220"/>
      <c r="H96" s="220"/>
      <c r="I96" s="220"/>
      <c r="J96" s="220"/>
      <c r="K96" s="220"/>
      <c r="L96" s="220"/>
    </row>
    <row r="97" spans="2:12">
      <c r="B97" s="220"/>
      <c r="C97" s="220"/>
      <c r="D97" s="220"/>
      <c r="E97" s="220"/>
      <c r="F97" s="220"/>
      <c r="G97" s="220"/>
      <c r="H97" s="220"/>
      <c r="I97" s="220"/>
      <c r="J97" s="220"/>
      <c r="K97" s="220"/>
      <c r="L97" s="220"/>
    </row>
    <row r="98" spans="2:12">
      <c r="B98" s="220"/>
      <c r="C98" s="220"/>
      <c r="D98" s="220"/>
      <c r="E98" s="220"/>
      <c r="F98" s="220"/>
      <c r="G98" s="220"/>
      <c r="H98" s="220"/>
      <c r="I98" s="220"/>
      <c r="J98" s="220"/>
      <c r="K98" s="220"/>
      <c r="L98" s="220"/>
    </row>
    <row r="99" spans="2:12">
      <c r="B99" s="220"/>
      <c r="C99" s="220"/>
      <c r="D99" s="220"/>
      <c r="E99" s="220"/>
      <c r="F99" s="220"/>
      <c r="G99" s="220"/>
      <c r="H99" s="220"/>
      <c r="I99" s="220"/>
      <c r="J99" s="220"/>
      <c r="K99" s="220"/>
      <c r="L99" s="220"/>
    </row>
    <row r="100" spans="2:12">
      <c r="B100" s="220"/>
      <c r="C100" s="220"/>
      <c r="D100" s="220"/>
      <c r="E100" s="220"/>
      <c r="F100" s="220"/>
      <c r="G100" s="220"/>
      <c r="H100" s="220"/>
      <c r="I100" s="220"/>
      <c r="J100" s="220"/>
      <c r="K100" s="220"/>
      <c r="L100" s="220"/>
    </row>
    <row r="101" spans="2:12">
      <c r="B101" s="220"/>
      <c r="C101" s="220"/>
      <c r="D101" s="220"/>
      <c r="E101" s="220"/>
      <c r="F101" s="220"/>
      <c r="G101" s="220"/>
      <c r="H101" s="220"/>
      <c r="I101" s="220"/>
      <c r="J101" s="220"/>
      <c r="K101" s="220"/>
      <c r="L101" s="220"/>
    </row>
    <row r="102" spans="2:12">
      <c r="B102" s="220"/>
      <c r="C102" s="220"/>
      <c r="D102" s="220"/>
      <c r="E102" s="220"/>
      <c r="F102" s="220"/>
      <c r="G102" s="220"/>
      <c r="H102" s="220"/>
      <c r="I102" s="220"/>
      <c r="J102" s="220"/>
      <c r="K102" s="220"/>
      <c r="L102" s="220"/>
    </row>
    <row r="103" spans="2:12">
      <c r="B103" s="220"/>
      <c r="C103" s="220"/>
      <c r="D103" s="220"/>
      <c r="E103" s="220"/>
      <c r="F103" s="220"/>
      <c r="G103" s="220"/>
      <c r="H103" s="220"/>
      <c r="I103" s="220"/>
      <c r="J103" s="220"/>
      <c r="K103" s="220"/>
      <c r="L103" s="220"/>
    </row>
    <row r="104" spans="2:12">
      <c r="B104" s="220"/>
      <c r="C104" s="220"/>
      <c r="D104" s="220"/>
      <c r="E104" s="220"/>
      <c r="F104" s="220"/>
      <c r="G104" s="220"/>
      <c r="H104" s="220"/>
      <c r="I104" s="220"/>
      <c r="J104" s="220"/>
      <c r="K104" s="220"/>
      <c r="L104" s="220"/>
    </row>
    <row r="105" spans="2:12">
      <c r="B105" s="220"/>
      <c r="C105" s="220"/>
      <c r="D105" s="220"/>
      <c r="E105" s="220"/>
      <c r="F105" s="220"/>
      <c r="G105" s="220"/>
      <c r="H105" s="220"/>
      <c r="I105" s="220"/>
      <c r="J105" s="220"/>
      <c r="K105" s="220"/>
      <c r="L105" s="220"/>
    </row>
    <row r="106" spans="2:12">
      <c r="B106" s="220"/>
      <c r="C106" s="220"/>
      <c r="D106" s="220"/>
      <c r="E106" s="220"/>
      <c r="F106" s="220"/>
      <c r="G106" s="220"/>
      <c r="H106" s="220"/>
      <c r="I106" s="220"/>
      <c r="J106" s="220"/>
      <c r="K106" s="220"/>
      <c r="L106" s="220"/>
    </row>
    <row r="107" spans="2:12">
      <c r="B107" s="220"/>
      <c r="C107" s="220"/>
      <c r="D107" s="220"/>
      <c r="E107" s="220"/>
      <c r="F107" s="220"/>
      <c r="G107" s="220"/>
      <c r="H107" s="220"/>
      <c r="I107" s="220"/>
      <c r="J107" s="220"/>
      <c r="K107" s="220"/>
      <c r="L107" s="220"/>
    </row>
    <row r="108" spans="2:12">
      <c r="B108" s="220"/>
      <c r="C108" s="220"/>
      <c r="D108" s="220"/>
      <c r="E108" s="220"/>
      <c r="F108" s="220"/>
      <c r="G108" s="220"/>
      <c r="H108" s="220"/>
      <c r="I108" s="220"/>
      <c r="J108" s="220"/>
      <c r="K108" s="220"/>
      <c r="L108" s="220"/>
    </row>
    <row r="109" spans="2:12">
      <c r="B109" s="220"/>
      <c r="C109" s="220"/>
      <c r="D109" s="220"/>
      <c r="E109" s="220"/>
      <c r="F109" s="220"/>
      <c r="G109" s="220"/>
      <c r="H109" s="220"/>
      <c r="I109" s="220"/>
      <c r="J109" s="220"/>
      <c r="K109" s="220"/>
      <c r="L109" s="220"/>
    </row>
    <row r="110" spans="2:12">
      <c r="B110" s="220"/>
      <c r="C110" s="220"/>
      <c r="D110" s="220"/>
      <c r="E110" s="220"/>
      <c r="F110" s="220"/>
      <c r="G110" s="220"/>
      <c r="H110" s="220"/>
      <c r="I110" s="220"/>
      <c r="J110" s="220"/>
      <c r="K110" s="220"/>
      <c r="L110" s="220"/>
    </row>
    <row r="111" spans="2:12">
      <c r="B111" s="220"/>
      <c r="C111" s="220"/>
      <c r="D111" s="220"/>
      <c r="E111" s="220"/>
      <c r="F111" s="220"/>
      <c r="G111" s="220"/>
      <c r="H111" s="220"/>
      <c r="I111" s="220"/>
      <c r="J111" s="220"/>
      <c r="K111" s="220"/>
      <c r="L111" s="220"/>
    </row>
    <row r="112" spans="2:12">
      <c r="B112" s="220"/>
      <c r="C112" s="220"/>
      <c r="D112" s="220"/>
      <c r="E112" s="220"/>
      <c r="F112" s="220"/>
      <c r="G112" s="220"/>
      <c r="H112" s="220"/>
      <c r="I112" s="220"/>
      <c r="J112" s="220"/>
      <c r="K112" s="220"/>
      <c r="L112" s="220"/>
    </row>
    <row r="113" spans="2:12">
      <c r="B113" s="220"/>
      <c r="C113" s="220"/>
      <c r="D113" s="220"/>
      <c r="E113" s="220"/>
      <c r="F113" s="220"/>
      <c r="G113" s="220"/>
      <c r="H113" s="220"/>
      <c r="I113" s="220"/>
      <c r="J113" s="220"/>
      <c r="K113" s="220"/>
      <c r="L113" s="220"/>
    </row>
    <row r="114" spans="2:12">
      <c r="B114" s="220"/>
      <c r="C114" s="220"/>
      <c r="D114" s="220"/>
      <c r="E114" s="220"/>
      <c r="F114" s="220"/>
      <c r="G114" s="220"/>
      <c r="H114" s="220"/>
      <c r="I114" s="220"/>
      <c r="J114" s="220"/>
      <c r="K114" s="220"/>
      <c r="L114" s="220"/>
    </row>
    <row r="115" spans="2:12">
      <c r="B115" s="220"/>
      <c r="C115" s="220"/>
      <c r="D115" s="220"/>
      <c r="E115" s="220"/>
      <c r="F115" s="220"/>
      <c r="G115" s="220"/>
      <c r="H115" s="220"/>
      <c r="I115" s="220"/>
      <c r="J115" s="220"/>
      <c r="K115" s="220"/>
      <c r="L115" s="220"/>
    </row>
    <row r="116" spans="2:12">
      <c r="B116" s="220"/>
      <c r="C116" s="220"/>
      <c r="D116" s="220"/>
      <c r="E116" s="220"/>
      <c r="F116" s="220"/>
      <c r="G116" s="220"/>
      <c r="H116" s="220"/>
      <c r="I116" s="220"/>
      <c r="J116" s="220"/>
      <c r="K116" s="220"/>
      <c r="L116" s="220"/>
    </row>
    <row r="117" spans="2:12">
      <c r="B117" s="220"/>
      <c r="C117" s="220"/>
      <c r="D117" s="220"/>
      <c r="E117" s="220"/>
      <c r="F117" s="220"/>
      <c r="G117" s="220"/>
      <c r="H117" s="220"/>
      <c r="I117" s="220"/>
      <c r="J117" s="220"/>
      <c r="K117" s="220"/>
      <c r="L117" s="220"/>
    </row>
    <row r="118" spans="2:12">
      <c r="B118" s="220"/>
      <c r="C118" s="220"/>
      <c r="D118" s="220"/>
      <c r="E118" s="220"/>
      <c r="F118" s="220"/>
      <c r="G118" s="220"/>
      <c r="H118" s="220"/>
      <c r="I118" s="220"/>
      <c r="J118" s="220"/>
      <c r="K118" s="220"/>
      <c r="L118" s="220"/>
    </row>
    <row r="119" spans="2:12">
      <c r="B119" s="220"/>
      <c r="C119" s="220"/>
      <c r="D119" s="220"/>
      <c r="E119" s="220"/>
      <c r="F119" s="220"/>
      <c r="G119" s="220"/>
      <c r="H119" s="220"/>
      <c r="I119" s="220"/>
      <c r="J119" s="220"/>
      <c r="K119" s="220"/>
      <c r="L119" s="220"/>
    </row>
    <row r="120" spans="2:12">
      <c r="B120" s="220"/>
      <c r="C120" s="220"/>
      <c r="D120" s="220"/>
      <c r="E120" s="220"/>
      <c r="F120" s="220"/>
      <c r="G120" s="220"/>
      <c r="H120" s="220"/>
      <c r="I120" s="220"/>
      <c r="J120" s="220"/>
      <c r="K120" s="220"/>
      <c r="L120" s="220"/>
    </row>
    <row r="121" spans="2:12">
      <c r="B121" s="220"/>
      <c r="C121" s="220"/>
      <c r="D121" s="220"/>
      <c r="E121" s="220"/>
      <c r="F121" s="220"/>
      <c r="G121" s="220"/>
      <c r="H121" s="220"/>
      <c r="I121" s="220"/>
      <c r="J121" s="220"/>
      <c r="K121" s="220"/>
      <c r="L121" s="220"/>
    </row>
    <row r="122" spans="2:12">
      <c r="B122" s="220"/>
      <c r="C122" s="220"/>
      <c r="D122" s="220"/>
      <c r="E122" s="220"/>
      <c r="F122" s="220"/>
      <c r="G122" s="220"/>
      <c r="H122" s="220"/>
      <c r="I122" s="220"/>
      <c r="J122" s="220"/>
      <c r="K122" s="220"/>
      <c r="L122" s="220"/>
    </row>
    <row r="123" spans="2:12">
      <c r="B123" s="220"/>
      <c r="C123" s="220"/>
      <c r="D123" s="220"/>
      <c r="E123" s="220"/>
      <c r="F123" s="220"/>
      <c r="G123" s="220"/>
      <c r="H123" s="220"/>
      <c r="I123" s="220"/>
      <c r="J123" s="220"/>
      <c r="K123" s="220"/>
      <c r="L123" s="220"/>
    </row>
    <row r="124" spans="2:12">
      <c r="B124" s="220"/>
      <c r="C124" s="220"/>
      <c r="D124" s="220"/>
      <c r="E124" s="220"/>
      <c r="F124" s="220"/>
      <c r="G124" s="220"/>
      <c r="H124" s="220"/>
      <c r="I124" s="220"/>
      <c r="J124" s="220"/>
      <c r="K124" s="220"/>
      <c r="L124" s="220"/>
    </row>
    <row r="125" spans="2:12">
      <c r="B125" s="220"/>
      <c r="C125" s="220"/>
      <c r="D125" s="220"/>
      <c r="E125" s="220"/>
      <c r="F125" s="220"/>
      <c r="G125" s="220"/>
      <c r="H125" s="220"/>
      <c r="I125" s="220"/>
      <c r="J125" s="220"/>
      <c r="K125" s="220"/>
      <c r="L125" s="220"/>
    </row>
    <row r="126" spans="2:12">
      <c r="B126" s="220"/>
      <c r="C126" s="220"/>
      <c r="D126" s="220"/>
      <c r="E126" s="220"/>
      <c r="F126" s="220"/>
      <c r="G126" s="220"/>
      <c r="H126" s="220"/>
      <c r="I126" s="220"/>
      <c r="J126" s="220"/>
      <c r="K126" s="220"/>
      <c r="L126" s="220"/>
    </row>
    <row r="127" spans="2:12">
      <c r="B127" s="220"/>
      <c r="C127" s="220"/>
      <c r="D127" s="220"/>
      <c r="E127" s="220"/>
      <c r="F127" s="220"/>
      <c r="G127" s="220"/>
      <c r="H127" s="220"/>
      <c r="I127" s="220"/>
      <c r="J127" s="220"/>
      <c r="K127" s="220"/>
      <c r="L127" s="220"/>
    </row>
    <row r="128" spans="2:12">
      <c r="B128" s="220"/>
      <c r="C128" s="220"/>
      <c r="D128" s="220"/>
      <c r="E128" s="220"/>
      <c r="F128" s="220"/>
      <c r="G128" s="220"/>
      <c r="H128" s="220"/>
      <c r="I128" s="220"/>
      <c r="J128" s="220"/>
      <c r="K128" s="220"/>
      <c r="L128" s="220"/>
    </row>
    <row r="129" spans="2:12">
      <c r="B129" s="220"/>
      <c r="C129" s="220"/>
      <c r="D129" s="220"/>
      <c r="E129" s="220"/>
      <c r="F129" s="220"/>
      <c r="G129" s="220"/>
      <c r="H129" s="220"/>
      <c r="I129" s="220"/>
      <c r="J129" s="220"/>
      <c r="K129" s="220"/>
      <c r="L129" s="220"/>
    </row>
    <row r="130" spans="2:12">
      <c r="B130" s="220"/>
      <c r="C130" s="220"/>
      <c r="D130" s="220"/>
      <c r="E130" s="220"/>
      <c r="F130" s="220"/>
      <c r="G130" s="220"/>
      <c r="H130" s="220"/>
      <c r="I130" s="220"/>
      <c r="J130" s="220"/>
      <c r="K130" s="220"/>
      <c r="L130" s="220"/>
    </row>
    <row r="131" spans="2:12">
      <c r="B131" s="220"/>
      <c r="C131" s="220"/>
      <c r="D131" s="220"/>
      <c r="E131" s="220"/>
      <c r="F131" s="220"/>
      <c r="G131" s="220"/>
      <c r="H131" s="220"/>
      <c r="I131" s="220"/>
      <c r="J131" s="220"/>
      <c r="K131" s="220"/>
      <c r="L131" s="220"/>
    </row>
    <row r="132" spans="2:12">
      <c r="B132" s="220"/>
      <c r="C132" s="220"/>
      <c r="D132" s="220"/>
      <c r="E132" s="220"/>
      <c r="F132" s="220"/>
      <c r="G132" s="220"/>
      <c r="H132" s="220"/>
      <c r="I132" s="220"/>
      <c r="J132" s="220"/>
      <c r="K132" s="220"/>
      <c r="L132" s="220"/>
    </row>
    <row r="133" spans="2:12">
      <c r="B133" s="220"/>
      <c r="C133" s="220"/>
      <c r="D133" s="220"/>
      <c r="E133" s="220"/>
      <c r="F133" s="220"/>
      <c r="G133" s="220"/>
      <c r="H133" s="220"/>
      <c r="I133" s="220"/>
      <c r="J133" s="220"/>
      <c r="K133" s="220"/>
      <c r="L133" s="220"/>
    </row>
    <row r="134" spans="2:12">
      <c r="B134" s="220"/>
      <c r="C134" s="220"/>
      <c r="D134" s="220"/>
      <c r="E134" s="220"/>
      <c r="F134" s="220"/>
      <c r="G134" s="220"/>
      <c r="H134" s="220"/>
      <c r="I134" s="220"/>
      <c r="J134" s="220"/>
      <c r="K134" s="220"/>
      <c r="L134" s="220"/>
    </row>
    <row r="135" spans="2:12">
      <c r="B135" s="220"/>
      <c r="C135" s="220"/>
      <c r="D135" s="220"/>
      <c r="E135" s="220"/>
      <c r="F135" s="220"/>
      <c r="G135" s="220"/>
      <c r="H135" s="220"/>
      <c r="I135" s="220"/>
      <c r="J135" s="220"/>
      <c r="K135" s="220"/>
      <c r="L135" s="220"/>
    </row>
    <row r="136" spans="2:12">
      <c r="B136" s="220"/>
      <c r="C136" s="220"/>
      <c r="D136" s="220"/>
      <c r="E136" s="220"/>
      <c r="F136" s="220"/>
      <c r="G136" s="220"/>
      <c r="H136" s="220"/>
      <c r="I136" s="220"/>
      <c r="J136" s="220"/>
      <c r="K136" s="220"/>
      <c r="L136" s="220"/>
    </row>
    <row r="137" spans="2:12">
      <c r="B137" s="220"/>
      <c r="C137" s="220"/>
      <c r="D137" s="220"/>
      <c r="E137" s="220"/>
      <c r="F137" s="220"/>
      <c r="G137" s="220"/>
      <c r="H137" s="220"/>
      <c r="I137" s="220"/>
      <c r="J137" s="220"/>
      <c r="K137" s="220"/>
      <c r="L137" s="220"/>
    </row>
    <row r="138" spans="2:12">
      <c r="B138" s="220"/>
      <c r="C138" s="220"/>
      <c r="D138" s="220"/>
      <c r="E138" s="220"/>
      <c r="F138" s="220"/>
      <c r="G138" s="220"/>
      <c r="H138" s="220"/>
      <c r="I138" s="220"/>
      <c r="J138" s="220"/>
      <c r="K138" s="220"/>
      <c r="L138" s="220"/>
    </row>
    <row r="139" spans="2:12">
      <c r="B139" s="220"/>
      <c r="C139" s="220"/>
      <c r="D139" s="220"/>
      <c r="E139" s="220"/>
      <c r="F139" s="220"/>
      <c r="G139" s="220"/>
      <c r="H139" s="220"/>
      <c r="I139" s="220"/>
      <c r="J139" s="220"/>
      <c r="K139" s="220"/>
      <c r="L139" s="220"/>
    </row>
    <row r="140" spans="2:12">
      <c r="B140" s="220"/>
      <c r="C140" s="220"/>
      <c r="D140" s="220"/>
      <c r="E140" s="220"/>
      <c r="F140" s="220"/>
      <c r="G140" s="220"/>
      <c r="H140" s="220"/>
      <c r="I140" s="220"/>
      <c r="J140" s="220"/>
      <c r="K140" s="220"/>
      <c r="L140" s="220"/>
    </row>
    <row r="141" spans="2:12">
      <c r="B141" s="220"/>
      <c r="C141" s="220"/>
      <c r="D141" s="220"/>
      <c r="E141" s="220"/>
      <c r="F141" s="220"/>
      <c r="G141" s="220"/>
      <c r="H141" s="220"/>
      <c r="I141" s="220"/>
      <c r="J141" s="220"/>
      <c r="K141" s="220"/>
      <c r="L141" s="220"/>
    </row>
    <row r="142" spans="2:12">
      <c r="B142" s="220"/>
      <c r="C142" s="220"/>
      <c r="D142" s="220"/>
      <c r="E142" s="220"/>
      <c r="F142" s="220"/>
      <c r="G142" s="220"/>
      <c r="H142" s="220"/>
      <c r="I142" s="220"/>
      <c r="J142" s="220"/>
      <c r="K142" s="220"/>
      <c r="L142" s="220"/>
    </row>
    <row r="143" spans="2:12">
      <c r="B143" s="220"/>
      <c r="C143" s="220"/>
      <c r="D143" s="220"/>
      <c r="E143" s="220"/>
      <c r="F143" s="220"/>
      <c r="G143" s="220"/>
      <c r="H143" s="220"/>
      <c r="I143" s="220"/>
      <c r="J143" s="220"/>
      <c r="K143" s="220"/>
      <c r="L143" s="220"/>
    </row>
    <row r="144" spans="2:12">
      <c r="B144" s="220"/>
      <c r="C144" s="220"/>
      <c r="D144" s="220"/>
      <c r="E144" s="220"/>
      <c r="F144" s="220"/>
      <c r="G144" s="220"/>
      <c r="H144" s="220"/>
      <c r="I144" s="220"/>
      <c r="J144" s="220"/>
      <c r="K144" s="220"/>
      <c r="L144" s="220"/>
    </row>
    <row r="145" spans="2:12">
      <c r="B145" s="220"/>
      <c r="C145" s="220"/>
      <c r="D145" s="220"/>
      <c r="E145" s="220"/>
      <c r="F145" s="220"/>
      <c r="G145" s="220"/>
      <c r="H145" s="220"/>
      <c r="I145" s="220"/>
      <c r="J145" s="220"/>
      <c r="K145" s="220"/>
      <c r="L145" s="220"/>
    </row>
    <row r="146" spans="2:12">
      <c r="B146" s="220"/>
      <c r="C146" s="220"/>
      <c r="D146" s="220"/>
      <c r="E146" s="220"/>
      <c r="F146" s="220"/>
      <c r="G146" s="220"/>
      <c r="H146" s="220"/>
      <c r="I146" s="220"/>
      <c r="J146" s="220"/>
      <c r="K146" s="220"/>
      <c r="L146" s="220"/>
    </row>
    <row r="147" spans="2:12">
      <c r="B147" s="220"/>
      <c r="C147" s="220"/>
      <c r="D147" s="220"/>
      <c r="E147" s="220"/>
      <c r="F147" s="220"/>
      <c r="G147" s="220"/>
      <c r="H147" s="220"/>
      <c r="I147" s="220"/>
      <c r="J147" s="220"/>
      <c r="K147" s="220"/>
      <c r="L147" s="220"/>
    </row>
    <row r="148" spans="2:12">
      <c r="B148" s="220"/>
      <c r="C148" s="220"/>
      <c r="D148" s="220"/>
      <c r="E148" s="220"/>
      <c r="F148" s="220"/>
      <c r="G148" s="220"/>
      <c r="H148" s="220"/>
      <c r="I148" s="220"/>
      <c r="J148" s="220"/>
      <c r="K148" s="220"/>
      <c r="L148" s="220"/>
    </row>
    <row r="149" spans="2:12">
      <c r="B149" s="220"/>
      <c r="C149" s="220"/>
      <c r="D149" s="220"/>
      <c r="E149" s="220"/>
      <c r="F149" s="220"/>
      <c r="G149" s="220"/>
      <c r="H149" s="220"/>
      <c r="I149" s="220"/>
      <c r="J149" s="220"/>
      <c r="K149" s="220"/>
      <c r="L149" s="220"/>
    </row>
    <row r="150" spans="2:12">
      <c r="B150" s="220"/>
      <c r="C150" s="220"/>
      <c r="D150" s="220"/>
      <c r="E150" s="220"/>
      <c r="F150" s="220"/>
      <c r="G150" s="220"/>
      <c r="H150" s="220"/>
      <c r="I150" s="220"/>
      <c r="J150" s="220"/>
      <c r="K150" s="220"/>
      <c r="L150" s="220"/>
    </row>
    <row r="151" spans="2:12">
      <c r="B151" s="220"/>
      <c r="C151" s="220"/>
      <c r="D151" s="220"/>
      <c r="E151" s="220"/>
      <c r="F151" s="220"/>
      <c r="G151" s="220"/>
      <c r="H151" s="220"/>
      <c r="I151" s="220"/>
      <c r="J151" s="220"/>
      <c r="K151" s="220"/>
      <c r="L151" s="220"/>
    </row>
    <row r="152" spans="2:12">
      <c r="B152" s="220"/>
      <c r="C152" s="220"/>
      <c r="D152" s="220"/>
      <c r="E152" s="220"/>
      <c r="F152" s="220"/>
      <c r="G152" s="220"/>
      <c r="H152" s="220"/>
      <c r="I152" s="220"/>
      <c r="J152" s="220"/>
      <c r="K152" s="220"/>
      <c r="L152" s="220"/>
    </row>
    <row r="153" spans="2:12">
      <c r="B153" s="220"/>
      <c r="C153" s="220"/>
      <c r="D153" s="220"/>
      <c r="E153" s="220"/>
      <c r="F153" s="220"/>
      <c r="G153" s="220"/>
      <c r="H153" s="220"/>
      <c r="I153" s="220"/>
      <c r="J153" s="220"/>
      <c r="K153" s="220"/>
      <c r="L153" s="220"/>
    </row>
    <row r="154" spans="2:12">
      <c r="B154" s="220"/>
      <c r="C154" s="220"/>
      <c r="D154" s="220"/>
      <c r="E154" s="220"/>
      <c r="F154" s="220"/>
      <c r="G154" s="220"/>
      <c r="H154" s="220"/>
      <c r="I154" s="220"/>
      <c r="J154" s="220"/>
      <c r="K154" s="220"/>
      <c r="L154" s="220"/>
    </row>
    <row r="155" spans="2:12">
      <c r="B155" s="220"/>
      <c r="C155" s="220"/>
      <c r="D155" s="220"/>
      <c r="E155" s="220"/>
      <c r="F155" s="220"/>
      <c r="G155" s="220"/>
      <c r="H155" s="220"/>
      <c r="I155" s="220"/>
      <c r="J155" s="220"/>
      <c r="K155" s="220"/>
      <c r="L155" s="220"/>
    </row>
    <row r="156" spans="2:12">
      <c r="B156" s="220"/>
      <c r="C156" s="220"/>
      <c r="D156" s="220"/>
      <c r="E156" s="220"/>
      <c r="F156" s="220"/>
      <c r="G156" s="220"/>
      <c r="H156" s="220"/>
      <c r="I156" s="220"/>
      <c r="J156" s="220"/>
      <c r="K156" s="220"/>
      <c r="L156" s="220"/>
    </row>
    <row r="157" spans="2:12">
      <c r="B157" s="220"/>
      <c r="C157" s="220"/>
      <c r="D157" s="220"/>
      <c r="E157" s="220"/>
      <c r="F157" s="220"/>
      <c r="G157" s="220"/>
      <c r="H157" s="220"/>
      <c r="I157" s="220"/>
      <c r="J157" s="220"/>
      <c r="K157" s="220"/>
      <c r="L157" s="220"/>
    </row>
    <row r="158" spans="2:12">
      <c r="B158" s="220"/>
      <c r="C158" s="220"/>
      <c r="D158" s="220"/>
      <c r="E158" s="220"/>
      <c r="F158" s="220"/>
      <c r="G158" s="220"/>
      <c r="H158" s="220"/>
      <c r="I158" s="220"/>
      <c r="J158" s="220"/>
      <c r="K158" s="220"/>
      <c r="L158" s="220"/>
    </row>
    <row r="159" spans="2:12">
      <c r="B159" s="220"/>
      <c r="C159" s="220"/>
      <c r="D159" s="220"/>
      <c r="E159" s="220"/>
      <c r="F159" s="220"/>
      <c r="G159" s="220"/>
      <c r="H159" s="220"/>
      <c r="I159" s="220"/>
      <c r="J159" s="220"/>
      <c r="K159" s="220"/>
      <c r="L159" s="220"/>
    </row>
    <row r="160" spans="2:12">
      <c r="B160" s="220"/>
      <c r="C160" s="220"/>
      <c r="D160" s="220"/>
      <c r="E160" s="220"/>
      <c r="F160" s="220"/>
      <c r="G160" s="220"/>
      <c r="H160" s="220"/>
      <c r="I160" s="220"/>
      <c r="J160" s="220"/>
      <c r="K160" s="220"/>
      <c r="L160" s="220"/>
    </row>
    <row r="161" spans="2:12">
      <c r="B161" s="220"/>
      <c r="C161" s="220"/>
      <c r="D161" s="220"/>
      <c r="E161" s="220"/>
      <c r="F161" s="220"/>
      <c r="G161" s="220"/>
      <c r="H161" s="220"/>
      <c r="I161" s="220"/>
      <c r="J161" s="220"/>
      <c r="K161" s="220"/>
      <c r="L161" s="220"/>
    </row>
    <row r="162" spans="2:12">
      <c r="B162" s="220"/>
      <c r="C162" s="220"/>
      <c r="D162" s="220"/>
      <c r="E162" s="220"/>
      <c r="F162" s="220"/>
      <c r="G162" s="220"/>
      <c r="H162" s="220"/>
      <c r="I162" s="220"/>
      <c r="J162" s="220"/>
      <c r="K162" s="220"/>
      <c r="L162" s="220"/>
    </row>
    <row r="163" spans="2:12">
      <c r="B163" s="220"/>
      <c r="C163" s="220"/>
      <c r="D163" s="220"/>
      <c r="E163" s="220"/>
      <c r="F163" s="220"/>
      <c r="G163" s="220"/>
      <c r="H163" s="220"/>
      <c r="I163" s="220"/>
      <c r="J163" s="220"/>
      <c r="K163" s="220"/>
      <c r="L163" s="220"/>
    </row>
    <row r="164" spans="2:12">
      <c r="B164" s="220"/>
      <c r="C164" s="220"/>
      <c r="D164" s="220"/>
      <c r="E164" s="220"/>
      <c r="F164" s="220"/>
      <c r="G164" s="220"/>
      <c r="H164" s="220"/>
      <c r="I164" s="220"/>
      <c r="J164" s="220"/>
      <c r="K164" s="220"/>
      <c r="L164" s="220"/>
    </row>
    <row r="165" spans="2:12">
      <c r="B165" s="220"/>
      <c r="C165" s="220"/>
      <c r="D165" s="220"/>
      <c r="E165" s="220"/>
      <c r="F165" s="220"/>
      <c r="G165" s="220"/>
      <c r="H165" s="220"/>
      <c r="I165" s="220"/>
      <c r="J165" s="220"/>
      <c r="K165" s="220"/>
      <c r="L165" s="220"/>
    </row>
    <row r="166" spans="2:12">
      <c r="B166" s="220"/>
      <c r="C166" s="220"/>
      <c r="D166" s="220"/>
      <c r="E166" s="220"/>
      <c r="F166" s="220"/>
      <c r="G166" s="220"/>
      <c r="H166" s="220"/>
      <c r="I166" s="220"/>
      <c r="J166" s="220"/>
      <c r="K166" s="220"/>
      <c r="L166" s="220"/>
    </row>
    <row r="167" spans="2:12">
      <c r="B167" s="220"/>
      <c r="C167" s="220"/>
      <c r="D167" s="220"/>
      <c r="E167" s="220"/>
      <c r="F167" s="220"/>
      <c r="G167" s="220"/>
      <c r="H167" s="220"/>
      <c r="I167" s="220"/>
      <c r="J167" s="220"/>
      <c r="K167" s="220"/>
      <c r="L167" s="220"/>
    </row>
    <row r="168" spans="2:12">
      <c r="B168" s="220"/>
      <c r="C168" s="220"/>
      <c r="D168" s="220"/>
      <c r="E168" s="220"/>
      <c r="F168" s="220"/>
      <c r="G168" s="220"/>
      <c r="H168" s="220"/>
      <c r="I168" s="220"/>
      <c r="J168" s="220"/>
      <c r="K168" s="220"/>
      <c r="L168" s="220"/>
    </row>
    <row r="169" spans="2:12">
      <c r="B169" s="220"/>
      <c r="C169" s="220"/>
      <c r="D169" s="220"/>
      <c r="E169" s="220"/>
      <c r="F169" s="220"/>
      <c r="G169" s="220"/>
      <c r="H169" s="220"/>
      <c r="I169" s="220"/>
      <c r="J169" s="220"/>
      <c r="K169" s="220"/>
      <c r="L169" s="220"/>
    </row>
    <row r="170" spans="2:12">
      <c r="B170" s="220"/>
      <c r="C170" s="220"/>
      <c r="D170" s="220"/>
      <c r="E170" s="220"/>
      <c r="F170" s="220"/>
      <c r="G170" s="220"/>
      <c r="H170" s="220"/>
      <c r="I170" s="220"/>
      <c r="J170" s="220"/>
      <c r="K170" s="220"/>
      <c r="L170" s="220"/>
    </row>
    <row r="171" spans="2:12">
      <c r="B171" s="220"/>
      <c r="C171" s="220"/>
      <c r="D171" s="220"/>
      <c r="E171" s="220"/>
      <c r="F171" s="220"/>
      <c r="G171" s="220"/>
      <c r="H171" s="220"/>
      <c r="I171" s="220"/>
      <c r="J171" s="220"/>
      <c r="K171" s="220"/>
      <c r="L171" s="220"/>
    </row>
    <row r="172" spans="2:12">
      <c r="B172" s="220"/>
      <c r="C172" s="220"/>
      <c r="D172" s="220"/>
      <c r="E172" s="220"/>
      <c r="F172" s="220"/>
      <c r="G172" s="220"/>
      <c r="H172" s="220"/>
      <c r="I172" s="220"/>
      <c r="J172" s="220"/>
      <c r="K172" s="220"/>
      <c r="L172" s="220"/>
    </row>
    <row r="173" spans="2:12">
      <c r="B173" s="220"/>
      <c r="C173" s="220"/>
      <c r="D173" s="220"/>
      <c r="E173" s="220"/>
      <c r="F173" s="220"/>
      <c r="G173" s="220"/>
      <c r="H173" s="220"/>
      <c r="I173" s="220"/>
      <c r="J173" s="220"/>
      <c r="K173" s="220"/>
      <c r="L173" s="220"/>
    </row>
    <row r="174" spans="2:12">
      <c r="B174" s="220"/>
      <c r="C174" s="220"/>
      <c r="D174" s="220"/>
      <c r="E174" s="220"/>
      <c r="F174" s="220"/>
      <c r="G174" s="220"/>
      <c r="H174" s="220"/>
      <c r="I174" s="220"/>
      <c r="J174" s="220"/>
      <c r="K174" s="220"/>
      <c r="L174" s="220"/>
    </row>
    <row r="175" spans="2:12">
      <c r="B175" s="220"/>
      <c r="C175" s="220"/>
      <c r="D175" s="220"/>
      <c r="E175" s="220"/>
      <c r="F175" s="220"/>
      <c r="G175" s="220"/>
      <c r="H175" s="220"/>
      <c r="I175" s="220"/>
      <c r="J175" s="220"/>
      <c r="K175" s="220"/>
      <c r="L175" s="220"/>
    </row>
    <row r="176" spans="2:12">
      <c r="B176" s="220"/>
      <c r="C176" s="220"/>
      <c r="D176" s="220"/>
      <c r="E176" s="220"/>
      <c r="F176" s="220"/>
      <c r="G176" s="220"/>
      <c r="H176" s="220"/>
      <c r="I176" s="220"/>
      <c r="J176" s="220"/>
      <c r="K176" s="220"/>
      <c r="L176" s="220"/>
    </row>
    <row r="177" spans="2:12">
      <c r="B177" s="220"/>
      <c r="C177" s="220"/>
      <c r="D177" s="220"/>
      <c r="E177" s="220"/>
      <c r="F177" s="220"/>
      <c r="G177" s="220"/>
      <c r="H177" s="220"/>
      <c r="I177" s="220"/>
      <c r="J177" s="220"/>
      <c r="K177" s="220"/>
      <c r="L177" s="220"/>
    </row>
    <row r="178" spans="2:12">
      <c r="B178" s="220"/>
      <c r="C178" s="220"/>
      <c r="D178" s="220"/>
      <c r="E178" s="220"/>
      <c r="F178" s="220"/>
      <c r="G178" s="220"/>
      <c r="H178" s="220"/>
      <c r="I178" s="220"/>
      <c r="J178" s="220"/>
      <c r="K178" s="220"/>
      <c r="L178" s="220"/>
    </row>
    <row r="179" spans="2:12">
      <c r="B179" s="220"/>
      <c r="C179" s="220"/>
      <c r="D179" s="220"/>
      <c r="E179" s="220"/>
      <c r="F179" s="220"/>
      <c r="G179" s="220"/>
      <c r="H179" s="220"/>
      <c r="I179" s="220"/>
      <c r="J179" s="220"/>
      <c r="K179" s="220"/>
      <c r="L179" s="220"/>
    </row>
    <row r="180" spans="2:12">
      <c r="B180" s="220"/>
      <c r="C180" s="220"/>
      <c r="D180" s="220"/>
      <c r="E180" s="220"/>
      <c r="F180" s="220"/>
      <c r="G180" s="220"/>
      <c r="H180" s="220"/>
      <c r="I180" s="220"/>
      <c r="J180" s="220"/>
      <c r="K180" s="220"/>
      <c r="L180" s="220"/>
    </row>
    <row r="181" spans="2:12">
      <c r="B181" s="220"/>
      <c r="C181" s="220"/>
      <c r="D181" s="220"/>
      <c r="E181" s="220"/>
      <c r="F181" s="220"/>
      <c r="G181" s="220"/>
      <c r="H181" s="220"/>
      <c r="I181" s="220"/>
      <c r="J181" s="220"/>
      <c r="K181" s="220"/>
      <c r="L181" s="220"/>
    </row>
    <row r="182" spans="2:12">
      <c r="B182" s="220"/>
      <c r="C182" s="220"/>
      <c r="D182" s="220"/>
      <c r="E182" s="220"/>
      <c r="F182" s="220"/>
      <c r="G182" s="220"/>
      <c r="H182" s="220"/>
      <c r="I182" s="220"/>
      <c r="J182" s="220"/>
      <c r="K182" s="220"/>
      <c r="L182" s="220"/>
    </row>
    <row r="183" spans="2:12">
      <c r="B183" s="220"/>
      <c r="C183" s="220"/>
      <c r="D183" s="220"/>
      <c r="E183" s="220"/>
      <c r="F183" s="220"/>
      <c r="G183" s="220"/>
      <c r="H183" s="220"/>
      <c r="I183" s="220"/>
      <c r="J183" s="220"/>
      <c r="K183" s="220"/>
      <c r="L183" s="220"/>
    </row>
    <row r="184" spans="2:12">
      <c r="B184" s="220"/>
      <c r="C184" s="220"/>
      <c r="D184" s="220"/>
      <c r="E184" s="220"/>
      <c r="F184" s="220"/>
      <c r="G184" s="220"/>
      <c r="H184" s="220"/>
      <c r="I184" s="220"/>
      <c r="J184" s="220"/>
      <c r="K184" s="220"/>
      <c r="L184" s="220"/>
    </row>
    <row r="185" spans="2:12">
      <c r="B185" s="220"/>
      <c r="C185" s="220"/>
      <c r="D185" s="220"/>
      <c r="E185" s="220"/>
      <c r="F185" s="220"/>
      <c r="G185" s="220"/>
      <c r="H185" s="220"/>
      <c r="I185" s="220"/>
      <c r="J185" s="220"/>
      <c r="K185" s="220"/>
      <c r="L185" s="220"/>
    </row>
    <row r="186" spans="2:12">
      <c r="B186" s="220"/>
      <c r="C186" s="220"/>
      <c r="D186" s="220"/>
      <c r="E186" s="220"/>
      <c r="F186" s="220"/>
      <c r="G186" s="220"/>
      <c r="H186" s="220"/>
      <c r="I186" s="220"/>
      <c r="J186" s="220"/>
      <c r="K186" s="220"/>
      <c r="L186" s="220"/>
    </row>
    <row r="187" spans="2:12">
      <c r="B187" s="220"/>
      <c r="C187" s="220"/>
      <c r="D187" s="220"/>
      <c r="E187" s="220"/>
      <c r="F187" s="220"/>
      <c r="G187" s="220"/>
      <c r="H187" s="220"/>
      <c r="I187" s="220"/>
      <c r="J187" s="220"/>
      <c r="K187" s="220"/>
      <c r="L187" s="220"/>
    </row>
    <row r="188" spans="2:12">
      <c r="B188" s="220"/>
      <c r="C188" s="220"/>
      <c r="D188" s="220"/>
      <c r="E188" s="220"/>
      <c r="F188" s="220"/>
      <c r="G188" s="220"/>
      <c r="H188" s="220"/>
      <c r="I188" s="220"/>
      <c r="J188" s="220"/>
      <c r="K188" s="220"/>
      <c r="L188" s="220"/>
    </row>
    <row r="189" spans="2:12">
      <c r="B189" s="220"/>
      <c r="C189" s="220"/>
      <c r="D189" s="220"/>
      <c r="E189" s="220"/>
      <c r="F189" s="220"/>
      <c r="G189" s="220"/>
      <c r="H189" s="220"/>
      <c r="I189" s="220"/>
      <c r="J189" s="220"/>
      <c r="K189" s="220"/>
      <c r="L189" s="220"/>
    </row>
    <row r="190" spans="2:12">
      <c r="B190" s="220"/>
      <c r="C190" s="220"/>
      <c r="D190" s="220"/>
      <c r="E190" s="220"/>
      <c r="F190" s="220"/>
      <c r="G190" s="220"/>
      <c r="H190" s="220"/>
      <c r="I190" s="220"/>
      <c r="J190" s="220"/>
      <c r="K190" s="220"/>
      <c r="L190" s="220"/>
    </row>
    <row r="191" spans="2:12">
      <c r="B191" s="220"/>
      <c r="C191" s="220"/>
      <c r="D191" s="220"/>
      <c r="E191" s="220"/>
      <c r="F191" s="220"/>
      <c r="G191" s="220"/>
      <c r="H191" s="220"/>
      <c r="I191" s="220"/>
      <c r="J191" s="220"/>
      <c r="K191" s="220"/>
      <c r="L191" s="220"/>
    </row>
    <row r="192" spans="2:12">
      <c r="B192" s="220"/>
      <c r="C192" s="220"/>
      <c r="D192" s="220"/>
      <c r="E192" s="220"/>
      <c r="F192" s="220"/>
      <c r="G192" s="220"/>
      <c r="H192" s="220"/>
      <c r="I192" s="220"/>
      <c r="J192" s="220"/>
      <c r="K192" s="220"/>
      <c r="L192" s="220"/>
    </row>
    <row r="193" spans="2:12">
      <c r="B193" s="220"/>
      <c r="C193" s="220"/>
      <c r="D193" s="220"/>
      <c r="E193" s="220"/>
      <c r="F193" s="220"/>
      <c r="G193" s="220"/>
      <c r="H193" s="220"/>
      <c r="I193" s="220"/>
      <c r="J193" s="220"/>
      <c r="K193" s="220"/>
      <c r="L193" s="220"/>
    </row>
    <row r="194" spans="2:12">
      <c r="B194" s="220"/>
      <c r="C194" s="220"/>
      <c r="D194" s="220"/>
      <c r="E194" s="220"/>
      <c r="F194" s="220"/>
      <c r="G194" s="220"/>
      <c r="H194" s="220"/>
      <c r="I194" s="220"/>
      <c r="J194" s="220"/>
      <c r="K194" s="220"/>
      <c r="L194" s="220"/>
    </row>
    <row r="195" spans="2:12">
      <c r="B195" s="220"/>
      <c r="C195" s="220"/>
      <c r="D195" s="220"/>
      <c r="E195" s="220"/>
      <c r="F195" s="220"/>
      <c r="G195" s="220"/>
      <c r="H195" s="220"/>
      <c r="I195" s="220"/>
      <c r="J195" s="220"/>
      <c r="K195" s="220"/>
      <c r="L195" s="220"/>
    </row>
    <row r="196" spans="2:12">
      <c r="B196" s="220"/>
      <c r="C196" s="220"/>
      <c r="D196" s="220"/>
      <c r="E196" s="220"/>
      <c r="F196" s="220"/>
      <c r="G196" s="220"/>
      <c r="H196" s="220"/>
      <c r="I196" s="220"/>
      <c r="J196" s="220"/>
      <c r="K196" s="220"/>
      <c r="L196" s="220"/>
    </row>
    <row r="197" spans="2:12">
      <c r="B197" s="220"/>
      <c r="C197" s="220"/>
      <c r="D197" s="220"/>
      <c r="E197" s="220"/>
      <c r="F197" s="220"/>
      <c r="G197" s="220"/>
      <c r="H197" s="220"/>
      <c r="I197" s="220"/>
      <c r="J197" s="220"/>
      <c r="K197" s="220"/>
      <c r="L197" s="220"/>
    </row>
    <row r="198" spans="2:12">
      <c r="B198" s="220"/>
      <c r="C198" s="220"/>
      <c r="D198" s="220"/>
      <c r="E198" s="220"/>
      <c r="F198" s="220"/>
      <c r="G198" s="220"/>
      <c r="H198" s="220"/>
      <c r="I198" s="220"/>
      <c r="J198" s="220"/>
      <c r="K198" s="220"/>
      <c r="L198" s="220"/>
    </row>
    <row r="199" spans="2:12">
      <c r="B199" s="220"/>
      <c r="C199" s="220"/>
      <c r="D199" s="220"/>
      <c r="E199" s="220"/>
      <c r="F199" s="220"/>
      <c r="G199" s="220"/>
      <c r="H199" s="220"/>
      <c r="I199" s="220"/>
      <c r="J199" s="220"/>
      <c r="K199" s="220"/>
      <c r="L199" s="220"/>
    </row>
    <row r="200" spans="2:12">
      <c r="B200" s="220"/>
      <c r="C200" s="220"/>
      <c r="D200" s="220"/>
      <c r="E200" s="220"/>
      <c r="F200" s="220"/>
      <c r="G200" s="220"/>
      <c r="H200" s="220"/>
      <c r="I200" s="220"/>
      <c r="J200" s="220"/>
      <c r="K200" s="220"/>
      <c r="L200" s="220"/>
    </row>
    <row r="201" spans="2:12">
      <c r="B201" s="220"/>
      <c r="C201" s="220"/>
      <c r="D201" s="220"/>
      <c r="E201" s="220"/>
      <c r="F201" s="220"/>
      <c r="G201" s="220"/>
      <c r="H201" s="220"/>
      <c r="I201" s="220"/>
      <c r="J201" s="220"/>
      <c r="K201" s="220"/>
      <c r="L201" s="220"/>
    </row>
    <row r="202" spans="2:12">
      <c r="B202" s="220"/>
      <c r="C202" s="220"/>
      <c r="D202" s="220"/>
      <c r="E202" s="220"/>
      <c r="F202" s="220"/>
      <c r="G202" s="220"/>
      <c r="H202" s="220"/>
      <c r="I202" s="220"/>
      <c r="J202" s="220"/>
      <c r="K202" s="220"/>
      <c r="L202" s="220"/>
    </row>
    <row r="203" spans="2:12">
      <c r="B203" s="220"/>
      <c r="C203" s="220"/>
      <c r="D203" s="220"/>
      <c r="E203" s="220"/>
      <c r="F203" s="220"/>
      <c r="G203" s="220"/>
      <c r="H203" s="220"/>
      <c r="I203" s="220"/>
      <c r="J203" s="220"/>
      <c r="K203" s="220"/>
      <c r="L203" s="220"/>
    </row>
    <row r="204" spans="2:12">
      <c r="B204" s="220"/>
      <c r="C204" s="220"/>
      <c r="D204" s="220"/>
      <c r="E204" s="220"/>
      <c r="F204" s="220"/>
      <c r="G204" s="220"/>
      <c r="H204" s="220"/>
      <c r="I204" s="220"/>
      <c r="J204" s="220"/>
      <c r="K204" s="220"/>
      <c r="L204" s="220"/>
    </row>
    <row r="205" spans="2:12">
      <c r="B205" s="220"/>
      <c r="C205" s="220"/>
      <c r="D205" s="220"/>
      <c r="E205" s="220"/>
      <c r="F205" s="220"/>
      <c r="G205" s="220"/>
      <c r="H205" s="220"/>
      <c r="I205" s="220"/>
      <c r="J205" s="220"/>
      <c r="K205" s="220"/>
      <c r="L205" s="220"/>
    </row>
    <row r="206" spans="2:12">
      <c r="B206" s="220"/>
      <c r="C206" s="220"/>
      <c r="D206" s="220"/>
      <c r="E206" s="220"/>
      <c r="F206" s="220"/>
      <c r="G206" s="220"/>
      <c r="H206" s="220"/>
      <c r="I206" s="220"/>
      <c r="J206" s="220"/>
      <c r="K206" s="220"/>
      <c r="L206" s="220"/>
    </row>
    <row r="207" spans="2:12">
      <c r="B207" s="220"/>
      <c r="C207" s="220"/>
      <c r="D207" s="220"/>
      <c r="E207" s="220"/>
      <c r="F207" s="220"/>
      <c r="G207" s="220"/>
      <c r="H207" s="220"/>
      <c r="I207" s="220"/>
      <c r="J207" s="220"/>
      <c r="K207" s="220"/>
      <c r="L207" s="220"/>
    </row>
    <row r="208" spans="2:12">
      <c r="B208" s="220"/>
      <c r="C208" s="220"/>
      <c r="D208" s="220"/>
      <c r="E208" s="220"/>
      <c r="F208" s="220"/>
      <c r="G208" s="220"/>
      <c r="H208" s="220"/>
      <c r="I208" s="220"/>
      <c r="J208" s="220"/>
      <c r="K208" s="220"/>
      <c r="L208" s="220"/>
    </row>
    <row r="209" spans="2:12">
      <c r="B209" s="220"/>
      <c r="C209" s="220"/>
      <c r="D209" s="220"/>
      <c r="E209" s="220"/>
      <c r="F209" s="220"/>
      <c r="G209" s="220"/>
      <c r="H209" s="220"/>
      <c r="I209" s="220"/>
      <c r="J209" s="220"/>
      <c r="K209" s="220"/>
      <c r="L209" s="220"/>
    </row>
    <row r="210" spans="2:12">
      <c r="B210" s="220"/>
      <c r="C210" s="220"/>
      <c r="D210" s="220"/>
      <c r="E210" s="220"/>
      <c r="F210" s="220"/>
      <c r="G210" s="220"/>
      <c r="H210" s="220"/>
      <c r="I210" s="220"/>
      <c r="J210" s="220"/>
      <c r="K210" s="220"/>
      <c r="L210" s="220"/>
    </row>
    <row r="211" spans="2:12">
      <c r="B211" s="220"/>
      <c r="C211" s="220"/>
      <c r="D211" s="220"/>
      <c r="E211" s="220"/>
      <c r="F211" s="220"/>
      <c r="G211" s="220"/>
      <c r="H211" s="220"/>
      <c r="I211" s="220"/>
      <c r="J211" s="220"/>
      <c r="K211" s="220"/>
      <c r="L211" s="220"/>
    </row>
    <row r="212" spans="2:12">
      <c r="B212" s="220"/>
      <c r="C212" s="220"/>
      <c r="D212" s="220"/>
      <c r="E212" s="220"/>
      <c r="F212" s="220"/>
      <c r="G212" s="220"/>
      <c r="H212" s="220"/>
      <c r="I212" s="220"/>
      <c r="J212" s="220"/>
      <c r="K212" s="220"/>
      <c r="L212" s="220"/>
    </row>
    <row r="213" spans="2:12">
      <c r="B213" s="220"/>
      <c r="C213" s="220"/>
      <c r="D213" s="220"/>
      <c r="E213" s="220"/>
      <c r="F213" s="220"/>
      <c r="G213" s="220"/>
      <c r="H213" s="220"/>
      <c r="I213" s="220"/>
      <c r="J213" s="220"/>
      <c r="K213" s="220"/>
      <c r="L213" s="220"/>
    </row>
    <row r="214" spans="2:12">
      <c r="B214" s="220"/>
      <c r="C214" s="220"/>
      <c r="D214" s="220"/>
      <c r="E214" s="220"/>
      <c r="F214" s="220"/>
      <c r="G214" s="220"/>
      <c r="H214" s="220"/>
      <c r="I214" s="220"/>
      <c r="J214" s="220"/>
      <c r="K214" s="220"/>
      <c r="L214" s="220"/>
    </row>
    <row r="215" spans="2:12">
      <c r="B215" s="220"/>
      <c r="C215" s="220"/>
      <c r="D215" s="220"/>
      <c r="E215" s="220"/>
      <c r="F215" s="220"/>
      <c r="G215" s="220"/>
      <c r="H215" s="220"/>
      <c r="I215" s="220"/>
      <c r="J215" s="220"/>
      <c r="K215" s="220"/>
      <c r="L215" s="220"/>
    </row>
    <row r="216" spans="2:12">
      <c r="B216" s="220"/>
      <c r="C216" s="220"/>
      <c r="D216" s="220"/>
      <c r="E216" s="220"/>
      <c r="F216" s="220"/>
      <c r="G216" s="220"/>
      <c r="H216" s="220"/>
      <c r="I216" s="220"/>
      <c r="J216" s="220"/>
      <c r="K216" s="220"/>
      <c r="L216" s="220"/>
    </row>
    <row r="217" spans="2:12">
      <c r="B217" s="220"/>
      <c r="C217" s="220"/>
      <c r="D217" s="220"/>
      <c r="E217" s="220"/>
      <c r="F217" s="220"/>
      <c r="G217" s="220"/>
      <c r="H217" s="220"/>
      <c r="I217" s="220"/>
      <c r="J217" s="220"/>
      <c r="K217" s="220"/>
      <c r="L217" s="220"/>
    </row>
    <row r="218" spans="2:12">
      <c r="B218" s="220"/>
      <c r="C218" s="220"/>
      <c r="D218" s="220"/>
      <c r="E218" s="220"/>
      <c r="F218" s="220"/>
      <c r="G218" s="220"/>
      <c r="H218" s="220"/>
      <c r="I218" s="220"/>
      <c r="J218" s="220"/>
      <c r="K218" s="220"/>
      <c r="L218" s="220"/>
    </row>
    <row r="219" spans="2:12">
      <c r="B219" s="220"/>
      <c r="C219" s="220"/>
      <c r="D219" s="220"/>
      <c r="E219" s="220"/>
      <c r="F219" s="220"/>
      <c r="G219" s="220"/>
      <c r="H219" s="220"/>
      <c r="I219" s="220"/>
      <c r="J219" s="220"/>
      <c r="K219" s="220"/>
      <c r="L219" s="220"/>
    </row>
    <row r="220" spans="2:12">
      <c r="B220" s="220"/>
      <c r="C220" s="220"/>
      <c r="D220" s="220"/>
      <c r="E220" s="220"/>
      <c r="F220" s="220"/>
      <c r="G220" s="220"/>
      <c r="H220" s="220"/>
      <c r="I220" s="220"/>
      <c r="J220" s="220"/>
      <c r="K220" s="220"/>
      <c r="L220" s="220"/>
    </row>
    <row r="221" spans="2:12">
      <c r="B221" s="220"/>
      <c r="C221" s="220"/>
      <c r="D221" s="220"/>
      <c r="E221" s="220"/>
      <c r="F221" s="220"/>
      <c r="G221" s="220"/>
      <c r="H221" s="220"/>
      <c r="I221" s="220"/>
      <c r="J221" s="220"/>
      <c r="K221" s="220"/>
      <c r="L221" s="220"/>
    </row>
    <row r="222" spans="2:12">
      <c r="B222" s="220"/>
      <c r="C222" s="220"/>
      <c r="D222" s="220"/>
      <c r="E222" s="220"/>
      <c r="F222" s="220"/>
      <c r="G222" s="220"/>
      <c r="H222" s="220"/>
      <c r="I222" s="220"/>
      <c r="J222" s="220"/>
      <c r="K222" s="220"/>
      <c r="L222" s="220"/>
    </row>
    <row r="223" spans="2:12">
      <c r="B223" s="220"/>
      <c r="C223" s="220"/>
      <c r="D223" s="220"/>
      <c r="E223" s="220"/>
      <c r="F223" s="220"/>
      <c r="G223" s="220"/>
      <c r="H223" s="220"/>
      <c r="I223" s="220"/>
      <c r="J223" s="220"/>
      <c r="K223" s="220"/>
      <c r="L223" s="220"/>
    </row>
    <row r="224" spans="2:12">
      <c r="B224" s="220"/>
      <c r="C224" s="220"/>
      <c r="D224" s="220"/>
      <c r="E224" s="220"/>
      <c r="F224" s="220"/>
      <c r="G224" s="220"/>
      <c r="H224" s="220"/>
      <c r="I224" s="220"/>
      <c r="J224" s="220"/>
      <c r="K224" s="220"/>
      <c r="L224" s="220"/>
    </row>
    <row r="225" spans="2:12">
      <c r="B225" s="220"/>
      <c r="C225" s="220"/>
      <c r="D225" s="220"/>
      <c r="E225" s="220"/>
      <c r="F225" s="220"/>
      <c r="G225" s="220"/>
      <c r="H225" s="220"/>
      <c r="I225" s="220"/>
      <c r="J225" s="220"/>
      <c r="K225" s="220"/>
      <c r="L225" s="220"/>
    </row>
    <row r="226" spans="2:12">
      <c r="B226" s="220"/>
      <c r="C226" s="220"/>
      <c r="D226" s="220"/>
      <c r="E226" s="220"/>
      <c r="F226" s="220"/>
      <c r="G226" s="220"/>
      <c r="H226" s="220"/>
      <c r="I226" s="220"/>
      <c r="J226" s="220"/>
      <c r="K226" s="220"/>
      <c r="L226" s="220"/>
    </row>
    <row r="227" spans="2:12">
      <c r="B227" s="220"/>
      <c r="C227" s="220"/>
      <c r="D227" s="220"/>
      <c r="E227" s="220"/>
      <c r="F227" s="220"/>
      <c r="G227" s="220"/>
      <c r="H227" s="220"/>
      <c r="I227" s="220"/>
      <c r="J227" s="220"/>
      <c r="K227" s="220"/>
      <c r="L227" s="220"/>
    </row>
    <row r="228" spans="2:12">
      <c r="B228" s="220"/>
      <c r="C228" s="220"/>
      <c r="D228" s="220"/>
      <c r="E228" s="220"/>
      <c r="F228" s="220"/>
      <c r="G228" s="220"/>
      <c r="H228" s="220"/>
      <c r="I228" s="220"/>
      <c r="J228" s="220"/>
      <c r="K228" s="220"/>
      <c r="L228" s="220"/>
    </row>
    <row r="229" spans="2:12">
      <c r="B229" s="220"/>
      <c r="C229" s="220"/>
      <c r="D229" s="220"/>
      <c r="E229" s="220"/>
      <c r="F229" s="220"/>
      <c r="G229" s="220"/>
      <c r="H229" s="220"/>
      <c r="I229" s="220"/>
      <c r="J229" s="220"/>
      <c r="K229" s="220"/>
      <c r="L229" s="220"/>
    </row>
    <row r="230" spans="2:12">
      <c r="B230" s="220"/>
      <c r="C230" s="220"/>
      <c r="D230" s="220"/>
      <c r="E230" s="220"/>
      <c r="F230" s="220"/>
      <c r="G230" s="220"/>
      <c r="H230" s="220"/>
      <c r="I230" s="220"/>
      <c r="J230" s="220"/>
      <c r="K230" s="220"/>
      <c r="L230" s="220"/>
    </row>
    <row r="231" spans="2:12">
      <c r="B231" s="220"/>
      <c r="C231" s="220"/>
      <c r="D231" s="220"/>
      <c r="E231" s="220"/>
      <c r="F231" s="220"/>
      <c r="G231" s="220"/>
      <c r="H231" s="220"/>
      <c r="I231" s="220"/>
      <c r="J231" s="220"/>
      <c r="K231" s="220"/>
      <c r="L231" s="220"/>
    </row>
    <row r="232" spans="2:12">
      <c r="B232" s="220"/>
      <c r="C232" s="220"/>
      <c r="D232" s="220"/>
      <c r="E232" s="220"/>
      <c r="F232" s="220"/>
      <c r="G232" s="220"/>
      <c r="H232" s="220"/>
      <c r="I232" s="220"/>
      <c r="J232" s="220"/>
      <c r="K232" s="220"/>
      <c r="L232" s="220"/>
    </row>
    <row r="233" spans="2:12">
      <c r="B233" s="220"/>
      <c r="C233" s="220"/>
      <c r="D233" s="220"/>
      <c r="E233" s="220"/>
      <c r="F233" s="220"/>
      <c r="G233" s="220"/>
      <c r="H233" s="220"/>
      <c r="I233" s="220"/>
      <c r="J233" s="220"/>
      <c r="K233" s="220"/>
      <c r="L233" s="220"/>
    </row>
    <row r="234" spans="2:12">
      <c r="B234" s="220"/>
      <c r="C234" s="220"/>
      <c r="D234" s="220"/>
      <c r="E234" s="220"/>
      <c r="F234" s="220"/>
      <c r="G234" s="220"/>
      <c r="H234" s="220"/>
      <c r="I234" s="220"/>
      <c r="J234" s="220"/>
      <c r="K234" s="220"/>
      <c r="L234" s="220"/>
    </row>
    <row r="235" spans="2:12">
      <c r="B235" s="220"/>
      <c r="C235" s="220"/>
      <c r="D235" s="220"/>
      <c r="E235" s="220"/>
      <c r="F235" s="220"/>
      <c r="G235" s="220"/>
      <c r="H235" s="220"/>
      <c r="I235" s="220"/>
      <c r="J235" s="220"/>
      <c r="K235" s="220"/>
      <c r="L235" s="220"/>
    </row>
    <row r="236" spans="2:12">
      <c r="B236" s="220"/>
      <c r="C236" s="220"/>
      <c r="D236" s="220"/>
      <c r="E236" s="220"/>
      <c r="F236" s="220"/>
      <c r="G236" s="220"/>
      <c r="H236" s="220"/>
      <c r="I236" s="220"/>
      <c r="J236" s="220"/>
      <c r="K236" s="220"/>
      <c r="L236" s="220"/>
    </row>
    <row r="237" spans="2:12">
      <c r="B237" s="220"/>
      <c r="C237" s="220"/>
      <c r="D237" s="220"/>
      <c r="E237" s="220"/>
      <c r="F237" s="220"/>
      <c r="G237" s="220"/>
      <c r="H237" s="220"/>
      <c r="I237" s="220"/>
      <c r="J237" s="220"/>
      <c r="K237" s="220"/>
      <c r="L237" s="220"/>
    </row>
    <row r="238" spans="2:12">
      <c r="B238" s="220"/>
      <c r="C238" s="220"/>
      <c r="D238" s="220"/>
      <c r="E238" s="220"/>
      <c r="F238" s="220"/>
      <c r="G238" s="220"/>
      <c r="H238" s="220"/>
      <c r="I238" s="220"/>
      <c r="J238" s="220"/>
      <c r="K238" s="220"/>
      <c r="L238" s="220"/>
    </row>
    <row r="239" spans="2:12">
      <c r="B239" s="220"/>
      <c r="C239" s="220"/>
      <c r="D239" s="220"/>
      <c r="E239" s="220"/>
      <c r="F239" s="220"/>
      <c r="G239" s="220"/>
      <c r="H239" s="220"/>
      <c r="I239" s="220"/>
      <c r="J239" s="220"/>
      <c r="K239" s="220"/>
      <c r="L239" s="220"/>
    </row>
    <row r="240" spans="2:12">
      <c r="B240" s="220"/>
      <c r="C240" s="220"/>
      <c r="D240" s="220"/>
      <c r="E240" s="220"/>
      <c r="F240" s="220"/>
      <c r="G240" s="220"/>
      <c r="H240" s="220"/>
      <c r="I240" s="220"/>
      <c r="J240" s="220"/>
      <c r="K240" s="220"/>
      <c r="L240" s="220"/>
    </row>
    <row r="241" spans="2:12">
      <c r="B241" s="220"/>
      <c r="C241" s="220"/>
      <c r="D241" s="220"/>
      <c r="E241" s="220"/>
      <c r="F241" s="220"/>
      <c r="G241" s="220"/>
      <c r="H241" s="220"/>
      <c r="I241" s="220"/>
      <c r="J241" s="220"/>
      <c r="K241" s="220"/>
      <c r="L241" s="220"/>
    </row>
    <row r="242" spans="2:12">
      <c r="B242" s="220"/>
      <c r="C242" s="220"/>
      <c r="D242" s="220"/>
      <c r="E242" s="220"/>
      <c r="F242" s="220"/>
      <c r="G242" s="220"/>
      <c r="H242" s="220"/>
      <c r="I242" s="220"/>
      <c r="J242" s="220"/>
      <c r="K242" s="220"/>
      <c r="L242" s="220"/>
    </row>
    <row r="243" spans="2:12">
      <c r="B243" s="220"/>
      <c r="C243" s="220"/>
      <c r="D243" s="220"/>
      <c r="E243" s="220"/>
      <c r="F243" s="220"/>
      <c r="G243" s="220"/>
      <c r="H243" s="220"/>
      <c r="I243" s="220"/>
      <c r="J243" s="220"/>
      <c r="K243" s="220"/>
      <c r="L243" s="220"/>
    </row>
    <row r="244" spans="2:12">
      <c r="B244" s="220"/>
      <c r="C244" s="220"/>
      <c r="D244" s="220"/>
      <c r="E244" s="220"/>
      <c r="F244" s="220"/>
      <c r="G244" s="220"/>
      <c r="H244" s="220"/>
      <c r="I244" s="220"/>
      <c r="J244" s="220"/>
      <c r="K244" s="220"/>
      <c r="L244" s="220"/>
    </row>
    <row r="245" spans="2:12">
      <c r="B245" s="220"/>
      <c r="C245" s="220"/>
      <c r="D245" s="220"/>
      <c r="E245" s="220"/>
      <c r="F245" s="220"/>
      <c r="G245" s="220"/>
      <c r="H245" s="220"/>
      <c r="I245" s="220"/>
      <c r="J245" s="220"/>
      <c r="K245" s="220"/>
      <c r="L245" s="220"/>
    </row>
    <row r="246" spans="2:12">
      <c r="B246" s="220"/>
      <c r="C246" s="220"/>
      <c r="D246" s="220"/>
      <c r="E246" s="220"/>
      <c r="F246" s="220"/>
      <c r="G246" s="220"/>
      <c r="H246" s="220"/>
      <c r="I246" s="220"/>
      <c r="J246" s="220"/>
      <c r="K246" s="220"/>
      <c r="L246" s="220"/>
    </row>
    <row r="247" spans="2:12">
      <c r="B247" s="220"/>
      <c r="C247" s="220"/>
      <c r="D247" s="220"/>
      <c r="E247" s="220"/>
      <c r="F247" s="220"/>
      <c r="G247" s="220"/>
      <c r="H247" s="220"/>
      <c r="I247" s="220"/>
      <c r="J247" s="220"/>
      <c r="K247" s="220"/>
      <c r="L247" s="220"/>
    </row>
    <row r="248" spans="2:12">
      <c r="B248" s="220"/>
      <c r="C248" s="220"/>
      <c r="D248" s="220"/>
      <c r="E248" s="220"/>
      <c r="F248" s="220"/>
      <c r="G248" s="220"/>
      <c r="H248" s="220"/>
      <c r="I248" s="220"/>
      <c r="J248" s="220"/>
      <c r="K248" s="220"/>
      <c r="L248" s="220"/>
    </row>
    <row r="249" spans="2:12">
      <c r="B249" s="220"/>
      <c r="C249" s="220"/>
      <c r="D249" s="220"/>
      <c r="E249" s="220"/>
      <c r="F249" s="220"/>
      <c r="G249" s="220"/>
      <c r="H249" s="220"/>
      <c r="I249" s="220"/>
      <c r="J249" s="220"/>
      <c r="K249" s="220"/>
      <c r="L249" s="220"/>
    </row>
    <row r="250" spans="2:12">
      <c r="B250" s="220"/>
      <c r="C250" s="220"/>
      <c r="D250" s="220"/>
      <c r="E250" s="220"/>
      <c r="F250" s="220"/>
      <c r="G250" s="220"/>
      <c r="H250" s="220"/>
      <c r="I250" s="220"/>
      <c r="J250" s="220"/>
      <c r="K250" s="220"/>
      <c r="L250" s="220"/>
    </row>
  </sheetData>
  <mergeCells count="12">
    <mergeCell ref="A5:A6"/>
    <mergeCell ref="A2:J2"/>
    <mergeCell ref="A4:J4"/>
    <mergeCell ref="A15:J15"/>
    <mergeCell ref="A13:J13"/>
    <mergeCell ref="A55:J55"/>
    <mergeCell ref="A56:J56"/>
    <mergeCell ref="A35:C35"/>
    <mergeCell ref="A17:D17"/>
    <mergeCell ref="E17:J17"/>
    <mergeCell ref="A38:J38"/>
    <mergeCell ref="E35:J35"/>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L56"/>
  <sheetViews>
    <sheetView showGridLines="0" view="pageBreakPreview" topLeftCell="A15" zoomScale="130" zoomScaleNormal="130" zoomScaleSheetLayoutView="130" zoomScalePageLayoutView="130" workbookViewId="0">
      <selection activeCell="A3" sqref="A3:L4"/>
    </sheetView>
  </sheetViews>
  <sheetFormatPr defaultColWidth="9.33203125" defaultRowHeight="11.25"/>
  <cols>
    <col min="8" max="10" width="11.1640625" customWidth="1"/>
    <col min="11" max="11" width="12.5" customWidth="1"/>
    <col min="12" max="12" width="9.33203125" customWidth="1"/>
  </cols>
  <sheetData>
    <row r="3" spans="1:12">
      <c r="A3" s="860" t="s">
        <v>0</v>
      </c>
      <c r="B3" s="860"/>
      <c r="C3" s="860"/>
      <c r="D3" s="860"/>
      <c r="E3" s="860"/>
      <c r="F3" s="860"/>
      <c r="G3" s="860"/>
      <c r="H3" s="860"/>
      <c r="I3" s="860"/>
      <c r="J3" s="860"/>
      <c r="K3" s="860"/>
      <c r="L3" s="860"/>
    </row>
    <row r="4" spans="1:12">
      <c r="A4" s="860"/>
      <c r="B4" s="860"/>
      <c r="C4" s="860"/>
      <c r="D4" s="860"/>
      <c r="E4" s="860"/>
      <c r="F4" s="860"/>
      <c r="G4" s="860"/>
      <c r="H4" s="860"/>
      <c r="I4" s="860"/>
      <c r="J4" s="860"/>
      <c r="K4" s="860"/>
      <c r="L4" s="860"/>
    </row>
    <row r="5" spans="1:12" ht="12">
      <c r="A5" s="3"/>
      <c r="B5" s="221"/>
      <c r="C5" s="2"/>
      <c r="D5" s="2"/>
      <c r="E5" s="37"/>
      <c r="F5" s="2"/>
      <c r="G5" s="2"/>
      <c r="H5" s="2"/>
      <c r="I5" s="2"/>
      <c r="J5" s="2"/>
      <c r="K5" s="2"/>
      <c r="L5" s="8" t="s">
        <v>1</v>
      </c>
    </row>
    <row r="6" spans="1:12" ht="12">
      <c r="A6" s="3"/>
      <c r="B6" s="221"/>
      <c r="C6" s="2"/>
      <c r="D6" s="2"/>
      <c r="E6" s="37"/>
      <c r="F6" s="2"/>
      <c r="G6" s="2"/>
      <c r="H6" s="2"/>
      <c r="I6" s="2"/>
      <c r="J6" s="2"/>
      <c r="K6" s="2"/>
      <c r="L6" s="5"/>
    </row>
    <row r="7" spans="1:12" ht="19.5" customHeight="1">
      <c r="A7" s="20" t="s">
        <v>477</v>
      </c>
      <c r="B7" s="222"/>
      <c r="C7" s="25"/>
      <c r="D7" s="25"/>
      <c r="E7" s="25"/>
      <c r="F7" s="25"/>
      <c r="G7" s="25"/>
      <c r="H7" s="25"/>
      <c r="I7" s="25"/>
      <c r="J7" s="25"/>
      <c r="K7" s="25"/>
      <c r="L7" s="25"/>
    </row>
    <row r="8" spans="1:12" ht="17.25" customHeight="1">
      <c r="A8" s="25"/>
      <c r="B8" s="25" t="s">
        <v>776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573</v>
      </c>
      <c r="B10" s="222"/>
      <c r="C10" s="25"/>
      <c r="D10" s="25"/>
      <c r="E10" s="25"/>
      <c r="F10" s="25"/>
      <c r="G10" s="25"/>
      <c r="H10" s="25"/>
      <c r="I10" s="25"/>
      <c r="J10" s="25"/>
      <c r="K10" s="25"/>
      <c r="L10" s="22"/>
    </row>
    <row r="11" spans="1:12" ht="19.5" customHeight="1">
      <c r="A11" s="27"/>
      <c r="B11" s="25" t="s">
        <v>236</v>
      </c>
      <c r="C11" s="25"/>
      <c r="D11" s="25"/>
      <c r="E11" s="25"/>
      <c r="F11" s="21"/>
      <c r="G11" s="21"/>
      <c r="H11" s="21"/>
      <c r="I11" s="21"/>
      <c r="J11" s="21"/>
      <c r="K11" s="21"/>
      <c r="L11" s="22" t="s">
        <v>2</v>
      </c>
    </row>
    <row r="12" spans="1:12" ht="19.5" customHeight="1">
      <c r="A12" s="27"/>
      <c r="B12" s="25" t="s">
        <v>453</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468</v>
      </c>
      <c r="B14" s="25"/>
      <c r="C14" s="25"/>
      <c r="D14" s="25"/>
      <c r="E14" s="25"/>
      <c r="F14" s="25"/>
      <c r="G14" s="25"/>
      <c r="H14" s="25"/>
      <c r="I14" s="25"/>
      <c r="J14" s="25"/>
      <c r="K14" s="25"/>
      <c r="L14" s="22"/>
    </row>
    <row r="15" spans="1:12" ht="19.5" customHeight="1">
      <c r="A15" s="27"/>
      <c r="B15" s="25" t="s">
        <v>442</v>
      </c>
      <c r="C15" s="25"/>
      <c r="D15" s="25"/>
      <c r="E15" s="25"/>
      <c r="F15" s="21"/>
      <c r="G15" s="21"/>
      <c r="H15" s="21"/>
      <c r="I15" s="21"/>
      <c r="J15" s="21"/>
      <c r="K15" s="21"/>
      <c r="L15" s="22" t="s">
        <v>3</v>
      </c>
    </row>
    <row r="16" spans="1:12" ht="19.5" customHeight="1">
      <c r="A16" s="27"/>
      <c r="B16" s="25" t="s">
        <v>451</v>
      </c>
      <c r="C16" s="25"/>
      <c r="D16" s="25"/>
      <c r="E16" s="25"/>
      <c r="F16" s="25"/>
      <c r="G16" s="21"/>
      <c r="H16" s="21"/>
      <c r="I16" s="21"/>
      <c r="J16" s="21"/>
      <c r="K16" s="21"/>
      <c r="L16" s="22" t="s">
        <v>4</v>
      </c>
    </row>
    <row r="17" spans="1:12" ht="19.5" customHeight="1">
      <c r="A17" s="27"/>
      <c r="B17" s="25" t="s">
        <v>443</v>
      </c>
      <c r="C17" s="25"/>
      <c r="D17" s="25"/>
      <c r="E17" s="25"/>
      <c r="F17" s="25"/>
      <c r="G17" s="21"/>
      <c r="H17" s="21"/>
      <c r="I17" s="21"/>
      <c r="J17" s="21"/>
      <c r="K17" s="21"/>
      <c r="L17" s="22" t="s">
        <v>5</v>
      </c>
    </row>
    <row r="18" spans="1:12" ht="19.5" customHeight="1">
      <c r="A18" s="27"/>
      <c r="B18" s="25" t="s">
        <v>444</v>
      </c>
      <c r="C18" s="25"/>
      <c r="D18" s="25"/>
      <c r="E18" s="25"/>
      <c r="F18" s="21"/>
      <c r="G18" s="21"/>
      <c r="H18" s="21"/>
      <c r="I18" s="21"/>
      <c r="J18" s="21"/>
      <c r="K18" s="21"/>
      <c r="L18" s="22" t="s">
        <v>6</v>
      </c>
    </row>
    <row r="19" spans="1:12" ht="19.5" customHeight="1">
      <c r="A19" s="27"/>
      <c r="B19" s="25" t="s">
        <v>445</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467</v>
      </c>
      <c r="B21" s="25"/>
      <c r="C21" s="25"/>
      <c r="D21" s="25"/>
      <c r="E21" s="25"/>
      <c r="F21" s="25"/>
      <c r="G21" s="25"/>
      <c r="H21" s="25"/>
      <c r="I21" s="25"/>
      <c r="J21" s="25"/>
      <c r="K21" s="25"/>
      <c r="L21" s="30"/>
    </row>
    <row r="22" spans="1:12" ht="19.5" customHeight="1">
      <c r="A22" s="25"/>
      <c r="B22" s="25" t="s">
        <v>469</v>
      </c>
      <c r="C22" s="25"/>
      <c r="D22" s="25"/>
      <c r="E22" s="25"/>
      <c r="F22" s="25"/>
      <c r="G22" s="21"/>
      <c r="H22" s="21"/>
      <c r="I22" s="21"/>
      <c r="J22" s="21"/>
      <c r="K22" s="21"/>
      <c r="L22" s="22" t="s">
        <v>9</v>
      </c>
    </row>
    <row r="23" spans="1:12" ht="19.5" customHeight="1">
      <c r="A23" s="31"/>
      <c r="B23" s="25" t="s">
        <v>470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271</v>
      </c>
      <c r="B25" s="25"/>
      <c r="C25" s="25"/>
      <c r="D25" s="25"/>
      <c r="E25" s="25"/>
      <c r="F25" s="25"/>
      <c r="G25" s="25"/>
      <c r="H25" s="25"/>
      <c r="I25" s="25"/>
      <c r="J25" s="25"/>
      <c r="K25" s="25"/>
      <c r="L25" s="30"/>
    </row>
    <row r="26" spans="1:12" ht="19.5" customHeight="1">
      <c r="A26" s="25"/>
      <c r="B26" s="25" t="s">
        <v>472</v>
      </c>
      <c r="C26" s="25"/>
      <c r="D26" s="25"/>
      <c r="E26" s="25"/>
      <c r="F26" s="21"/>
      <c r="G26" s="21"/>
      <c r="H26" s="21"/>
      <c r="I26" s="21"/>
      <c r="J26" s="21"/>
      <c r="K26" s="33"/>
      <c r="L26" s="22" t="s">
        <v>11</v>
      </c>
    </row>
    <row r="27" spans="1:12" ht="19.5" customHeight="1">
      <c r="A27" s="25"/>
      <c r="B27" s="25" t="s">
        <v>446</v>
      </c>
      <c r="C27" s="25"/>
      <c r="D27" s="25"/>
      <c r="E27" s="25"/>
      <c r="F27" s="25"/>
      <c r="G27" s="21"/>
      <c r="H27" s="21"/>
      <c r="I27" s="21"/>
      <c r="J27" s="21"/>
      <c r="K27" s="33"/>
      <c r="L27" s="22" t="s">
        <v>11</v>
      </c>
    </row>
    <row r="28" spans="1:12" ht="19.5" customHeight="1">
      <c r="A28" s="31"/>
      <c r="B28" s="25" t="s">
        <v>471</v>
      </c>
      <c r="C28" s="25"/>
      <c r="D28" s="25"/>
      <c r="E28" s="25"/>
      <c r="F28" s="21"/>
      <c r="G28" s="21"/>
      <c r="H28" s="33"/>
      <c r="I28" s="33"/>
      <c r="J28" s="33"/>
      <c r="K28" s="33"/>
      <c r="L28" s="22" t="s">
        <v>12</v>
      </c>
    </row>
    <row r="29" spans="1:12" ht="19.5" customHeight="1">
      <c r="A29" s="31"/>
      <c r="B29" s="25" t="s">
        <v>452</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459</v>
      </c>
      <c r="B31" s="25"/>
      <c r="C31" s="25"/>
      <c r="D31" s="25"/>
      <c r="E31" s="25"/>
      <c r="F31" s="25"/>
      <c r="G31" s="25"/>
      <c r="H31" s="25"/>
      <c r="I31" s="25"/>
      <c r="J31" s="25"/>
      <c r="K31" s="25"/>
      <c r="L31" s="22"/>
    </row>
    <row r="32" spans="1:12" ht="19.5" customHeight="1">
      <c r="A32" s="31"/>
      <c r="B32" s="25" t="s">
        <v>473</v>
      </c>
      <c r="C32" s="25"/>
      <c r="D32" s="25"/>
      <c r="E32" s="25"/>
      <c r="F32" s="25"/>
      <c r="G32" s="21"/>
      <c r="H32" s="21"/>
      <c r="I32" s="21"/>
      <c r="J32" s="21"/>
      <c r="K32" s="21"/>
      <c r="L32" s="22" t="s">
        <v>13</v>
      </c>
    </row>
    <row r="33" spans="1:12" ht="19.5" customHeight="1">
      <c r="A33" s="31"/>
      <c r="B33" s="25" t="s">
        <v>447</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448</v>
      </c>
      <c r="B35" s="26"/>
      <c r="C35" s="32"/>
      <c r="D35" s="26"/>
      <c r="E35" s="26"/>
      <c r="F35" s="26"/>
      <c r="G35" s="26"/>
      <c r="H35" s="26"/>
      <c r="I35" s="26"/>
      <c r="J35" s="26"/>
      <c r="K35" s="26"/>
      <c r="L35" s="22"/>
    </row>
    <row r="36" spans="1:12" ht="19.5" customHeight="1">
      <c r="A36" s="27"/>
      <c r="B36" s="25" t="s">
        <v>474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449</v>
      </c>
      <c r="B38" s="35"/>
      <c r="C38" s="25"/>
      <c r="D38" s="25"/>
      <c r="E38" s="25"/>
      <c r="F38" s="25"/>
      <c r="G38" s="25"/>
      <c r="H38" s="25"/>
      <c r="I38" s="25"/>
      <c r="J38" s="25"/>
      <c r="K38" s="25"/>
      <c r="L38" s="38"/>
    </row>
    <row r="39" spans="1:12" ht="19.5" customHeight="1">
      <c r="A39" s="27"/>
      <c r="B39" s="25" t="s">
        <v>450</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217</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475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L174"/>
  <sheetViews>
    <sheetView showGridLines="0" view="pageBreakPreview" zoomScale="130" zoomScaleNormal="100" zoomScaleSheetLayoutView="130" zoomScalePageLayoutView="145" workbookViewId="0">
      <selection activeCell="A3" sqref="A3"/>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86" t="s">
        <v>295</v>
      </c>
      <c r="B1" s="285"/>
      <c r="C1" s="285"/>
      <c r="D1" s="285"/>
      <c r="E1" s="285"/>
      <c r="F1" s="285"/>
      <c r="G1" s="285"/>
    </row>
    <row r="2" spans="1:12" ht="14.25" customHeight="1">
      <c r="A2" s="960" t="s">
        <v>269</v>
      </c>
      <c r="B2" s="963" t="s">
        <v>56</v>
      </c>
      <c r="C2" s="966" t="str">
        <f>"ENERGÍA PRODUCIDA "&amp;UPPER('1. Resumen'!Q4)&amp;" "&amp;'1. Resumen'!Q5</f>
        <v>ENERGÍA PRODUCIDA FEBRERO 2019</v>
      </c>
      <c r="D2" s="966"/>
      <c r="E2" s="966"/>
      <c r="F2" s="966"/>
      <c r="G2" s="797" t="s">
        <v>296</v>
      </c>
      <c r="H2" s="205"/>
      <c r="I2" s="205"/>
      <c r="J2" s="205"/>
      <c r="K2" s="205"/>
    </row>
    <row r="3" spans="1:12" ht="11.25" customHeight="1">
      <c r="A3" s="961"/>
      <c r="B3" s="964"/>
      <c r="C3" s="967" t="s">
        <v>297</v>
      </c>
      <c r="D3" s="967"/>
      <c r="E3" s="967"/>
      <c r="F3" s="968" t="str">
        <f>"TOTAL 
"&amp;UPPER('1. Resumen'!Q4)</f>
        <v>TOTAL 
FEBRERO</v>
      </c>
      <c r="G3" s="798" t="s">
        <v>298</v>
      </c>
      <c r="H3" s="196"/>
      <c r="I3" s="196"/>
      <c r="J3" s="196"/>
      <c r="K3" s="196"/>
      <c r="L3" s="36"/>
    </row>
    <row r="4" spans="1:12" ht="12.75" customHeight="1">
      <c r="A4" s="961"/>
      <c r="B4" s="964"/>
      <c r="C4" s="597" t="s">
        <v>227</v>
      </c>
      <c r="D4" s="597" t="s">
        <v>228</v>
      </c>
      <c r="E4" s="597" t="s">
        <v>299</v>
      </c>
      <c r="F4" s="969"/>
      <c r="G4" s="798">
        <v>2019</v>
      </c>
      <c r="H4" s="198"/>
      <c r="I4" s="197"/>
      <c r="J4" s="197"/>
      <c r="K4" s="197"/>
      <c r="L4" s="36"/>
    </row>
    <row r="5" spans="1:12" ht="11.25" customHeight="1">
      <c r="A5" s="962"/>
      <c r="B5" s="965"/>
      <c r="C5" s="598" t="s">
        <v>300</v>
      </c>
      <c r="D5" s="598" t="s">
        <v>300</v>
      </c>
      <c r="E5" s="598" t="s">
        <v>300</v>
      </c>
      <c r="F5" s="598" t="s">
        <v>300</v>
      </c>
      <c r="G5" s="799" t="s">
        <v>214</v>
      </c>
      <c r="H5" s="198"/>
      <c r="I5" s="198"/>
      <c r="J5" s="198"/>
      <c r="K5" s="198"/>
      <c r="L5" s="8"/>
    </row>
    <row r="6" spans="1:12" ht="9.75" customHeight="1">
      <c r="A6" s="800" t="s">
        <v>125</v>
      </c>
      <c r="B6" s="515" t="s">
        <v>89</v>
      </c>
      <c r="C6" s="516"/>
      <c r="D6" s="516"/>
      <c r="E6" s="516">
        <v>0</v>
      </c>
      <c r="F6" s="516">
        <v>0</v>
      </c>
      <c r="G6" s="801">
        <v>139.1796975</v>
      </c>
      <c r="H6" s="198"/>
      <c r="I6" s="635"/>
      <c r="J6" s="635"/>
      <c r="K6" s="198"/>
      <c r="L6" s="198"/>
    </row>
    <row r="7" spans="1:12" ht="9.75" customHeight="1">
      <c r="A7" s="802" t="s">
        <v>301</v>
      </c>
      <c r="B7" s="621"/>
      <c r="C7" s="622"/>
      <c r="D7" s="622"/>
      <c r="E7" s="622">
        <v>0</v>
      </c>
      <c r="F7" s="622">
        <v>0</v>
      </c>
      <c r="G7" s="803">
        <v>139.1796975</v>
      </c>
      <c r="H7" s="198"/>
      <c r="I7" s="635"/>
      <c r="J7" s="635"/>
      <c r="K7" s="198"/>
      <c r="L7" s="198"/>
    </row>
    <row r="8" spans="1:12" ht="9.75" customHeight="1">
      <c r="A8" s="800" t="s">
        <v>124</v>
      </c>
      <c r="B8" s="515" t="s">
        <v>65</v>
      </c>
      <c r="C8" s="516"/>
      <c r="D8" s="516"/>
      <c r="E8" s="516">
        <v>13252.367162500001</v>
      </c>
      <c r="F8" s="516">
        <v>13252.367162500001</v>
      </c>
      <c r="G8" s="801">
        <v>25709.108212500003</v>
      </c>
      <c r="H8" s="198"/>
      <c r="I8" s="635"/>
      <c r="J8" s="635"/>
      <c r="K8" s="198"/>
      <c r="L8" s="198"/>
    </row>
    <row r="9" spans="1:12" ht="9.75" customHeight="1">
      <c r="A9" s="802" t="s">
        <v>302</v>
      </c>
      <c r="B9" s="621"/>
      <c r="C9" s="622"/>
      <c r="D9" s="622"/>
      <c r="E9" s="622">
        <v>13252.367162500001</v>
      </c>
      <c r="F9" s="622">
        <v>13252.367162500001</v>
      </c>
      <c r="G9" s="803">
        <v>25709.108212500003</v>
      </c>
      <c r="H9" s="198"/>
      <c r="I9" s="635"/>
      <c r="J9" s="635"/>
      <c r="K9" s="198"/>
      <c r="L9" s="198"/>
    </row>
    <row r="10" spans="1:12" ht="9.75" customHeight="1">
      <c r="A10" s="804" t="s">
        <v>109</v>
      </c>
      <c r="B10" s="367" t="s">
        <v>86</v>
      </c>
      <c r="C10" s="517"/>
      <c r="D10" s="517"/>
      <c r="E10" s="517">
        <v>6880.0672175</v>
      </c>
      <c r="F10" s="517">
        <v>6880.0672175</v>
      </c>
      <c r="G10" s="805">
        <v>13895.9345675</v>
      </c>
      <c r="H10" s="198"/>
      <c r="I10" s="635"/>
      <c r="J10" s="635"/>
      <c r="K10" s="198"/>
      <c r="L10" s="198"/>
    </row>
    <row r="11" spans="1:12" ht="9.75" customHeight="1">
      <c r="A11" s="802" t="s">
        <v>303</v>
      </c>
      <c r="B11" s="621"/>
      <c r="C11" s="622"/>
      <c r="D11" s="622"/>
      <c r="E11" s="622">
        <v>6880.0672175</v>
      </c>
      <c r="F11" s="622">
        <v>6880.0672175</v>
      </c>
      <c r="G11" s="803">
        <v>13895.9345675</v>
      </c>
      <c r="H11" s="198"/>
      <c r="I11" s="635"/>
      <c r="J11" s="635"/>
      <c r="K11" s="198"/>
      <c r="L11" s="198"/>
    </row>
    <row r="12" spans="1:12" ht="9.75" customHeight="1">
      <c r="A12" s="804" t="s">
        <v>517</v>
      </c>
      <c r="B12" s="367" t="s">
        <v>532</v>
      </c>
      <c r="C12" s="517"/>
      <c r="D12" s="517"/>
      <c r="E12" s="517">
        <v>10186.9960175</v>
      </c>
      <c r="F12" s="517">
        <v>10186.9960175</v>
      </c>
      <c r="G12" s="805">
        <v>18708.477699999999</v>
      </c>
      <c r="H12" s="198"/>
      <c r="I12" s="635"/>
      <c r="J12" s="635"/>
      <c r="K12" s="198"/>
      <c r="L12" s="198"/>
    </row>
    <row r="13" spans="1:12" ht="9.75" customHeight="1">
      <c r="A13" s="802" t="s">
        <v>520</v>
      </c>
      <c r="B13" s="621"/>
      <c r="C13" s="622"/>
      <c r="D13" s="622"/>
      <c r="E13" s="622">
        <v>10186.9960175</v>
      </c>
      <c r="F13" s="622">
        <v>10186.9960175</v>
      </c>
      <c r="G13" s="803">
        <v>18708.477699999999</v>
      </c>
      <c r="H13" s="198"/>
      <c r="I13" s="635"/>
      <c r="J13" s="635"/>
      <c r="K13" s="198"/>
      <c r="L13" s="198"/>
    </row>
    <row r="14" spans="1:12" ht="9.75" customHeight="1">
      <c r="A14" s="804" t="s">
        <v>97</v>
      </c>
      <c r="B14" s="367" t="s">
        <v>304</v>
      </c>
      <c r="C14" s="517">
        <v>137048.68966</v>
      </c>
      <c r="D14" s="517"/>
      <c r="E14" s="517"/>
      <c r="F14" s="517">
        <v>137048.68966</v>
      </c>
      <c r="G14" s="805">
        <v>241648.99133749999</v>
      </c>
      <c r="H14" s="198"/>
      <c r="I14" s="635"/>
      <c r="J14" s="635"/>
      <c r="K14" s="198"/>
      <c r="L14" s="198"/>
    </row>
    <row r="15" spans="1:12" ht="9.75" customHeight="1">
      <c r="A15" s="802" t="s">
        <v>305</v>
      </c>
      <c r="B15" s="621"/>
      <c r="C15" s="622">
        <v>137048.68966</v>
      </c>
      <c r="D15" s="622"/>
      <c r="E15" s="622"/>
      <c r="F15" s="622">
        <v>137048.68966</v>
      </c>
      <c r="G15" s="803">
        <v>241648.99133749999</v>
      </c>
      <c r="H15" s="198"/>
      <c r="I15" s="635"/>
      <c r="J15" s="635"/>
      <c r="K15" s="198"/>
      <c r="L15" s="198"/>
    </row>
    <row r="16" spans="1:12" ht="10.5" customHeight="1">
      <c r="A16" s="804" t="s">
        <v>253</v>
      </c>
      <c r="B16" s="367" t="s">
        <v>306</v>
      </c>
      <c r="C16" s="517"/>
      <c r="D16" s="517">
        <v>0</v>
      </c>
      <c r="E16" s="517"/>
      <c r="F16" s="517">
        <v>0</v>
      </c>
      <c r="G16" s="805">
        <v>0</v>
      </c>
      <c r="H16" s="198"/>
      <c r="I16" s="635"/>
      <c r="J16" s="635"/>
      <c r="K16" s="198"/>
      <c r="L16" s="198"/>
    </row>
    <row r="17" spans="1:12" ht="10.5" customHeight="1">
      <c r="A17" s="802" t="s">
        <v>307</v>
      </c>
      <c r="B17" s="621"/>
      <c r="C17" s="622"/>
      <c r="D17" s="622">
        <v>0</v>
      </c>
      <c r="E17" s="622"/>
      <c r="F17" s="622">
        <v>0</v>
      </c>
      <c r="G17" s="803">
        <v>0</v>
      </c>
      <c r="H17" s="198"/>
      <c r="I17" s="635"/>
      <c r="J17" s="635"/>
      <c r="K17" s="198"/>
      <c r="L17" s="198"/>
    </row>
    <row r="18" spans="1:12" ht="9.75" customHeight="1">
      <c r="A18" s="804" t="s">
        <v>96</v>
      </c>
      <c r="B18" s="367" t="s">
        <v>308</v>
      </c>
      <c r="C18" s="517">
        <v>79679.009787499992</v>
      </c>
      <c r="D18" s="517"/>
      <c r="E18" s="517"/>
      <c r="F18" s="517">
        <v>79679.009787499992</v>
      </c>
      <c r="G18" s="805">
        <v>163513.52208999998</v>
      </c>
      <c r="H18" s="198"/>
      <c r="I18" s="635"/>
      <c r="J18" s="635"/>
      <c r="K18" s="198"/>
      <c r="L18" s="198"/>
    </row>
    <row r="19" spans="1:12" ht="9.75" customHeight="1">
      <c r="A19" s="804"/>
      <c r="B19" s="657" t="s">
        <v>309</v>
      </c>
      <c r="C19" s="675">
        <v>26137.678585000001</v>
      </c>
      <c r="D19" s="675"/>
      <c r="E19" s="675"/>
      <c r="F19" s="675">
        <v>26137.678585000001</v>
      </c>
      <c r="G19" s="806">
        <v>52813.470820000002</v>
      </c>
      <c r="H19" s="198"/>
      <c r="I19" s="635"/>
      <c r="J19" s="635"/>
      <c r="K19" s="198"/>
      <c r="L19" s="198"/>
    </row>
    <row r="20" spans="1:12" ht="9.75" customHeight="1">
      <c r="A20" s="802" t="s">
        <v>310</v>
      </c>
      <c r="B20" s="621"/>
      <c r="C20" s="622">
        <v>105816.68837249999</v>
      </c>
      <c r="D20" s="622"/>
      <c r="E20" s="622"/>
      <c r="F20" s="622">
        <v>105816.68837249999</v>
      </c>
      <c r="G20" s="803">
        <v>216326.99290999997</v>
      </c>
      <c r="H20" s="198"/>
      <c r="I20" s="635"/>
      <c r="J20" s="635"/>
      <c r="K20" s="198"/>
      <c r="L20" s="198"/>
    </row>
    <row r="21" spans="1:12" ht="9.75" customHeight="1">
      <c r="A21" s="804" t="s">
        <v>94</v>
      </c>
      <c r="B21" s="367" t="s">
        <v>311</v>
      </c>
      <c r="C21" s="517">
        <v>998.7037949999999</v>
      </c>
      <c r="D21" s="517"/>
      <c r="E21" s="517"/>
      <c r="F21" s="517">
        <v>998.7037949999999</v>
      </c>
      <c r="G21" s="805">
        <v>2239.6978475000001</v>
      </c>
      <c r="H21" s="198"/>
      <c r="I21" s="635"/>
      <c r="J21" s="635"/>
      <c r="K21" s="198"/>
      <c r="L21" s="198"/>
    </row>
    <row r="22" spans="1:12" ht="9.75" customHeight="1">
      <c r="A22" s="804"/>
      <c r="B22" s="657" t="s">
        <v>312</v>
      </c>
      <c r="C22" s="675">
        <v>312.43328500000001</v>
      </c>
      <c r="D22" s="675"/>
      <c r="E22" s="675"/>
      <c r="F22" s="675">
        <v>312.43328500000001</v>
      </c>
      <c r="G22" s="806">
        <v>731.31405250000012</v>
      </c>
      <c r="H22" s="198"/>
      <c r="I22" s="635"/>
      <c r="J22" s="635"/>
      <c r="K22" s="198"/>
      <c r="L22" s="198"/>
    </row>
    <row r="23" spans="1:12" ht="9.75" customHeight="1">
      <c r="A23" s="804"/>
      <c r="B23" s="367" t="s">
        <v>313</v>
      </c>
      <c r="C23" s="517">
        <v>2734.1931875</v>
      </c>
      <c r="D23" s="517"/>
      <c r="E23" s="517"/>
      <c r="F23" s="517">
        <v>2734.1931875</v>
      </c>
      <c r="G23" s="805">
        <v>6089.2721524999997</v>
      </c>
      <c r="H23" s="198"/>
      <c r="I23" s="635"/>
      <c r="J23" s="635"/>
      <c r="K23" s="198"/>
      <c r="L23" s="198"/>
    </row>
    <row r="24" spans="1:12" ht="9.75" customHeight="1">
      <c r="A24" s="804"/>
      <c r="B24" s="367" t="s">
        <v>314</v>
      </c>
      <c r="C24" s="517">
        <v>7711.1607899999999</v>
      </c>
      <c r="D24" s="517"/>
      <c r="E24" s="517"/>
      <c r="F24" s="517">
        <v>7711.1607899999999</v>
      </c>
      <c r="G24" s="805">
        <v>16839.922689999999</v>
      </c>
      <c r="H24" s="198"/>
      <c r="I24" s="635"/>
      <c r="J24" s="635"/>
      <c r="K24" s="198"/>
      <c r="L24" s="198"/>
    </row>
    <row r="25" spans="1:12" ht="9.75" customHeight="1">
      <c r="A25" s="804"/>
      <c r="B25" s="367" t="s">
        <v>315</v>
      </c>
      <c r="C25" s="517">
        <v>81546.705459999997</v>
      </c>
      <c r="D25" s="517"/>
      <c r="E25" s="517"/>
      <c r="F25" s="517">
        <v>81546.705459999997</v>
      </c>
      <c r="G25" s="805">
        <v>136748.41703499999</v>
      </c>
      <c r="H25" s="198"/>
      <c r="I25" s="635"/>
      <c r="J25" s="635"/>
      <c r="K25" s="198"/>
      <c r="L25" s="198"/>
    </row>
    <row r="26" spans="1:12" ht="9.75" customHeight="1">
      <c r="A26" s="804"/>
      <c r="B26" s="367" t="s">
        <v>316</v>
      </c>
      <c r="C26" s="517">
        <v>4238.7170999999998</v>
      </c>
      <c r="D26" s="517"/>
      <c r="E26" s="517"/>
      <c r="F26" s="517">
        <v>4238.7170999999998</v>
      </c>
      <c r="G26" s="805">
        <v>9827.4781125000009</v>
      </c>
      <c r="H26" s="198"/>
      <c r="I26" s="635"/>
      <c r="J26" s="635"/>
      <c r="K26" s="198"/>
      <c r="L26" s="198"/>
    </row>
    <row r="27" spans="1:12" ht="9.75" customHeight="1">
      <c r="A27" s="804"/>
      <c r="B27" s="367" t="s">
        <v>317</v>
      </c>
      <c r="C27" s="517"/>
      <c r="D27" s="517">
        <v>66.181892500000004</v>
      </c>
      <c r="E27" s="517"/>
      <c r="F27" s="517">
        <v>66.181892500000004</v>
      </c>
      <c r="G27" s="805">
        <v>66.181892500000004</v>
      </c>
      <c r="H27" s="198"/>
      <c r="I27" s="635"/>
      <c r="J27" s="635"/>
      <c r="K27" s="198"/>
      <c r="L27" s="198"/>
    </row>
    <row r="28" spans="1:12" ht="9.75" customHeight="1">
      <c r="A28" s="804"/>
      <c r="B28" s="367" t="s">
        <v>318</v>
      </c>
      <c r="C28" s="517"/>
      <c r="D28" s="517">
        <v>61.431325000000001</v>
      </c>
      <c r="E28" s="517"/>
      <c r="F28" s="517">
        <v>61.431325000000001</v>
      </c>
      <c r="G28" s="805">
        <v>62.12068</v>
      </c>
      <c r="H28" s="198"/>
      <c r="I28" s="635"/>
      <c r="J28" s="635"/>
      <c r="K28" s="198"/>
      <c r="L28" s="198"/>
    </row>
    <row r="29" spans="1:12" ht="9.75" customHeight="1">
      <c r="A29" s="804"/>
      <c r="B29" s="367" t="s">
        <v>319</v>
      </c>
      <c r="C29" s="517"/>
      <c r="D29" s="517">
        <v>11918.3815875</v>
      </c>
      <c r="E29" s="517"/>
      <c r="F29" s="517">
        <v>11918.3815875</v>
      </c>
      <c r="G29" s="805">
        <v>21538.101575000001</v>
      </c>
      <c r="H29" s="198"/>
      <c r="I29" s="635"/>
      <c r="J29" s="635"/>
      <c r="K29" s="198"/>
      <c r="L29" s="198"/>
    </row>
    <row r="30" spans="1:12" ht="9.75" customHeight="1">
      <c r="A30" s="802" t="s">
        <v>320</v>
      </c>
      <c r="B30" s="621"/>
      <c r="C30" s="622">
        <v>97541.913617499988</v>
      </c>
      <c r="D30" s="622">
        <v>12045.994805</v>
      </c>
      <c r="E30" s="622"/>
      <c r="F30" s="622">
        <v>109587.90842249998</v>
      </c>
      <c r="G30" s="803">
        <v>194142.50603749999</v>
      </c>
      <c r="H30" s="198"/>
      <c r="I30" s="635"/>
      <c r="J30" s="635"/>
      <c r="K30" s="198"/>
      <c r="L30" s="198"/>
    </row>
    <row r="31" spans="1:12" ht="9.75" customHeight="1">
      <c r="A31" s="804" t="s">
        <v>117</v>
      </c>
      <c r="B31" s="367" t="s">
        <v>72</v>
      </c>
      <c r="C31" s="517"/>
      <c r="D31" s="517"/>
      <c r="E31" s="517">
        <v>3206.2064824999998</v>
      </c>
      <c r="F31" s="517">
        <v>3206.2064824999998</v>
      </c>
      <c r="G31" s="805">
        <v>5828.5872124999996</v>
      </c>
      <c r="H31" s="198"/>
      <c r="I31" s="635"/>
      <c r="J31" s="635"/>
      <c r="K31" s="198"/>
      <c r="L31" s="198"/>
    </row>
    <row r="32" spans="1:12" ht="9.75" customHeight="1">
      <c r="A32" s="802" t="s">
        <v>321</v>
      </c>
      <c r="B32" s="621"/>
      <c r="C32" s="622"/>
      <c r="D32" s="622"/>
      <c r="E32" s="622">
        <v>3206.2064824999998</v>
      </c>
      <c r="F32" s="622">
        <v>3206.2064824999998</v>
      </c>
      <c r="G32" s="803">
        <v>5828.5872124999996</v>
      </c>
      <c r="H32" s="198"/>
      <c r="I32" s="635"/>
      <c r="J32" s="635"/>
      <c r="K32" s="198"/>
      <c r="L32" s="198"/>
    </row>
    <row r="33" spans="1:12" ht="9.75" customHeight="1">
      <c r="A33" s="804" t="s">
        <v>95</v>
      </c>
      <c r="B33" s="367" t="s">
        <v>322</v>
      </c>
      <c r="C33" s="517">
        <v>111454.42315</v>
      </c>
      <c r="D33" s="517"/>
      <c r="E33" s="517"/>
      <c r="F33" s="517">
        <v>111454.42315</v>
      </c>
      <c r="G33" s="805">
        <v>234673.35860750003</v>
      </c>
      <c r="H33" s="198"/>
      <c r="I33" s="635"/>
      <c r="J33" s="635"/>
      <c r="K33" s="198"/>
      <c r="L33" s="198"/>
    </row>
    <row r="34" spans="1:12" ht="9.75" customHeight="1">
      <c r="A34" s="802" t="s">
        <v>323</v>
      </c>
      <c r="B34" s="621"/>
      <c r="C34" s="622">
        <v>111454.42315</v>
      </c>
      <c r="D34" s="622"/>
      <c r="E34" s="622"/>
      <c r="F34" s="622">
        <v>111454.42315</v>
      </c>
      <c r="G34" s="803">
        <v>234673.35860750003</v>
      </c>
      <c r="H34" s="198"/>
      <c r="I34" s="635"/>
      <c r="J34" s="635"/>
      <c r="K34" s="198"/>
      <c r="L34" s="198"/>
    </row>
    <row r="35" spans="1:12" ht="9.75" customHeight="1">
      <c r="A35" s="804" t="s">
        <v>104</v>
      </c>
      <c r="B35" s="367" t="s">
        <v>324</v>
      </c>
      <c r="C35" s="517">
        <v>5155.0635000000002</v>
      </c>
      <c r="D35" s="517"/>
      <c r="E35" s="517"/>
      <c r="F35" s="517">
        <v>5155.0635000000002</v>
      </c>
      <c r="G35" s="805">
        <v>10811.538</v>
      </c>
      <c r="H35" s="198"/>
      <c r="I35" s="635"/>
      <c r="J35" s="635"/>
      <c r="K35" s="198"/>
      <c r="L35" s="198"/>
    </row>
    <row r="36" spans="1:12" ht="9.75" customHeight="1">
      <c r="A36" s="804"/>
      <c r="B36" s="657" t="s">
        <v>325</v>
      </c>
      <c r="C36" s="675">
        <v>3451.2224999999999</v>
      </c>
      <c r="D36" s="675"/>
      <c r="E36" s="675"/>
      <c r="F36" s="675">
        <v>3451.2224999999999</v>
      </c>
      <c r="G36" s="806">
        <v>7214.3024999999998</v>
      </c>
      <c r="H36" s="198"/>
      <c r="I36" s="635"/>
      <c r="J36" s="635"/>
      <c r="K36" s="198"/>
      <c r="L36" s="198"/>
    </row>
    <row r="37" spans="1:12" ht="9.75" customHeight="1">
      <c r="A37" s="804"/>
      <c r="B37" s="367" t="s">
        <v>326</v>
      </c>
      <c r="C37" s="517"/>
      <c r="D37" s="517">
        <v>8832.6174900000005</v>
      </c>
      <c r="E37" s="517"/>
      <c r="F37" s="517">
        <v>8832.6174900000005</v>
      </c>
      <c r="G37" s="805">
        <v>21637.578282499999</v>
      </c>
      <c r="H37" s="198"/>
      <c r="I37" s="635"/>
      <c r="J37" s="635"/>
      <c r="K37" s="198"/>
      <c r="L37" s="198"/>
    </row>
    <row r="38" spans="1:12" ht="9.75" customHeight="1">
      <c r="A38" s="802" t="s">
        <v>327</v>
      </c>
      <c r="B38" s="621"/>
      <c r="C38" s="622">
        <v>8606.2860000000001</v>
      </c>
      <c r="D38" s="622">
        <v>8832.6174900000005</v>
      </c>
      <c r="E38" s="622"/>
      <c r="F38" s="622">
        <v>17438.903490000001</v>
      </c>
      <c r="G38" s="803">
        <v>39663.418782499997</v>
      </c>
      <c r="H38" s="198"/>
      <c r="I38" s="635"/>
      <c r="J38" s="635"/>
      <c r="K38" s="198"/>
      <c r="L38" s="198"/>
    </row>
    <row r="39" spans="1:12" ht="9.75" customHeight="1">
      <c r="A39" s="804" t="s">
        <v>122</v>
      </c>
      <c r="B39" s="367" t="s">
        <v>77</v>
      </c>
      <c r="C39" s="517"/>
      <c r="D39" s="517"/>
      <c r="E39" s="517">
        <v>171.20458500000001</v>
      </c>
      <c r="F39" s="517">
        <v>171.20458500000001</v>
      </c>
      <c r="G39" s="805">
        <v>441.74708750000002</v>
      </c>
      <c r="H39" s="198"/>
      <c r="I39" s="635"/>
      <c r="J39" s="635"/>
      <c r="K39" s="198"/>
      <c r="L39" s="198"/>
    </row>
    <row r="40" spans="1:12" ht="9.75" customHeight="1">
      <c r="A40" s="802" t="s">
        <v>328</v>
      </c>
      <c r="B40" s="621"/>
      <c r="C40" s="622"/>
      <c r="D40" s="622"/>
      <c r="E40" s="622">
        <v>171.20458500000001</v>
      </c>
      <c r="F40" s="622">
        <v>171.20458500000001</v>
      </c>
      <c r="G40" s="803">
        <v>441.74708750000002</v>
      </c>
      <c r="H40" s="198"/>
      <c r="I40" s="635"/>
      <c r="J40" s="635"/>
      <c r="K40" s="198"/>
      <c r="L40" s="198"/>
    </row>
    <row r="41" spans="1:12" ht="9.75" customHeight="1">
      <c r="A41" s="804" t="s">
        <v>118</v>
      </c>
      <c r="B41" s="367" t="s">
        <v>75</v>
      </c>
      <c r="C41" s="517"/>
      <c r="D41" s="517"/>
      <c r="E41" s="517">
        <v>938.32566250000002</v>
      </c>
      <c r="F41" s="517">
        <v>938.32566250000002</v>
      </c>
      <c r="G41" s="805">
        <v>3268.278695</v>
      </c>
      <c r="H41" s="198"/>
      <c r="I41" s="635"/>
      <c r="J41" s="635"/>
      <c r="K41" s="198"/>
      <c r="L41" s="198"/>
    </row>
    <row r="42" spans="1:12" ht="9.75" customHeight="1">
      <c r="A42" s="802" t="s">
        <v>329</v>
      </c>
      <c r="B42" s="621"/>
      <c r="C42" s="622"/>
      <c r="D42" s="622"/>
      <c r="E42" s="622">
        <v>938.32566250000002</v>
      </c>
      <c r="F42" s="622">
        <v>938.32566250000002</v>
      </c>
      <c r="G42" s="803">
        <v>3268.278695</v>
      </c>
      <c r="H42" s="198"/>
      <c r="I42" s="635"/>
      <c r="J42" s="635"/>
      <c r="K42" s="198"/>
      <c r="L42" s="198"/>
    </row>
    <row r="43" spans="1:12" ht="9.75" customHeight="1">
      <c r="A43" s="804" t="s">
        <v>533</v>
      </c>
      <c r="B43" s="367" t="s">
        <v>540</v>
      </c>
      <c r="C43" s="517"/>
      <c r="D43" s="517"/>
      <c r="E43" s="517">
        <v>4216.3949949999997</v>
      </c>
      <c r="F43" s="517">
        <v>4216.3949949999997</v>
      </c>
      <c r="G43" s="805">
        <v>4585.8555175000001</v>
      </c>
      <c r="H43" s="198"/>
      <c r="I43" s="635"/>
      <c r="J43" s="635"/>
      <c r="K43" s="198"/>
      <c r="L43" s="198"/>
    </row>
    <row r="44" spans="1:12" ht="9.75" customHeight="1">
      <c r="A44" s="802" t="s">
        <v>534</v>
      </c>
      <c r="B44" s="621"/>
      <c r="C44" s="622"/>
      <c r="D44" s="622"/>
      <c r="E44" s="622">
        <v>4216.3949949999997</v>
      </c>
      <c r="F44" s="622">
        <v>4216.3949949999997</v>
      </c>
      <c r="G44" s="803">
        <v>4585.8555175000001</v>
      </c>
      <c r="H44" s="198"/>
      <c r="I44" s="635"/>
      <c r="J44" s="635"/>
      <c r="K44" s="198"/>
      <c r="L44" s="198"/>
    </row>
    <row r="45" spans="1:12" ht="9.75" customHeight="1">
      <c r="A45" s="804" t="s">
        <v>92</v>
      </c>
      <c r="B45" s="367" t="s">
        <v>330</v>
      </c>
      <c r="C45" s="517">
        <v>423069.78779999999</v>
      </c>
      <c r="D45" s="517"/>
      <c r="E45" s="517"/>
      <c r="F45" s="517">
        <v>423069.78779999999</v>
      </c>
      <c r="G45" s="805">
        <v>853274.32740000007</v>
      </c>
      <c r="H45" s="198"/>
      <c r="I45" s="635"/>
      <c r="J45" s="635"/>
      <c r="K45" s="198"/>
      <c r="L45" s="198"/>
    </row>
    <row r="46" spans="1:12" ht="9.75" customHeight="1">
      <c r="A46" s="804"/>
      <c r="B46" s="367" t="s">
        <v>331</v>
      </c>
      <c r="C46" s="517">
        <v>135850.95360000001</v>
      </c>
      <c r="D46" s="517"/>
      <c r="E46" s="517"/>
      <c r="F46" s="517">
        <v>135850.95360000001</v>
      </c>
      <c r="G46" s="805">
        <v>273359.53008</v>
      </c>
      <c r="H46" s="198"/>
      <c r="I46" s="635"/>
      <c r="J46" s="635"/>
      <c r="K46" s="198"/>
      <c r="L46" s="198"/>
    </row>
    <row r="47" spans="1:12" ht="9.75" customHeight="1">
      <c r="A47" s="804"/>
      <c r="B47" s="367" t="s">
        <v>332</v>
      </c>
      <c r="C47" s="517"/>
      <c r="D47" s="517">
        <v>64.61788</v>
      </c>
      <c r="E47" s="517"/>
      <c r="F47" s="517">
        <v>64.61788</v>
      </c>
      <c r="G47" s="805">
        <v>64.61788</v>
      </c>
      <c r="H47" s="198"/>
      <c r="I47" s="635"/>
      <c r="J47" s="635"/>
      <c r="K47" s="198"/>
      <c r="L47" s="198"/>
    </row>
    <row r="48" spans="1:12" ht="9.75" customHeight="1">
      <c r="A48" s="802" t="s">
        <v>333</v>
      </c>
      <c r="B48" s="621"/>
      <c r="C48" s="622">
        <v>558920.74139999994</v>
      </c>
      <c r="D48" s="622">
        <v>64.61788</v>
      </c>
      <c r="E48" s="622"/>
      <c r="F48" s="622">
        <v>558985.35927999998</v>
      </c>
      <c r="G48" s="803">
        <v>1126698.47536</v>
      </c>
      <c r="H48" s="198"/>
      <c r="I48" s="635"/>
      <c r="J48" s="635"/>
      <c r="K48" s="198"/>
      <c r="L48" s="198"/>
    </row>
    <row r="49" spans="1:12" ht="9.75" customHeight="1">
      <c r="A49" s="804" t="s">
        <v>254</v>
      </c>
      <c r="B49" s="367" t="s">
        <v>334</v>
      </c>
      <c r="C49" s="517">
        <v>282451.65947249997</v>
      </c>
      <c r="D49" s="517"/>
      <c r="E49" s="517"/>
      <c r="F49" s="517">
        <v>282451.65947249997</v>
      </c>
      <c r="G49" s="805">
        <v>583802.72239999997</v>
      </c>
      <c r="H49" s="198"/>
      <c r="I49" s="635"/>
      <c r="J49" s="635"/>
      <c r="K49" s="198"/>
      <c r="L49" s="198"/>
    </row>
    <row r="50" spans="1:12" ht="9.75" customHeight="1">
      <c r="A50" s="804"/>
      <c r="B50" s="367" t="s">
        <v>335</v>
      </c>
      <c r="C50" s="517">
        <v>4327.0705824999995</v>
      </c>
      <c r="D50" s="517"/>
      <c r="E50" s="517"/>
      <c r="F50" s="517">
        <v>4327.0705824999995</v>
      </c>
      <c r="G50" s="805">
        <v>8879.3580225000005</v>
      </c>
      <c r="H50" s="198"/>
      <c r="I50" s="635"/>
      <c r="J50" s="635"/>
      <c r="K50" s="198"/>
      <c r="L50" s="198"/>
    </row>
    <row r="51" spans="1:12" ht="9.75" customHeight="1">
      <c r="A51" s="802" t="s">
        <v>336</v>
      </c>
      <c r="B51" s="621"/>
      <c r="C51" s="622">
        <v>286778.73005499999</v>
      </c>
      <c r="D51" s="622"/>
      <c r="E51" s="622"/>
      <c r="F51" s="622">
        <v>286778.73005499999</v>
      </c>
      <c r="G51" s="803">
        <v>592682.08042249992</v>
      </c>
      <c r="H51" s="198"/>
      <c r="I51" s="635"/>
      <c r="J51" s="635"/>
      <c r="K51" s="198"/>
      <c r="L51" s="198"/>
    </row>
    <row r="52" spans="1:12" ht="9.75" customHeight="1">
      <c r="A52" s="804" t="s">
        <v>255</v>
      </c>
      <c r="B52" s="367" t="s">
        <v>337</v>
      </c>
      <c r="C52" s="517">
        <v>32333.572249999997</v>
      </c>
      <c r="D52" s="517"/>
      <c r="E52" s="517"/>
      <c r="F52" s="517">
        <v>32333.572249999997</v>
      </c>
      <c r="G52" s="805">
        <v>60884.984542499995</v>
      </c>
      <c r="H52" s="198"/>
      <c r="I52" s="635"/>
      <c r="J52" s="635"/>
      <c r="K52" s="198"/>
      <c r="L52" s="198"/>
    </row>
    <row r="53" spans="1:12" ht="9.75" customHeight="1">
      <c r="A53" s="802" t="s">
        <v>338</v>
      </c>
      <c r="B53" s="621"/>
      <c r="C53" s="622">
        <v>32333.572249999997</v>
      </c>
      <c r="D53" s="622"/>
      <c r="E53" s="622"/>
      <c r="F53" s="622">
        <v>32333.572249999997</v>
      </c>
      <c r="G53" s="803">
        <v>60884.984542499995</v>
      </c>
      <c r="H53" s="111"/>
      <c r="I53" s="530"/>
      <c r="J53" s="635"/>
      <c r="K53" s="198"/>
      <c r="L53" s="198"/>
    </row>
    <row r="54" spans="1:12" ht="9.75" customHeight="1">
      <c r="A54" s="804" t="s">
        <v>256</v>
      </c>
      <c r="B54" s="367" t="s">
        <v>62</v>
      </c>
      <c r="C54" s="517"/>
      <c r="D54" s="517"/>
      <c r="E54" s="517">
        <v>11803.5438825</v>
      </c>
      <c r="F54" s="517">
        <v>11803.5438825</v>
      </c>
      <c r="G54" s="805">
        <v>24661.408027500001</v>
      </c>
      <c r="H54" s="111"/>
      <c r="I54" s="530"/>
      <c r="J54" s="635"/>
      <c r="K54" s="198"/>
      <c r="L54" s="198"/>
    </row>
    <row r="55" spans="1:12" ht="9.75" customHeight="1">
      <c r="A55" s="804"/>
      <c r="B55" s="367" t="s">
        <v>59</v>
      </c>
      <c r="C55" s="517"/>
      <c r="D55" s="517"/>
      <c r="E55" s="517">
        <v>13278.9045525</v>
      </c>
      <c r="F55" s="517">
        <v>13278.9045525</v>
      </c>
      <c r="G55" s="805">
        <v>27807.278537500002</v>
      </c>
      <c r="H55" s="111"/>
      <c r="I55" s="530"/>
      <c r="J55" s="635"/>
      <c r="K55" s="198"/>
      <c r="L55" s="198"/>
    </row>
    <row r="56" spans="1:12" ht="9.75" customHeight="1">
      <c r="A56" s="802" t="s">
        <v>339</v>
      </c>
      <c r="B56" s="621"/>
      <c r="C56" s="622"/>
      <c r="D56" s="622"/>
      <c r="E56" s="622">
        <v>25082.448434999998</v>
      </c>
      <c r="F56" s="622">
        <v>25082.448434999998</v>
      </c>
      <c r="G56" s="803">
        <v>52468.686565000004</v>
      </c>
      <c r="H56" s="111"/>
      <c r="I56" s="530"/>
      <c r="J56" s="635"/>
      <c r="K56" s="198"/>
      <c r="L56" s="198"/>
    </row>
    <row r="57" spans="1:12" ht="9.75" customHeight="1">
      <c r="A57" s="804" t="s">
        <v>91</v>
      </c>
      <c r="B57" s="367" t="s">
        <v>809</v>
      </c>
      <c r="C57" s="517">
        <v>2748.4454524999996</v>
      </c>
      <c r="D57" s="517"/>
      <c r="E57" s="517"/>
      <c r="F57" s="517">
        <v>2748.4454524999996</v>
      </c>
      <c r="G57" s="805">
        <v>2748.4454524999996</v>
      </c>
      <c r="H57" s="111"/>
      <c r="I57" s="530"/>
      <c r="J57" s="635"/>
      <c r="K57" s="198"/>
      <c r="L57" s="198"/>
    </row>
    <row r="58" spans="1:12" ht="9.75" customHeight="1">
      <c r="A58" s="804"/>
      <c r="B58" s="367" t="s">
        <v>340</v>
      </c>
      <c r="C58" s="517">
        <v>15927.030930000001</v>
      </c>
      <c r="D58" s="517"/>
      <c r="E58" s="517"/>
      <c r="F58" s="517">
        <v>15927.030930000001</v>
      </c>
      <c r="G58" s="805">
        <v>33756.863277500001</v>
      </c>
      <c r="H58" s="199"/>
      <c r="I58" s="635"/>
      <c r="J58" s="635"/>
      <c r="K58" s="198"/>
      <c r="L58" s="198"/>
    </row>
    <row r="59" spans="1:12" ht="9.75" customHeight="1">
      <c r="A59" s="804"/>
      <c r="B59" s="367" t="s">
        <v>341</v>
      </c>
      <c r="C59" s="517">
        <v>126925.07807000002</v>
      </c>
      <c r="D59" s="517"/>
      <c r="E59" s="517"/>
      <c r="F59" s="517">
        <v>126925.07807000002</v>
      </c>
      <c r="G59" s="805">
        <v>231560.80211250001</v>
      </c>
      <c r="H59" s="199"/>
      <c r="I59" s="635"/>
      <c r="J59" s="635"/>
      <c r="K59" s="198"/>
      <c r="L59" s="198"/>
    </row>
    <row r="60" spans="1:12" ht="9.75" customHeight="1">
      <c r="A60" s="804"/>
      <c r="B60" s="367" t="s">
        <v>342</v>
      </c>
      <c r="C60" s="517">
        <v>88300.916209999996</v>
      </c>
      <c r="D60" s="517"/>
      <c r="E60" s="517"/>
      <c r="F60" s="517">
        <v>88300.916209999996</v>
      </c>
      <c r="G60" s="805">
        <v>167850.79417750001</v>
      </c>
      <c r="H60" s="199"/>
      <c r="I60" s="635"/>
      <c r="J60" s="635"/>
      <c r="K60" s="198"/>
      <c r="L60" s="198"/>
    </row>
    <row r="61" spans="1:12" ht="9.75" customHeight="1">
      <c r="A61" s="804"/>
      <c r="B61" s="367" t="s">
        <v>343</v>
      </c>
      <c r="C61" s="517">
        <v>40344.461792500006</v>
      </c>
      <c r="D61" s="517"/>
      <c r="E61" s="517"/>
      <c r="F61" s="517">
        <v>40344.461792500006</v>
      </c>
      <c r="G61" s="805">
        <v>76715.537255000003</v>
      </c>
      <c r="H61" s="199"/>
      <c r="I61" s="635"/>
      <c r="J61" s="635"/>
      <c r="K61" s="198"/>
      <c r="L61" s="198"/>
    </row>
    <row r="62" spans="1:12" ht="9.75" customHeight="1">
      <c r="A62" s="804"/>
      <c r="B62" s="367" t="s">
        <v>344</v>
      </c>
      <c r="C62" s="517"/>
      <c r="D62" s="517">
        <v>18546.563464999999</v>
      </c>
      <c r="E62" s="517"/>
      <c r="F62" s="517">
        <v>18546.563464999999</v>
      </c>
      <c r="G62" s="805">
        <v>27937.3445975</v>
      </c>
      <c r="H62" s="199"/>
      <c r="I62" s="635"/>
      <c r="J62" s="635"/>
      <c r="K62" s="198"/>
      <c r="L62" s="198"/>
    </row>
    <row r="63" spans="1:12" ht="9.75" customHeight="1">
      <c r="A63" s="804"/>
      <c r="B63" s="367" t="s">
        <v>345</v>
      </c>
      <c r="C63" s="517"/>
      <c r="D63" s="517">
        <v>34063.837005000001</v>
      </c>
      <c r="E63" s="517"/>
      <c r="F63" s="517">
        <v>34063.837005000001</v>
      </c>
      <c r="G63" s="805">
        <v>67392.772954999993</v>
      </c>
      <c r="H63" s="199"/>
      <c r="I63" s="635"/>
      <c r="J63" s="635"/>
      <c r="K63" s="198"/>
      <c r="L63" s="198"/>
    </row>
    <row r="64" spans="1:12" ht="9.75" customHeight="1">
      <c r="A64" s="804"/>
      <c r="B64" s="367" t="s">
        <v>346</v>
      </c>
      <c r="C64" s="517"/>
      <c r="D64" s="517">
        <v>160300.28211249999</v>
      </c>
      <c r="E64" s="517"/>
      <c r="F64" s="517">
        <v>160300.28211249999</v>
      </c>
      <c r="G64" s="805">
        <v>357748.20199749997</v>
      </c>
      <c r="I64" s="367"/>
      <c r="J64" s="635"/>
      <c r="K64" s="198"/>
      <c r="L64" s="198"/>
    </row>
    <row r="65" spans="1:12" ht="9.75" customHeight="1">
      <c r="A65" s="804"/>
      <c r="B65" s="367" t="s">
        <v>508</v>
      </c>
      <c r="C65" s="517"/>
      <c r="D65" s="517"/>
      <c r="E65" s="517">
        <v>218.980625</v>
      </c>
      <c r="F65" s="517">
        <v>218.980625</v>
      </c>
      <c r="G65" s="805">
        <v>289.23735249999999</v>
      </c>
      <c r="I65" s="367"/>
      <c r="J65" s="635"/>
      <c r="K65" s="198"/>
      <c r="L65" s="198"/>
    </row>
    <row r="66" spans="1:12" ht="9.75" customHeight="1">
      <c r="A66" s="802" t="s">
        <v>347</v>
      </c>
      <c r="B66" s="621"/>
      <c r="C66" s="622">
        <v>274245.932455</v>
      </c>
      <c r="D66" s="622">
        <v>212910.68258249998</v>
      </c>
      <c r="E66" s="622">
        <v>218.980625</v>
      </c>
      <c r="F66" s="622">
        <v>487375.59566250001</v>
      </c>
      <c r="G66" s="803">
        <v>965999.99917749991</v>
      </c>
      <c r="I66" s="367"/>
      <c r="J66" s="635"/>
      <c r="K66" s="198"/>
      <c r="L66" s="198"/>
    </row>
    <row r="67" spans="1:12" ht="9.75" customHeight="1">
      <c r="A67" s="804" t="s">
        <v>99</v>
      </c>
      <c r="B67" s="367" t="s">
        <v>348</v>
      </c>
      <c r="C67" s="517"/>
      <c r="D67" s="517">
        <v>119.77325500000001</v>
      </c>
      <c r="E67" s="517"/>
      <c r="F67" s="517">
        <v>119.77325500000001</v>
      </c>
      <c r="G67" s="805">
        <v>337.71966750000001</v>
      </c>
      <c r="I67" s="367"/>
      <c r="J67" s="635"/>
      <c r="K67" s="198"/>
      <c r="L67" s="198"/>
    </row>
    <row r="68" spans="1:12" ht="9.75" customHeight="1">
      <c r="A68" s="804"/>
      <c r="B68" s="367" t="s">
        <v>349</v>
      </c>
      <c r="C68" s="517"/>
      <c r="D68" s="517">
        <v>41280.236687500001</v>
      </c>
      <c r="E68" s="517"/>
      <c r="F68" s="517">
        <v>41280.236687500001</v>
      </c>
      <c r="G68" s="805">
        <v>90376.846902499994</v>
      </c>
      <c r="I68" s="367"/>
      <c r="J68" s="635"/>
      <c r="K68" s="198"/>
      <c r="L68" s="198"/>
    </row>
    <row r="69" spans="1:12" ht="9.75" customHeight="1">
      <c r="A69" s="804"/>
      <c r="B69" s="367" t="s">
        <v>350</v>
      </c>
      <c r="C69" s="517"/>
      <c r="D69" s="517">
        <v>1233.3429974999999</v>
      </c>
      <c r="E69" s="517"/>
      <c r="F69" s="517">
        <v>1233.3429974999999</v>
      </c>
      <c r="G69" s="805">
        <v>7480.3977500000001</v>
      </c>
      <c r="I69" s="367"/>
      <c r="J69" s="635"/>
      <c r="K69" s="198"/>
      <c r="L69" s="198"/>
    </row>
    <row r="70" spans="1:12" ht="9.75" customHeight="1">
      <c r="A70" s="802" t="s">
        <v>351</v>
      </c>
      <c r="B70" s="621"/>
      <c r="C70" s="622"/>
      <c r="D70" s="622">
        <v>42633.352939999997</v>
      </c>
      <c r="E70" s="622"/>
      <c r="F70" s="622">
        <v>42633.352939999997</v>
      </c>
      <c r="G70" s="803">
        <v>98194.964319999999</v>
      </c>
      <c r="I70" s="367"/>
      <c r="J70" s="635"/>
      <c r="K70" s="198"/>
      <c r="L70" s="198"/>
    </row>
    <row r="71" spans="1:12" ht="9.75" customHeight="1">
      <c r="A71" s="804" t="s">
        <v>101</v>
      </c>
      <c r="B71" s="367" t="s">
        <v>783</v>
      </c>
      <c r="C71" s="517"/>
      <c r="D71" s="517"/>
      <c r="E71" s="517">
        <v>25398.85583</v>
      </c>
      <c r="F71" s="517">
        <v>25398.85583</v>
      </c>
      <c r="G71" s="805">
        <v>56214.710140000003</v>
      </c>
      <c r="I71" s="367"/>
      <c r="J71" s="635"/>
      <c r="K71" s="198"/>
      <c r="L71" s="198"/>
    </row>
    <row r="72" spans="1:12" ht="9.75" customHeight="1">
      <c r="A72" s="804"/>
      <c r="B72" s="367" t="s">
        <v>782</v>
      </c>
      <c r="C72" s="517"/>
      <c r="D72" s="517"/>
      <c r="E72" s="517">
        <v>32805.93374</v>
      </c>
      <c r="F72" s="517">
        <v>32805.93374</v>
      </c>
      <c r="G72" s="805">
        <v>72075.653847499998</v>
      </c>
      <c r="I72" s="367"/>
      <c r="J72" s="635"/>
      <c r="K72" s="198"/>
      <c r="L72" s="198"/>
    </row>
    <row r="73" spans="1:12" ht="9.75" customHeight="1">
      <c r="A73" s="802" t="s">
        <v>352</v>
      </c>
      <c r="B73" s="621"/>
      <c r="C73" s="622"/>
      <c r="D73" s="622"/>
      <c r="E73" s="622">
        <v>58204.789570000001</v>
      </c>
      <c r="F73" s="622">
        <v>58204.789570000001</v>
      </c>
      <c r="G73" s="803">
        <v>128290.36398749999</v>
      </c>
      <c r="I73" s="367"/>
      <c r="J73" s="635"/>
      <c r="K73" s="198"/>
      <c r="L73" s="198"/>
    </row>
    <row r="74" spans="1:12" ht="9.75" customHeight="1">
      <c r="A74" s="804" t="s">
        <v>100</v>
      </c>
      <c r="B74" s="367" t="s">
        <v>80</v>
      </c>
      <c r="C74" s="517"/>
      <c r="D74" s="517"/>
      <c r="E74" s="517">
        <v>16669.741375000001</v>
      </c>
      <c r="F74" s="517">
        <v>16669.741375000001</v>
      </c>
      <c r="G74" s="805">
        <v>41214.538105</v>
      </c>
      <c r="I74" s="367"/>
      <c r="J74" s="635"/>
      <c r="K74" s="198"/>
      <c r="L74" s="198"/>
    </row>
    <row r="75" spans="1:12" ht="9.75" customHeight="1">
      <c r="A75" s="804"/>
      <c r="B75" s="367" t="s">
        <v>82</v>
      </c>
      <c r="C75" s="517"/>
      <c r="D75" s="517"/>
      <c r="E75" s="517">
        <v>2596.7805499999999</v>
      </c>
      <c r="F75" s="517">
        <v>2596.7805499999999</v>
      </c>
      <c r="G75" s="805">
        <v>9583.4882099999995</v>
      </c>
      <c r="I75" s="367"/>
      <c r="J75" s="635"/>
      <c r="K75" s="198"/>
      <c r="L75" s="198"/>
    </row>
    <row r="76" spans="1:12" ht="9.75" customHeight="1">
      <c r="A76" s="807" t="s">
        <v>353</v>
      </c>
      <c r="B76" s="808"/>
      <c r="C76" s="809"/>
      <c r="D76" s="809"/>
      <c r="E76" s="809">
        <v>19266.521925000001</v>
      </c>
      <c r="F76" s="809">
        <v>19266.521925000001</v>
      </c>
      <c r="G76" s="810">
        <v>50798.026314999996</v>
      </c>
    </row>
    <row r="77" spans="1:12" ht="9.75" customHeight="1">
      <c r="A77" s="367"/>
      <c r="B77" s="367"/>
      <c r="C77" s="518"/>
      <c r="D77" s="518"/>
      <c r="E77" s="518"/>
      <c r="F77" s="367"/>
      <c r="G77" s="367"/>
    </row>
    <row r="78" spans="1:12" ht="9.75" customHeight="1">
      <c r="A78" s="367"/>
      <c r="B78" s="367"/>
      <c r="C78" s="518"/>
      <c r="D78" s="518"/>
      <c r="E78" s="518"/>
      <c r="F78" s="367"/>
      <c r="G78" s="367"/>
    </row>
    <row r="79" spans="1:12" ht="9.75" customHeight="1">
      <c r="A79" s="367"/>
      <c r="B79" s="367"/>
      <c r="C79" s="518"/>
      <c r="D79" s="518"/>
      <c r="E79" s="518"/>
      <c r="F79" s="367"/>
      <c r="G79" s="367"/>
    </row>
    <row r="80" spans="1:12" ht="9.75" customHeight="1">
      <c r="A80" s="367"/>
      <c r="B80" s="367"/>
      <c r="C80" s="518"/>
      <c r="D80" s="518"/>
      <c r="E80" s="518"/>
      <c r="F80" s="367"/>
      <c r="G80" s="367"/>
    </row>
    <row r="81" spans="1:7" ht="9.75" customHeight="1">
      <c r="A81" s="367"/>
      <c r="B81" s="367"/>
      <c r="C81" s="518"/>
      <c r="D81" s="518"/>
      <c r="E81" s="518"/>
      <c r="F81" s="367"/>
      <c r="G81" s="367"/>
    </row>
    <row r="82" spans="1:7" ht="9.75" customHeight="1">
      <c r="A82" s="367"/>
      <c r="B82" s="367"/>
      <c r="C82" s="518"/>
      <c r="D82" s="518"/>
      <c r="E82" s="518"/>
      <c r="F82" s="367"/>
      <c r="G82" s="367"/>
    </row>
    <row r="83" spans="1:7" ht="9.75" customHeight="1">
      <c r="A83" s="367"/>
      <c r="B83" s="367"/>
      <c r="C83" s="518"/>
      <c r="D83" s="518"/>
      <c r="E83" s="518"/>
      <c r="F83" s="367"/>
      <c r="G83" s="367"/>
    </row>
    <row r="84" spans="1:7" ht="9.75" customHeight="1">
      <c r="A84" s="367"/>
      <c r="B84" s="367"/>
      <c r="C84" s="518"/>
      <c r="D84" s="518"/>
      <c r="E84" s="518"/>
      <c r="F84" s="367"/>
      <c r="G84" s="367"/>
    </row>
    <row r="85" spans="1:7" ht="9.75" customHeight="1">
      <c r="A85" s="367"/>
      <c r="B85" s="367"/>
      <c r="C85" s="518"/>
      <c r="D85" s="518"/>
      <c r="E85" s="518"/>
      <c r="F85" s="367"/>
      <c r="G85" s="367"/>
    </row>
    <row r="86" spans="1:7" ht="9.75" customHeight="1">
      <c r="A86" s="367"/>
      <c r="B86" s="367"/>
      <c r="C86" s="518"/>
      <c r="D86" s="518"/>
      <c r="E86" s="518"/>
      <c r="F86" s="367"/>
      <c r="G86" s="367"/>
    </row>
    <row r="87" spans="1:7" ht="9.75" customHeight="1">
      <c r="A87" s="367"/>
      <c r="B87" s="367"/>
      <c r="C87" s="518"/>
      <c r="D87" s="518"/>
      <c r="E87" s="518"/>
      <c r="F87" s="367"/>
      <c r="G87" s="367"/>
    </row>
    <row r="88" spans="1:7" ht="9.75" customHeight="1">
      <c r="A88" s="367"/>
      <c r="B88" s="367"/>
      <c r="C88" s="518"/>
      <c r="D88" s="518"/>
      <c r="E88" s="518"/>
      <c r="F88" s="367"/>
      <c r="G88" s="367"/>
    </row>
    <row r="89" spans="1:7" ht="9.75" customHeight="1">
      <c r="A89" s="367"/>
      <c r="B89" s="367"/>
      <c r="C89" s="518"/>
      <c r="D89" s="518"/>
      <c r="E89" s="518"/>
      <c r="F89" s="367"/>
      <c r="G89" s="367"/>
    </row>
    <row r="90" spans="1:7" ht="9.75" customHeight="1">
      <c r="A90" s="367"/>
      <c r="B90" s="367"/>
      <c r="C90" s="518"/>
      <c r="D90" s="518"/>
      <c r="E90" s="518"/>
      <c r="F90" s="367"/>
      <c r="G90" s="367"/>
    </row>
    <row r="91" spans="1:7" ht="9.75" customHeight="1">
      <c r="A91" s="367"/>
      <c r="B91" s="367"/>
      <c r="C91" s="518"/>
      <c r="D91" s="518"/>
      <c r="E91" s="518"/>
      <c r="F91" s="367"/>
      <c r="G91" s="367"/>
    </row>
    <row r="92" spans="1:7" ht="9.75" customHeight="1">
      <c r="A92" s="367"/>
      <c r="B92" s="367"/>
      <c r="C92" s="518"/>
      <c r="D92" s="518"/>
      <c r="E92" s="518"/>
      <c r="F92" s="367"/>
      <c r="G92" s="367"/>
    </row>
    <row r="93" spans="1:7" ht="9.75" customHeight="1">
      <c r="A93" s="367"/>
      <c r="B93" s="367"/>
      <c r="C93" s="518"/>
      <c r="D93" s="518"/>
      <c r="E93" s="518"/>
      <c r="F93" s="367"/>
      <c r="G93" s="367"/>
    </row>
    <row r="94" spans="1:7" ht="9.75" customHeight="1">
      <c r="A94" s="367"/>
      <c r="B94" s="367"/>
      <c r="C94" s="518"/>
      <c r="D94" s="518"/>
      <c r="E94" s="518"/>
      <c r="F94" s="367"/>
      <c r="G94" s="367"/>
    </row>
    <row r="95" spans="1:7" ht="9.75" customHeight="1">
      <c r="A95" s="367"/>
      <c r="B95" s="367"/>
      <c r="C95" s="518"/>
      <c r="D95" s="518"/>
      <c r="E95" s="518"/>
      <c r="F95" s="367"/>
      <c r="G95" s="367"/>
    </row>
    <row r="96" spans="1:7" ht="9.75" customHeight="1">
      <c r="A96" s="367"/>
      <c r="B96" s="367"/>
      <c r="C96" s="518"/>
      <c r="D96" s="518"/>
      <c r="E96" s="518"/>
      <c r="F96" s="367"/>
      <c r="G96" s="367"/>
    </row>
    <row r="97" spans="1:7" ht="9.75" customHeight="1">
      <c r="A97" s="367"/>
      <c r="B97" s="367"/>
      <c r="C97" s="518"/>
      <c r="D97" s="518"/>
      <c r="E97" s="518"/>
      <c r="F97" s="367"/>
      <c r="G97" s="367"/>
    </row>
    <row r="98" spans="1:7" ht="9.75" customHeight="1">
      <c r="A98" s="367"/>
      <c r="B98" s="367"/>
      <c r="C98" s="518"/>
      <c r="D98" s="518"/>
      <c r="E98" s="518"/>
      <c r="F98" s="367"/>
      <c r="G98" s="367"/>
    </row>
    <row r="99" spans="1:7" ht="9.75" customHeight="1">
      <c r="A99" s="367"/>
      <c r="B99" s="367"/>
      <c r="C99" s="518"/>
      <c r="D99" s="518"/>
      <c r="E99" s="518"/>
      <c r="F99" s="367"/>
      <c r="G99" s="367"/>
    </row>
    <row r="100" spans="1:7" ht="9.75" customHeight="1">
      <c r="A100" s="367"/>
      <c r="B100" s="367"/>
      <c r="C100" s="518"/>
      <c r="D100" s="518"/>
      <c r="E100" s="518"/>
      <c r="F100" s="367"/>
      <c r="G100" s="367"/>
    </row>
    <row r="101" spans="1:7" ht="9.75" customHeight="1">
      <c r="A101" s="367"/>
      <c r="B101" s="367"/>
      <c r="C101" s="518"/>
      <c r="D101" s="518"/>
      <c r="E101" s="518"/>
      <c r="F101" s="367"/>
      <c r="G101" s="367"/>
    </row>
    <row r="102" spans="1:7" ht="9.75" customHeight="1">
      <c r="A102" s="367"/>
      <c r="B102" s="367"/>
      <c r="C102" s="518"/>
      <c r="D102" s="518"/>
      <c r="E102" s="518"/>
      <c r="F102" s="367"/>
      <c r="G102" s="367"/>
    </row>
    <row r="103" spans="1:7" ht="9.75" customHeight="1">
      <c r="A103" s="367"/>
      <c r="B103" s="367"/>
      <c r="C103" s="518"/>
      <c r="D103" s="518"/>
      <c r="E103" s="518"/>
      <c r="F103" s="367"/>
      <c r="G103" s="367"/>
    </row>
    <row r="104" spans="1:7" ht="9.75" customHeight="1">
      <c r="A104" s="367"/>
      <c r="B104" s="367"/>
      <c r="C104" s="518"/>
      <c r="D104" s="518"/>
      <c r="E104" s="518"/>
      <c r="F104" s="367"/>
      <c r="G104" s="367"/>
    </row>
    <row r="105" spans="1:7" ht="9.75" customHeight="1">
      <c r="A105" s="367"/>
      <c r="B105" s="367"/>
      <c r="C105" s="518"/>
      <c r="D105" s="518"/>
      <c r="E105" s="518"/>
      <c r="F105" s="367"/>
      <c r="G105" s="367"/>
    </row>
    <row r="106" spans="1:7" ht="9.75" customHeight="1">
      <c r="A106" s="367"/>
      <c r="B106" s="367"/>
      <c r="C106" s="518"/>
      <c r="D106" s="518"/>
      <c r="E106" s="518"/>
      <c r="F106" s="367"/>
      <c r="G106" s="367"/>
    </row>
    <row r="107" spans="1:7" ht="9.75" customHeight="1">
      <c r="A107" s="367"/>
      <c r="B107" s="367"/>
      <c r="C107" s="518"/>
      <c r="D107" s="518"/>
      <c r="E107" s="518"/>
      <c r="F107" s="367"/>
      <c r="G107" s="367"/>
    </row>
    <row r="108" spans="1:7" ht="9.75" customHeight="1">
      <c r="A108" s="367"/>
      <c r="B108" s="367"/>
      <c r="C108" s="518"/>
      <c r="D108" s="518"/>
      <c r="E108" s="518"/>
      <c r="F108" s="367"/>
      <c r="G108" s="367"/>
    </row>
    <row r="109" spans="1:7" ht="9.75" customHeight="1">
      <c r="A109" s="367"/>
      <c r="B109" s="367"/>
      <c r="C109" s="518"/>
      <c r="D109" s="518"/>
      <c r="E109" s="518"/>
      <c r="F109" s="367"/>
      <c r="G109" s="367"/>
    </row>
    <row r="110" spans="1:7" ht="9.75" customHeight="1">
      <c r="A110" s="367"/>
      <c r="B110" s="367"/>
      <c r="C110" s="518"/>
      <c r="D110" s="518"/>
      <c r="E110" s="518"/>
      <c r="F110" s="367"/>
      <c r="G110" s="367"/>
    </row>
    <row r="111" spans="1:7" ht="9.75" customHeight="1">
      <c r="A111" s="367"/>
      <c r="B111" s="367"/>
      <c r="C111" s="518"/>
      <c r="D111" s="518"/>
      <c r="E111" s="518"/>
      <c r="F111" s="367"/>
      <c r="G111" s="367"/>
    </row>
    <row r="112" spans="1:7" ht="9.75" customHeight="1">
      <c r="A112" s="367"/>
      <c r="B112" s="367"/>
      <c r="C112" s="518"/>
      <c r="D112" s="518"/>
      <c r="E112" s="518"/>
      <c r="F112" s="367"/>
      <c r="G112" s="367"/>
    </row>
    <row r="113" spans="1:7" ht="9.75" customHeight="1">
      <c r="A113" s="367"/>
      <c r="B113" s="367"/>
      <c r="C113" s="518"/>
      <c r="D113" s="518"/>
      <c r="E113" s="518"/>
      <c r="F113" s="367"/>
      <c r="G113" s="367"/>
    </row>
    <row r="114" spans="1:7" ht="9.75" customHeight="1">
      <c r="A114" s="367"/>
      <c r="B114" s="367"/>
      <c r="C114" s="518"/>
      <c r="D114" s="518"/>
      <c r="E114" s="518"/>
      <c r="F114" s="367"/>
      <c r="G114" s="367"/>
    </row>
    <row r="115" spans="1:7" ht="9.75" customHeight="1">
      <c r="A115" s="367"/>
      <c r="B115" s="367"/>
      <c r="C115" s="518"/>
      <c r="D115" s="518"/>
      <c r="E115" s="518"/>
      <c r="F115" s="367"/>
      <c r="G115" s="367"/>
    </row>
    <row r="116" spans="1:7" ht="9.75" customHeight="1">
      <c r="A116" s="367"/>
      <c r="B116" s="367"/>
      <c r="C116" s="518"/>
      <c r="D116" s="518"/>
      <c r="E116" s="518"/>
      <c r="F116" s="367"/>
      <c r="G116" s="367"/>
    </row>
    <row r="117" spans="1:7" ht="9.75" customHeight="1">
      <c r="A117" s="367"/>
      <c r="B117" s="367"/>
      <c r="C117" s="518"/>
      <c r="D117" s="518"/>
      <c r="E117" s="518"/>
      <c r="F117" s="367"/>
      <c r="G117" s="367"/>
    </row>
    <row r="118" spans="1:7" ht="9.75" customHeight="1">
      <c r="A118" s="367"/>
      <c r="B118" s="367"/>
      <c r="C118" s="518"/>
      <c r="D118" s="518"/>
      <c r="E118" s="518"/>
      <c r="F118" s="367"/>
      <c r="G118" s="367"/>
    </row>
    <row r="119" spans="1:7" ht="9.75" customHeight="1">
      <c r="A119" s="367"/>
      <c r="B119" s="367"/>
      <c r="C119" s="518"/>
      <c r="D119" s="518"/>
      <c r="E119" s="518"/>
      <c r="F119" s="367"/>
      <c r="G119" s="367"/>
    </row>
    <row r="120" spans="1:7" ht="9.75" customHeight="1">
      <c r="A120" s="367"/>
      <c r="B120" s="367"/>
      <c r="C120" s="518"/>
      <c r="D120" s="518"/>
      <c r="E120" s="518"/>
      <c r="F120" s="367"/>
      <c r="G120" s="367"/>
    </row>
    <row r="121" spans="1:7" ht="9.75" customHeight="1">
      <c r="A121" s="367"/>
      <c r="B121" s="367"/>
      <c r="C121" s="518"/>
      <c r="D121" s="518"/>
      <c r="E121" s="518"/>
      <c r="F121" s="367"/>
      <c r="G121" s="367"/>
    </row>
    <row r="122" spans="1:7" ht="9.75" customHeight="1">
      <c r="A122" s="367"/>
      <c r="B122" s="367"/>
      <c r="C122" s="518"/>
      <c r="D122" s="518"/>
      <c r="E122" s="518"/>
      <c r="F122" s="367"/>
      <c r="G122" s="367"/>
    </row>
    <row r="123" spans="1:7" ht="9.75" customHeight="1">
      <c r="A123" s="367"/>
      <c r="B123" s="367"/>
      <c r="C123" s="518"/>
      <c r="D123" s="518"/>
      <c r="E123" s="518"/>
      <c r="F123" s="367"/>
      <c r="G123" s="367"/>
    </row>
    <row r="124" spans="1:7" ht="9.75" customHeight="1">
      <c r="A124" s="367"/>
      <c r="B124" s="367"/>
      <c r="C124" s="518"/>
      <c r="D124" s="518"/>
      <c r="E124" s="518"/>
      <c r="F124" s="367"/>
      <c r="G124" s="367"/>
    </row>
    <row r="125" spans="1:7" ht="9.75" customHeight="1">
      <c r="A125" s="367"/>
      <c r="B125" s="367"/>
      <c r="C125" s="518"/>
      <c r="D125" s="518"/>
      <c r="E125" s="518"/>
      <c r="F125" s="367"/>
      <c r="G125" s="367"/>
    </row>
    <row r="126" spans="1:7" ht="9.75" customHeight="1">
      <c r="A126" s="367"/>
      <c r="B126" s="367"/>
      <c r="C126" s="518"/>
      <c r="D126" s="518"/>
      <c r="E126" s="518"/>
      <c r="F126" s="367"/>
      <c r="G126" s="367"/>
    </row>
    <row r="127" spans="1:7" ht="9.75" customHeight="1">
      <c r="A127" s="367"/>
      <c r="B127" s="367"/>
      <c r="C127" s="518"/>
      <c r="D127" s="518"/>
      <c r="E127" s="518"/>
      <c r="F127" s="367"/>
      <c r="G127" s="367"/>
    </row>
    <row r="128" spans="1:7" ht="9.75" customHeight="1">
      <c r="A128" s="367"/>
      <c r="B128" s="367"/>
      <c r="C128" s="518"/>
      <c r="D128" s="518"/>
      <c r="E128" s="518"/>
      <c r="F128" s="367"/>
      <c r="G128" s="367"/>
    </row>
    <row r="129" spans="1:7" ht="9.75" customHeight="1">
      <c r="A129" s="367"/>
      <c r="B129" s="367"/>
      <c r="C129" s="518"/>
      <c r="D129" s="518"/>
      <c r="E129" s="518"/>
      <c r="F129" s="367"/>
      <c r="G129" s="367"/>
    </row>
    <row r="130" spans="1:7" ht="9.75" customHeight="1">
      <c r="A130" s="367"/>
      <c r="B130" s="367"/>
      <c r="C130" s="518"/>
      <c r="D130" s="518"/>
      <c r="E130" s="518"/>
      <c r="F130" s="367"/>
      <c r="G130" s="367"/>
    </row>
    <row r="131" spans="1:7" ht="9.75" customHeight="1">
      <c r="A131" s="367"/>
      <c r="B131" s="367"/>
      <c r="C131" s="518"/>
      <c r="D131" s="518"/>
      <c r="E131" s="518"/>
      <c r="F131" s="367"/>
      <c r="G131" s="367"/>
    </row>
    <row r="132" spans="1:7" ht="9.75" customHeight="1">
      <c r="A132" s="367"/>
      <c r="B132" s="367"/>
      <c r="C132" s="518"/>
      <c r="D132" s="518"/>
      <c r="E132" s="518"/>
      <c r="F132" s="367"/>
      <c r="G132" s="367"/>
    </row>
    <row r="133" spans="1:7" ht="9.75" customHeight="1">
      <c r="A133" s="367"/>
      <c r="B133" s="367"/>
      <c r="C133" s="518"/>
      <c r="D133" s="518"/>
      <c r="E133" s="518"/>
      <c r="F133" s="367"/>
      <c r="G133" s="367"/>
    </row>
    <row r="134" spans="1:7" ht="9.75" customHeight="1">
      <c r="A134" s="367"/>
      <c r="B134" s="367"/>
      <c r="C134" s="518"/>
      <c r="D134" s="518"/>
      <c r="E134" s="518"/>
      <c r="F134" s="367"/>
      <c r="G134" s="367"/>
    </row>
    <row r="135" spans="1:7" ht="9.75" customHeight="1">
      <c r="A135" s="367"/>
      <c r="B135" s="367"/>
      <c r="C135" s="518"/>
      <c r="D135" s="518"/>
      <c r="E135" s="518"/>
      <c r="F135" s="367"/>
      <c r="G135" s="367"/>
    </row>
    <row r="136" spans="1:7" ht="9.75" customHeight="1">
      <c r="A136" s="367"/>
      <c r="B136" s="367"/>
      <c r="C136" s="518"/>
      <c r="D136" s="518"/>
      <c r="E136" s="518"/>
      <c r="F136" s="367"/>
      <c r="G136" s="367"/>
    </row>
    <row r="137" spans="1:7" ht="9.75" customHeight="1">
      <c r="A137" s="367"/>
      <c r="B137" s="367"/>
      <c r="C137" s="518"/>
      <c r="D137" s="518"/>
      <c r="E137" s="518"/>
      <c r="F137" s="367"/>
      <c r="G137" s="367"/>
    </row>
    <row r="138" spans="1:7" ht="9.75" customHeight="1">
      <c r="A138" s="367"/>
      <c r="B138" s="367"/>
      <c r="C138" s="518"/>
      <c r="D138" s="518"/>
      <c r="E138" s="518"/>
      <c r="F138" s="367"/>
      <c r="G138" s="367"/>
    </row>
    <row r="139" spans="1:7" ht="9.75" customHeight="1">
      <c r="A139" s="367"/>
      <c r="B139" s="367"/>
      <c r="C139" s="518"/>
      <c r="D139" s="518"/>
      <c r="E139" s="518"/>
      <c r="F139" s="367"/>
      <c r="G139" s="367"/>
    </row>
    <row r="140" spans="1:7" ht="9.75" customHeight="1">
      <c r="A140" s="367"/>
      <c r="B140" s="367"/>
      <c r="C140" s="518"/>
      <c r="D140" s="518"/>
      <c r="E140" s="518"/>
      <c r="F140" s="367"/>
      <c r="G140" s="367"/>
    </row>
    <row r="141" spans="1:7" ht="9.75" customHeight="1">
      <c r="A141" s="367"/>
      <c r="B141" s="367"/>
      <c r="C141" s="518"/>
      <c r="D141" s="518"/>
      <c r="E141" s="518"/>
      <c r="F141" s="367"/>
      <c r="G141" s="367"/>
    </row>
    <row r="142" spans="1:7" ht="9.75" customHeight="1">
      <c r="A142" s="367"/>
      <c r="B142" s="367"/>
      <c r="C142" s="518"/>
      <c r="D142" s="518"/>
      <c r="E142" s="518"/>
      <c r="F142" s="367"/>
      <c r="G142" s="367"/>
    </row>
    <row r="143" spans="1:7" ht="9.75" customHeight="1">
      <c r="A143" s="367"/>
      <c r="B143" s="367"/>
      <c r="C143" s="518"/>
      <c r="D143" s="518"/>
      <c r="E143" s="518"/>
      <c r="F143" s="367"/>
      <c r="G143" s="367"/>
    </row>
    <row r="144" spans="1:7" ht="9.75" customHeight="1">
      <c r="A144" s="367"/>
      <c r="B144" s="367"/>
      <c r="C144" s="518"/>
      <c r="D144" s="518"/>
      <c r="E144" s="518"/>
      <c r="F144" s="367"/>
      <c r="G144" s="367"/>
    </row>
    <row r="145" spans="1:7" ht="9.75" customHeight="1">
      <c r="A145" s="367"/>
      <c r="B145" s="367"/>
      <c r="C145" s="518"/>
      <c r="D145" s="518"/>
      <c r="E145" s="518"/>
      <c r="F145" s="367"/>
      <c r="G145" s="367"/>
    </row>
    <row r="146" spans="1:7" ht="9.75" customHeight="1">
      <c r="A146" s="367"/>
      <c r="B146" s="367"/>
      <c r="C146" s="518"/>
      <c r="D146" s="518"/>
      <c r="E146" s="518"/>
      <c r="F146" s="367"/>
      <c r="G146" s="367"/>
    </row>
    <row r="147" spans="1:7" ht="9.75" customHeight="1">
      <c r="A147" s="367"/>
      <c r="B147" s="367"/>
      <c r="C147" s="518"/>
      <c r="D147" s="518"/>
      <c r="E147" s="518"/>
      <c r="F147" s="367"/>
      <c r="G147" s="367"/>
    </row>
    <row r="148" spans="1:7" ht="9.75" customHeight="1">
      <c r="A148" s="367"/>
      <c r="B148" s="367"/>
      <c r="C148" s="518"/>
      <c r="D148" s="518"/>
      <c r="E148" s="518"/>
      <c r="F148" s="367"/>
      <c r="G148" s="367"/>
    </row>
    <row r="149" spans="1:7" ht="9.75" customHeight="1">
      <c r="A149" s="367"/>
      <c r="B149" s="367"/>
      <c r="C149" s="518"/>
      <c r="D149" s="518"/>
      <c r="E149" s="518"/>
      <c r="F149" s="367"/>
      <c r="G149" s="367"/>
    </row>
    <row r="150" spans="1:7" ht="9.75" customHeight="1">
      <c r="A150" s="367"/>
      <c r="B150" s="367"/>
      <c r="C150" s="518"/>
      <c r="D150" s="518"/>
      <c r="E150" s="518"/>
      <c r="F150" s="367"/>
      <c r="G150" s="367"/>
    </row>
    <row r="151" spans="1:7" ht="9.75" customHeight="1">
      <c r="A151" s="367"/>
      <c r="B151" s="367"/>
      <c r="C151" s="518"/>
      <c r="D151" s="518"/>
      <c r="E151" s="518"/>
      <c r="F151" s="367"/>
      <c r="G151" s="367"/>
    </row>
    <row r="152" spans="1:7" ht="9.75" customHeight="1">
      <c r="A152" s="367"/>
      <c r="B152" s="367"/>
      <c r="C152" s="518"/>
      <c r="D152" s="518"/>
      <c r="E152" s="518"/>
      <c r="F152" s="367"/>
      <c r="G152" s="367"/>
    </row>
    <row r="153" spans="1:7" ht="9.75" customHeight="1">
      <c r="A153" s="367"/>
      <c r="B153" s="367"/>
      <c r="C153" s="518"/>
      <c r="D153" s="518"/>
      <c r="E153" s="518"/>
      <c r="F153" s="367"/>
      <c r="G153" s="367"/>
    </row>
    <row r="154" spans="1:7" ht="9.75" customHeight="1">
      <c r="A154" s="367"/>
      <c r="B154" s="367"/>
      <c r="C154" s="518"/>
      <c r="D154" s="518"/>
      <c r="E154" s="518"/>
      <c r="F154" s="367"/>
      <c r="G154" s="367"/>
    </row>
    <row r="155" spans="1:7" ht="9.75" customHeight="1">
      <c r="A155" s="367"/>
      <c r="B155" s="367"/>
      <c r="C155" s="518"/>
      <c r="D155" s="518"/>
      <c r="E155" s="518"/>
      <c r="F155" s="367"/>
      <c r="G155" s="367"/>
    </row>
    <row r="156" spans="1:7" ht="9.75" customHeight="1">
      <c r="A156" s="367"/>
      <c r="B156" s="367"/>
      <c r="C156" s="518"/>
      <c r="D156" s="518"/>
      <c r="E156" s="518"/>
      <c r="F156" s="367"/>
      <c r="G156" s="367"/>
    </row>
    <row r="157" spans="1:7" ht="9.75" customHeight="1">
      <c r="A157" s="367"/>
      <c r="B157" s="367"/>
      <c r="C157" s="518"/>
      <c r="D157" s="518"/>
      <c r="E157" s="518"/>
      <c r="F157" s="367"/>
      <c r="G157" s="367"/>
    </row>
    <row r="158" spans="1:7" ht="9.75" customHeight="1">
      <c r="A158" s="367"/>
      <c r="B158" s="367"/>
      <c r="C158" s="518"/>
      <c r="D158" s="518"/>
      <c r="E158" s="518"/>
      <c r="F158" s="367"/>
      <c r="G158" s="367"/>
    </row>
    <row r="159" spans="1:7" ht="9.75" customHeight="1">
      <c r="A159" s="367"/>
      <c r="B159" s="367"/>
      <c r="C159" s="518"/>
      <c r="D159" s="518"/>
      <c r="E159" s="518"/>
      <c r="F159" s="367"/>
      <c r="G159" s="367"/>
    </row>
    <row r="160" spans="1:7" ht="9.75" customHeight="1">
      <c r="A160" s="367"/>
      <c r="B160" s="367"/>
      <c r="C160" s="518"/>
      <c r="D160" s="518"/>
      <c r="E160" s="518"/>
      <c r="F160" s="367"/>
      <c r="G160" s="367"/>
    </row>
    <row r="161" spans="1:7" ht="9.75" customHeight="1">
      <c r="A161" s="367"/>
      <c r="B161" s="367"/>
      <c r="C161" s="518"/>
      <c r="D161" s="518"/>
      <c r="E161" s="518"/>
      <c r="F161" s="367"/>
      <c r="G161" s="367"/>
    </row>
    <row r="162" spans="1:7" ht="9.75" customHeight="1">
      <c r="A162" s="367"/>
      <c r="B162" s="367"/>
      <c r="C162" s="518"/>
      <c r="D162" s="518"/>
      <c r="E162" s="518"/>
      <c r="F162" s="367"/>
      <c r="G162" s="367"/>
    </row>
    <row r="163" spans="1:7" ht="9.75" customHeight="1">
      <c r="A163" s="367"/>
      <c r="B163" s="367"/>
      <c r="C163" s="518"/>
      <c r="D163" s="518"/>
      <c r="E163" s="518"/>
      <c r="F163" s="367"/>
      <c r="G163" s="367"/>
    </row>
    <row r="164" spans="1:7" ht="9.75" customHeight="1">
      <c r="A164" s="367"/>
      <c r="B164" s="367"/>
      <c r="C164" s="518"/>
      <c r="D164" s="518"/>
      <c r="E164" s="518"/>
      <c r="F164" s="367"/>
      <c r="G164" s="367"/>
    </row>
    <row r="165" spans="1:7" ht="9.75" customHeight="1">
      <c r="A165" s="367"/>
      <c r="B165" s="367"/>
      <c r="C165" s="518"/>
      <c r="D165" s="518"/>
      <c r="E165" s="518"/>
      <c r="F165" s="367"/>
      <c r="G165" s="367"/>
    </row>
    <row r="166" spans="1:7" ht="9.75" customHeight="1">
      <c r="A166" s="367"/>
      <c r="B166" s="367"/>
      <c r="C166" s="367"/>
      <c r="D166" s="367"/>
      <c r="E166" s="367"/>
      <c r="F166" s="367"/>
      <c r="G166" s="367"/>
    </row>
    <row r="167" spans="1:7" ht="9.75" customHeight="1">
      <c r="A167" s="367"/>
      <c r="B167" s="367"/>
      <c r="C167" s="367"/>
      <c r="D167" s="367"/>
      <c r="E167" s="367"/>
      <c r="F167" s="367"/>
      <c r="G167" s="367"/>
    </row>
    <row r="168" spans="1:7" ht="9.75" customHeight="1">
      <c r="A168" s="367"/>
      <c r="B168" s="367"/>
      <c r="C168" s="367"/>
      <c r="D168" s="367"/>
      <c r="E168" s="367"/>
      <c r="F168" s="367"/>
      <c r="G168" s="367"/>
    </row>
    <row r="169" spans="1:7" ht="9.75" customHeight="1">
      <c r="A169" s="367"/>
      <c r="B169" s="367"/>
      <c r="C169" s="367"/>
      <c r="D169" s="367"/>
      <c r="E169" s="367"/>
      <c r="F169" s="367"/>
      <c r="G169" s="367"/>
    </row>
    <row r="170" spans="1:7" ht="9.75" customHeight="1">
      <c r="A170" s="367"/>
      <c r="B170" s="367"/>
      <c r="C170" s="367"/>
      <c r="D170" s="367"/>
      <c r="E170" s="367"/>
      <c r="F170" s="367"/>
      <c r="G170" s="367"/>
    </row>
    <row r="171" spans="1:7" ht="9.75" customHeight="1">
      <c r="A171" s="367"/>
      <c r="B171" s="367"/>
      <c r="C171" s="367"/>
      <c r="D171" s="367"/>
      <c r="E171" s="367"/>
      <c r="F171" s="367"/>
      <c r="G171" s="367"/>
    </row>
    <row r="172" spans="1:7" ht="9.75" customHeight="1">
      <c r="A172" s="367"/>
      <c r="B172" s="367"/>
      <c r="C172" s="367"/>
      <c r="D172" s="367"/>
      <c r="E172" s="367"/>
      <c r="F172" s="367"/>
      <c r="G172" s="367"/>
    </row>
    <row r="173" spans="1:7" ht="9.75" customHeight="1">
      <c r="A173" s="367"/>
      <c r="B173" s="367"/>
      <c r="C173" s="367"/>
      <c r="D173" s="367"/>
      <c r="E173" s="367"/>
      <c r="F173" s="367"/>
      <c r="G173" s="367"/>
    </row>
    <row r="174" spans="1:7" ht="9.75" customHeight="1">
      <c r="A174" s="367"/>
      <c r="B174" s="367"/>
      <c r="C174" s="367"/>
      <c r="D174" s="367"/>
      <c r="E174" s="367"/>
      <c r="F174" s="367"/>
      <c r="G174" s="367"/>
    </row>
  </sheetData>
  <mergeCells count="5">
    <mergeCell ref="A2:A5"/>
    <mergeCell ref="B2:B5"/>
    <mergeCell ref="C2:F2"/>
    <mergeCell ref="C3:E3"/>
    <mergeCell ref="F3:F4"/>
  </mergeCells>
  <pageMargins left="0.70866141732283472" right="0.47244094488188981"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L107"/>
  <sheetViews>
    <sheetView showGridLines="0" view="pageBreakPreview" zoomScale="120" zoomScaleNormal="100" zoomScaleSheetLayoutView="120" zoomScalePageLayoutView="130" workbookViewId="0">
      <selection sqref="A1:A4"/>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91" customWidth="1"/>
    <col min="12" max="12" width="9.33203125" style="491"/>
  </cols>
  <sheetData>
    <row r="1" spans="1:12" ht="17.25" customHeight="1">
      <c r="A1" s="960" t="s">
        <v>269</v>
      </c>
      <c r="B1" s="963" t="s">
        <v>56</v>
      </c>
      <c r="C1" s="966" t="str">
        <f>+'18. ANEXOI-1'!C2:F2</f>
        <v>ENERGÍA PRODUCIDA FEBRERO 2019</v>
      </c>
      <c r="D1" s="966"/>
      <c r="E1" s="966"/>
      <c r="F1" s="966"/>
      <c r="G1" s="797" t="s">
        <v>296</v>
      </c>
      <c r="H1" s="205"/>
      <c r="I1" s="205"/>
      <c r="J1" s="637"/>
      <c r="K1" s="637"/>
    </row>
    <row r="2" spans="1:12" ht="11.25" customHeight="1">
      <c r="A2" s="961"/>
      <c r="B2" s="964"/>
      <c r="C2" s="967" t="s">
        <v>297</v>
      </c>
      <c r="D2" s="967"/>
      <c r="E2" s="967"/>
      <c r="F2" s="968" t="str">
        <f>"TOTAL 
"&amp;UPPER('1. Resumen'!Q4)</f>
        <v>TOTAL 
FEBRERO</v>
      </c>
      <c r="G2" s="798" t="s">
        <v>298</v>
      </c>
      <c r="H2" s="196"/>
      <c r="I2" s="196"/>
      <c r="J2" s="638"/>
      <c r="K2" s="638"/>
      <c r="L2" s="637"/>
    </row>
    <row r="3" spans="1:12" ht="11.25" customHeight="1">
      <c r="A3" s="961"/>
      <c r="B3" s="964"/>
      <c r="C3" s="597" t="s">
        <v>227</v>
      </c>
      <c r="D3" s="597" t="s">
        <v>228</v>
      </c>
      <c r="E3" s="597" t="s">
        <v>299</v>
      </c>
      <c r="F3" s="969"/>
      <c r="G3" s="798">
        <v>2019</v>
      </c>
      <c r="H3" s="198"/>
      <c r="I3" s="197"/>
      <c r="J3" s="639"/>
      <c r="K3" s="639"/>
      <c r="L3" s="637"/>
    </row>
    <row r="4" spans="1:12" ht="11.25" customHeight="1">
      <c r="A4" s="970"/>
      <c r="B4" s="971"/>
      <c r="C4" s="598" t="s">
        <v>300</v>
      </c>
      <c r="D4" s="598" t="s">
        <v>300</v>
      </c>
      <c r="E4" s="598" t="s">
        <v>300</v>
      </c>
      <c r="F4" s="598" t="s">
        <v>300</v>
      </c>
      <c r="G4" s="799" t="s">
        <v>214</v>
      </c>
      <c r="H4" s="198"/>
      <c r="I4" s="198"/>
      <c r="J4" s="640"/>
      <c r="K4" s="640"/>
      <c r="L4" s="641"/>
    </row>
    <row r="5" spans="1:12" ht="10.5" customHeight="1">
      <c r="A5" s="804" t="s">
        <v>90</v>
      </c>
      <c r="B5" s="367" t="s">
        <v>354</v>
      </c>
      <c r="C5" s="517">
        <v>67799.388865000001</v>
      </c>
      <c r="D5" s="517"/>
      <c r="E5" s="517"/>
      <c r="F5" s="517">
        <v>67799.388865000001</v>
      </c>
      <c r="G5" s="805">
        <v>132785.62671750001</v>
      </c>
      <c r="I5" s="636"/>
      <c r="K5" s="640"/>
      <c r="L5" s="640"/>
    </row>
    <row r="6" spans="1:12" ht="10.5" customHeight="1">
      <c r="A6" s="804"/>
      <c r="B6" s="367" t="s">
        <v>355</v>
      </c>
      <c r="C6" s="517">
        <v>84363.860507499994</v>
      </c>
      <c r="D6" s="517"/>
      <c r="E6" s="517"/>
      <c r="F6" s="517">
        <v>84363.860507499994</v>
      </c>
      <c r="G6" s="805">
        <v>175642.15468500002</v>
      </c>
      <c r="I6" s="636"/>
      <c r="K6" s="640"/>
      <c r="L6" s="640"/>
    </row>
    <row r="7" spans="1:12" ht="10.5" customHeight="1">
      <c r="A7" s="804"/>
      <c r="B7" s="367" t="s">
        <v>356</v>
      </c>
      <c r="C7" s="517"/>
      <c r="D7" s="517">
        <v>83879.352237500003</v>
      </c>
      <c r="E7" s="517"/>
      <c r="F7" s="517">
        <v>83879.352237500003</v>
      </c>
      <c r="G7" s="805">
        <v>477422.03370250005</v>
      </c>
      <c r="I7" s="636"/>
      <c r="K7" s="640"/>
      <c r="L7" s="640"/>
    </row>
    <row r="8" spans="1:12" ht="10.5" customHeight="1">
      <c r="A8" s="804"/>
      <c r="B8" s="367" t="s">
        <v>357</v>
      </c>
      <c r="C8" s="517"/>
      <c r="D8" s="517">
        <v>16100.1544675</v>
      </c>
      <c r="E8" s="517"/>
      <c r="F8" s="517">
        <v>16100.1544675</v>
      </c>
      <c r="G8" s="805">
        <v>59551.385685000001</v>
      </c>
      <c r="I8" s="636"/>
      <c r="K8" s="640"/>
      <c r="L8" s="640"/>
    </row>
    <row r="9" spans="1:12" ht="10.5" customHeight="1">
      <c r="A9" s="804"/>
      <c r="B9" s="367" t="s">
        <v>358</v>
      </c>
      <c r="C9" s="517"/>
      <c r="D9" s="517">
        <v>14210.985769999999</v>
      </c>
      <c r="E9" s="517"/>
      <c r="F9" s="517">
        <v>14210.985769999999</v>
      </c>
      <c r="G9" s="805">
        <v>18283.25661</v>
      </c>
      <c r="I9" s="636"/>
      <c r="K9" s="640"/>
      <c r="L9" s="640"/>
    </row>
    <row r="10" spans="1:12" ht="10.5" customHeight="1">
      <c r="A10" s="804"/>
      <c r="B10" s="367" t="s">
        <v>359</v>
      </c>
      <c r="C10" s="517"/>
      <c r="D10" s="517">
        <v>778.88034749999997</v>
      </c>
      <c r="E10" s="517"/>
      <c r="F10" s="517">
        <v>778.88034749999997</v>
      </c>
      <c r="G10" s="805">
        <v>1325.7231325</v>
      </c>
      <c r="I10" s="636"/>
      <c r="K10" s="640"/>
      <c r="L10" s="640"/>
    </row>
    <row r="11" spans="1:12" ht="10.5" customHeight="1">
      <c r="A11" s="804"/>
      <c r="B11" s="367" t="s">
        <v>360</v>
      </c>
      <c r="C11" s="517"/>
      <c r="D11" s="517">
        <v>373.0557475</v>
      </c>
      <c r="E11" s="517"/>
      <c r="F11" s="517">
        <v>373.0557475</v>
      </c>
      <c r="G11" s="805">
        <v>373.0557475</v>
      </c>
      <c r="I11" s="636"/>
      <c r="K11" s="640"/>
      <c r="L11" s="640"/>
    </row>
    <row r="12" spans="1:12" ht="10.5" customHeight="1">
      <c r="A12" s="804"/>
      <c r="B12" s="367" t="s">
        <v>784</v>
      </c>
      <c r="C12" s="517"/>
      <c r="D12" s="517"/>
      <c r="E12" s="517">
        <v>6465.1852749999998</v>
      </c>
      <c r="F12" s="517">
        <v>6465.1852749999998</v>
      </c>
      <c r="G12" s="805">
        <v>13750.186337499999</v>
      </c>
      <c r="I12" s="636"/>
      <c r="K12" s="640"/>
      <c r="L12" s="640"/>
    </row>
    <row r="13" spans="1:12" ht="10.5" customHeight="1">
      <c r="A13" s="802" t="s">
        <v>361</v>
      </c>
      <c r="B13" s="621"/>
      <c r="C13" s="622">
        <v>152163.24937249999</v>
      </c>
      <c r="D13" s="622">
        <v>115342.42857</v>
      </c>
      <c r="E13" s="622">
        <v>6465.1852749999998</v>
      </c>
      <c r="F13" s="622">
        <v>273970.86321749992</v>
      </c>
      <c r="G13" s="803">
        <v>879133.42261750007</v>
      </c>
      <c r="I13" s="636"/>
      <c r="K13" s="640"/>
      <c r="L13" s="640"/>
    </row>
    <row r="14" spans="1:12" ht="10.5" customHeight="1">
      <c r="A14" s="804" t="s">
        <v>257</v>
      </c>
      <c r="B14" s="367" t="s">
        <v>362</v>
      </c>
      <c r="C14" s="517"/>
      <c r="D14" s="517">
        <v>342542.7755775</v>
      </c>
      <c r="E14" s="517"/>
      <c r="F14" s="517">
        <v>342542.7755775</v>
      </c>
      <c r="G14" s="805">
        <v>716900.38376499992</v>
      </c>
      <c r="I14" s="636"/>
      <c r="K14" s="640"/>
      <c r="L14" s="640"/>
    </row>
    <row r="15" spans="1:12" ht="10.5" customHeight="1">
      <c r="A15" s="802" t="s">
        <v>363</v>
      </c>
      <c r="B15" s="621"/>
      <c r="C15" s="622"/>
      <c r="D15" s="622">
        <v>342542.7755775</v>
      </c>
      <c r="E15" s="622"/>
      <c r="F15" s="622">
        <v>342542.7755775</v>
      </c>
      <c r="G15" s="803">
        <v>716900.38376499992</v>
      </c>
      <c r="I15" s="636"/>
      <c r="K15" s="640"/>
      <c r="L15" s="640"/>
    </row>
    <row r="16" spans="1:12" ht="10.5" customHeight="1">
      <c r="A16" s="804" t="s">
        <v>111</v>
      </c>
      <c r="B16" s="367" t="s">
        <v>68</v>
      </c>
      <c r="C16" s="517"/>
      <c r="D16" s="517"/>
      <c r="E16" s="517">
        <v>1592.0444674999999</v>
      </c>
      <c r="F16" s="517">
        <v>1592.0444674999999</v>
      </c>
      <c r="G16" s="805">
        <v>5985.5576499999997</v>
      </c>
      <c r="I16" s="636"/>
      <c r="K16" s="640"/>
      <c r="L16" s="640"/>
    </row>
    <row r="17" spans="1:12" ht="10.5" customHeight="1">
      <c r="A17" s="804"/>
      <c r="B17" s="367" t="s">
        <v>507</v>
      </c>
      <c r="C17" s="517"/>
      <c r="D17" s="517"/>
      <c r="E17" s="517">
        <v>5413.0365725000001</v>
      </c>
      <c r="F17" s="517">
        <v>5413.0365725000001</v>
      </c>
      <c r="G17" s="805">
        <v>11912.276247500002</v>
      </c>
      <c r="I17" s="636"/>
      <c r="K17" s="640"/>
      <c r="L17" s="640"/>
    </row>
    <row r="18" spans="1:12" ht="10.5" customHeight="1">
      <c r="A18" s="804"/>
      <c r="B18" s="367" t="s">
        <v>505</v>
      </c>
      <c r="C18" s="517"/>
      <c r="D18" s="517"/>
      <c r="E18" s="517">
        <v>5984.5778325000001</v>
      </c>
      <c r="F18" s="517">
        <v>5984.5778325000001</v>
      </c>
      <c r="G18" s="805">
        <v>12386.976060000001</v>
      </c>
      <c r="I18" s="636"/>
      <c r="K18" s="640"/>
      <c r="L18" s="640"/>
    </row>
    <row r="19" spans="1:12" ht="10.5" customHeight="1">
      <c r="A19" s="804"/>
      <c r="B19" s="367" t="s">
        <v>506</v>
      </c>
      <c r="C19" s="517"/>
      <c r="D19" s="517"/>
      <c r="E19" s="517">
        <v>5700.7134249999999</v>
      </c>
      <c r="F19" s="517">
        <v>5700.7134249999999</v>
      </c>
      <c r="G19" s="805">
        <v>11869.2063125</v>
      </c>
      <c r="I19" s="636"/>
      <c r="K19" s="640"/>
      <c r="L19" s="640"/>
    </row>
    <row r="20" spans="1:12" ht="10.5" customHeight="1">
      <c r="A20" s="802" t="s">
        <v>364</v>
      </c>
      <c r="B20" s="621"/>
      <c r="C20" s="622"/>
      <c r="D20" s="622"/>
      <c r="E20" s="622">
        <v>18690.372297499998</v>
      </c>
      <c r="F20" s="622">
        <v>18690.372297499998</v>
      </c>
      <c r="G20" s="803">
        <v>42154.01627</v>
      </c>
      <c r="I20" s="636"/>
      <c r="K20" s="640"/>
      <c r="L20" s="640"/>
    </row>
    <row r="21" spans="1:12" ht="10.5" customHeight="1">
      <c r="A21" s="804" t="s">
        <v>114</v>
      </c>
      <c r="B21" s="367" t="s">
        <v>250</v>
      </c>
      <c r="C21" s="517"/>
      <c r="D21" s="517"/>
      <c r="E21" s="517">
        <v>3069.2810724999999</v>
      </c>
      <c r="F21" s="517">
        <v>3069.2810724999999</v>
      </c>
      <c r="G21" s="805">
        <v>6734.861645</v>
      </c>
      <c r="I21" s="636"/>
      <c r="K21" s="640"/>
      <c r="L21" s="640"/>
    </row>
    <row r="22" spans="1:12" ht="10.5" customHeight="1">
      <c r="A22" s="802" t="s">
        <v>365</v>
      </c>
      <c r="B22" s="621"/>
      <c r="C22" s="622"/>
      <c r="D22" s="622"/>
      <c r="E22" s="622">
        <v>3069.2810724999999</v>
      </c>
      <c r="F22" s="622">
        <v>3069.2810724999999</v>
      </c>
      <c r="G22" s="803">
        <v>6734.861645</v>
      </c>
      <c r="I22" s="636"/>
      <c r="K22" s="640"/>
      <c r="L22" s="640"/>
    </row>
    <row r="23" spans="1:12" ht="10.5" customHeight="1">
      <c r="A23" s="804" t="s">
        <v>115</v>
      </c>
      <c r="B23" s="367" t="s">
        <v>85</v>
      </c>
      <c r="C23" s="517"/>
      <c r="D23" s="517"/>
      <c r="E23" s="517">
        <v>2815.7282325000001</v>
      </c>
      <c r="F23" s="517">
        <v>2815.7282325000001</v>
      </c>
      <c r="G23" s="805">
        <v>6196.8299225000001</v>
      </c>
      <c r="I23" s="636"/>
      <c r="K23" s="640"/>
      <c r="L23" s="640"/>
    </row>
    <row r="24" spans="1:12" ht="10.5" customHeight="1">
      <c r="A24" s="802" t="s">
        <v>366</v>
      </c>
      <c r="B24" s="621"/>
      <c r="C24" s="622"/>
      <c r="D24" s="622"/>
      <c r="E24" s="622">
        <v>2815.7282325000001</v>
      </c>
      <c r="F24" s="622">
        <v>2815.7282325000001</v>
      </c>
      <c r="G24" s="803">
        <v>6196.8299225000001</v>
      </c>
      <c r="I24" s="636"/>
      <c r="K24" s="640"/>
      <c r="L24" s="640"/>
    </row>
    <row r="25" spans="1:12" ht="10.5" customHeight="1">
      <c r="A25" s="804" t="s">
        <v>119</v>
      </c>
      <c r="B25" s="367" t="s">
        <v>76</v>
      </c>
      <c r="C25" s="517"/>
      <c r="D25" s="517"/>
      <c r="E25" s="517">
        <v>2229.4</v>
      </c>
      <c r="F25" s="517">
        <v>2229.4</v>
      </c>
      <c r="G25" s="805">
        <v>4668.2000000000007</v>
      </c>
      <c r="I25" s="636"/>
      <c r="K25" s="640"/>
      <c r="L25" s="640"/>
    </row>
    <row r="26" spans="1:12" ht="10.5" customHeight="1">
      <c r="A26" s="802" t="s">
        <v>367</v>
      </c>
      <c r="B26" s="621"/>
      <c r="C26" s="622"/>
      <c r="D26" s="622"/>
      <c r="E26" s="622">
        <v>2229.4</v>
      </c>
      <c r="F26" s="622">
        <v>2229.4</v>
      </c>
      <c r="G26" s="803">
        <v>4668.2000000000007</v>
      </c>
      <c r="I26" s="636"/>
      <c r="K26" s="640"/>
      <c r="L26" s="640"/>
    </row>
    <row r="27" spans="1:12" ht="10.5" customHeight="1">
      <c r="A27" s="804" t="s">
        <v>106</v>
      </c>
      <c r="B27" s="367" t="s">
        <v>368</v>
      </c>
      <c r="C27" s="517">
        <v>12945.648000000001</v>
      </c>
      <c r="D27" s="517"/>
      <c r="E27" s="517"/>
      <c r="F27" s="517">
        <v>12945.648000000001</v>
      </c>
      <c r="G27" s="805">
        <v>26727.561000000002</v>
      </c>
      <c r="I27" s="636"/>
      <c r="K27" s="640"/>
      <c r="L27" s="640"/>
    </row>
    <row r="28" spans="1:12" ht="10.5" customHeight="1">
      <c r="A28" s="802" t="s">
        <v>369</v>
      </c>
      <c r="B28" s="621"/>
      <c r="C28" s="622">
        <v>12945.648000000001</v>
      </c>
      <c r="D28" s="622"/>
      <c r="E28" s="622"/>
      <c r="F28" s="622">
        <v>12945.648000000001</v>
      </c>
      <c r="G28" s="803">
        <v>26727.561000000002</v>
      </c>
      <c r="I28" s="636"/>
      <c r="K28" s="640"/>
      <c r="L28" s="640"/>
    </row>
    <row r="29" spans="1:12" ht="20.25" customHeight="1">
      <c r="A29" s="811" t="s">
        <v>541</v>
      </c>
      <c r="B29" s="367" t="s">
        <v>370</v>
      </c>
      <c r="C29" s="517">
        <v>10184.2844475</v>
      </c>
      <c r="D29" s="517"/>
      <c r="E29" s="517"/>
      <c r="F29" s="517">
        <v>10184.2844475</v>
      </c>
      <c r="G29" s="805">
        <v>23961.10527</v>
      </c>
      <c r="I29" s="636"/>
      <c r="K29" s="640"/>
      <c r="L29" s="640"/>
    </row>
    <row r="30" spans="1:12" ht="10.5" customHeight="1">
      <c r="A30" s="802" t="s">
        <v>535</v>
      </c>
      <c r="B30" s="621"/>
      <c r="C30" s="622">
        <v>10184.2844475</v>
      </c>
      <c r="D30" s="622"/>
      <c r="E30" s="622"/>
      <c r="F30" s="622">
        <v>10184.2844475</v>
      </c>
      <c r="G30" s="803">
        <v>23961.10527</v>
      </c>
      <c r="I30" s="636"/>
      <c r="K30" s="640"/>
      <c r="L30" s="640"/>
    </row>
    <row r="31" spans="1:12" ht="10.5" customHeight="1">
      <c r="A31" s="804" t="s">
        <v>258</v>
      </c>
      <c r="B31" s="367" t="s">
        <v>61</v>
      </c>
      <c r="C31" s="517"/>
      <c r="D31" s="517"/>
      <c r="E31" s="517">
        <v>7238.2349799999993</v>
      </c>
      <c r="F31" s="517">
        <v>7238.2349799999993</v>
      </c>
      <c r="G31" s="805">
        <v>19949.4306</v>
      </c>
      <c r="I31" s="636"/>
      <c r="K31" s="640"/>
      <c r="L31" s="640"/>
    </row>
    <row r="32" spans="1:12" ht="10.5" customHeight="1">
      <c r="A32" s="802" t="s">
        <v>371</v>
      </c>
      <c r="B32" s="621"/>
      <c r="C32" s="622"/>
      <c r="D32" s="622"/>
      <c r="E32" s="622">
        <v>7238.2349799999993</v>
      </c>
      <c r="F32" s="622">
        <v>7238.2349799999993</v>
      </c>
      <c r="G32" s="803">
        <v>19949.4306</v>
      </c>
      <c r="I32" s="636"/>
      <c r="K32" s="640"/>
      <c r="L32" s="640"/>
    </row>
    <row r="33" spans="1:12" ht="10.5" customHeight="1">
      <c r="A33" s="804" t="s">
        <v>504</v>
      </c>
      <c r="B33" s="367" t="s">
        <v>810</v>
      </c>
      <c r="C33" s="517">
        <v>596.77075000000002</v>
      </c>
      <c r="D33" s="517"/>
      <c r="E33" s="517"/>
      <c r="F33" s="517">
        <v>596.77075000000002</v>
      </c>
      <c r="G33" s="805">
        <v>1292.1469999999999</v>
      </c>
      <c r="I33" s="636"/>
      <c r="K33" s="640"/>
      <c r="L33" s="640"/>
    </row>
    <row r="34" spans="1:12" ht="10.5" customHeight="1">
      <c r="A34" s="802" t="s">
        <v>509</v>
      </c>
      <c r="B34" s="621"/>
      <c r="C34" s="622">
        <v>596.77075000000002</v>
      </c>
      <c r="D34" s="622"/>
      <c r="E34" s="622"/>
      <c r="F34" s="622">
        <v>596.77075000000002</v>
      </c>
      <c r="G34" s="803">
        <v>1292.1469999999999</v>
      </c>
      <c r="I34" s="636"/>
      <c r="K34" s="640"/>
      <c r="L34" s="640"/>
    </row>
    <row r="35" spans="1:12" ht="10.5" customHeight="1">
      <c r="A35" s="804" t="s">
        <v>789</v>
      </c>
      <c r="B35" s="367" t="s">
        <v>813</v>
      </c>
      <c r="C35" s="517">
        <v>59273.834564999997</v>
      </c>
      <c r="D35" s="517"/>
      <c r="E35" s="517"/>
      <c r="F35" s="517">
        <v>59273.834564999997</v>
      </c>
      <c r="G35" s="805">
        <v>125872.74907749999</v>
      </c>
      <c r="I35" s="636"/>
      <c r="K35" s="640"/>
      <c r="L35" s="640"/>
    </row>
    <row r="36" spans="1:12" ht="10.5" customHeight="1">
      <c r="A36" s="802" t="s">
        <v>814</v>
      </c>
      <c r="B36" s="621"/>
      <c r="C36" s="622">
        <v>59273.834564999997</v>
      </c>
      <c r="D36" s="622"/>
      <c r="E36" s="622"/>
      <c r="F36" s="622">
        <v>59273.834564999997</v>
      </c>
      <c r="G36" s="803">
        <v>125872.74907749999</v>
      </c>
      <c r="I36" s="636"/>
      <c r="K36" s="640"/>
      <c r="L36" s="640"/>
    </row>
    <row r="37" spans="1:12" ht="10.5" customHeight="1">
      <c r="A37" s="812" t="s">
        <v>121</v>
      </c>
      <c r="B37" s="722" t="s">
        <v>372</v>
      </c>
      <c r="C37" s="723"/>
      <c r="D37" s="723">
        <v>156.50997000000001</v>
      </c>
      <c r="E37" s="723"/>
      <c r="F37" s="723">
        <v>156.50997000000001</v>
      </c>
      <c r="G37" s="813">
        <v>156.50997000000001</v>
      </c>
      <c r="I37" s="636"/>
      <c r="K37" s="640"/>
      <c r="L37" s="640"/>
    </row>
    <row r="38" spans="1:12" ht="10.5" customHeight="1">
      <c r="A38" s="804"/>
      <c r="B38" s="367" t="s">
        <v>373</v>
      </c>
      <c r="C38" s="517"/>
      <c r="D38" s="517">
        <v>73.351384999999993</v>
      </c>
      <c r="E38" s="517"/>
      <c r="F38" s="517">
        <v>73.351384999999993</v>
      </c>
      <c r="G38" s="805">
        <v>325.58672999999999</v>
      </c>
      <c r="I38" s="636"/>
      <c r="K38" s="640"/>
      <c r="L38" s="640"/>
    </row>
    <row r="39" spans="1:12" ht="10.5" customHeight="1">
      <c r="A39" s="802" t="s">
        <v>374</v>
      </c>
      <c r="B39" s="621"/>
      <c r="C39" s="622"/>
      <c r="D39" s="622">
        <v>229.861355</v>
      </c>
      <c r="E39" s="622"/>
      <c r="F39" s="622">
        <v>229.861355</v>
      </c>
      <c r="G39" s="803">
        <v>482.0967</v>
      </c>
      <c r="I39" s="636"/>
      <c r="K39" s="640"/>
      <c r="L39" s="640"/>
    </row>
    <row r="40" spans="1:12" ht="10.5" customHeight="1">
      <c r="A40" s="804" t="s">
        <v>498</v>
      </c>
      <c r="B40" s="367" t="s">
        <v>375</v>
      </c>
      <c r="C40" s="517"/>
      <c r="D40" s="517">
        <v>216124.46389000001</v>
      </c>
      <c r="E40" s="517"/>
      <c r="F40" s="517">
        <v>216124.46389000001</v>
      </c>
      <c r="G40" s="805">
        <v>403395.55232750002</v>
      </c>
      <c r="I40" s="636"/>
      <c r="K40" s="640"/>
      <c r="L40" s="640"/>
    </row>
    <row r="41" spans="1:12" ht="10.5" customHeight="1">
      <c r="A41" s="804"/>
      <c r="B41" s="367" t="s">
        <v>376</v>
      </c>
      <c r="C41" s="517"/>
      <c r="D41" s="517">
        <v>51672.781447499998</v>
      </c>
      <c r="E41" s="517"/>
      <c r="F41" s="517">
        <v>51672.781447499998</v>
      </c>
      <c r="G41" s="805">
        <v>75672.166509999995</v>
      </c>
      <c r="I41" s="636"/>
      <c r="K41" s="640"/>
      <c r="L41" s="640"/>
    </row>
    <row r="42" spans="1:12" ht="10.5" customHeight="1">
      <c r="A42" s="812"/>
      <c r="B42" s="722" t="s">
        <v>811</v>
      </c>
      <c r="C42" s="723">
        <v>315504.76625749998</v>
      </c>
      <c r="D42" s="723"/>
      <c r="E42" s="723"/>
      <c r="F42" s="723">
        <v>315504.76625749998</v>
      </c>
      <c r="G42" s="813">
        <v>581872.59741499997</v>
      </c>
      <c r="I42" s="636"/>
      <c r="K42" s="640"/>
      <c r="L42" s="640"/>
    </row>
    <row r="43" spans="1:12" ht="10.5" customHeight="1">
      <c r="A43" s="804"/>
      <c r="B43" s="367" t="s">
        <v>377</v>
      </c>
      <c r="C43" s="517">
        <v>6683.6236074999997</v>
      </c>
      <c r="D43" s="517"/>
      <c r="E43" s="517"/>
      <c r="F43" s="517">
        <v>6683.6236074999997</v>
      </c>
      <c r="G43" s="805">
        <v>13943.578815000001</v>
      </c>
      <c r="I43" s="636"/>
      <c r="K43" s="640"/>
      <c r="L43" s="640"/>
    </row>
    <row r="44" spans="1:12" ht="10.5" customHeight="1">
      <c r="A44" s="802" t="s">
        <v>378</v>
      </c>
      <c r="B44" s="621"/>
      <c r="C44" s="622">
        <v>322188.38986499998</v>
      </c>
      <c r="D44" s="622">
        <v>267797.2453375</v>
      </c>
      <c r="E44" s="622"/>
      <c r="F44" s="622">
        <v>589985.63520250004</v>
      </c>
      <c r="G44" s="803">
        <v>1074883.8950675</v>
      </c>
      <c r="I44" s="636"/>
      <c r="K44" s="640"/>
      <c r="L44" s="640"/>
    </row>
    <row r="45" spans="1:12" ht="10.5" customHeight="1">
      <c r="A45" s="804" t="s">
        <v>120</v>
      </c>
      <c r="B45" s="367" t="s">
        <v>74</v>
      </c>
      <c r="C45" s="517"/>
      <c r="D45" s="517"/>
      <c r="E45" s="517">
        <v>1309.0485450000001</v>
      </c>
      <c r="F45" s="517">
        <v>1309.0485450000001</v>
      </c>
      <c r="G45" s="805">
        <v>3170.2190449999998</v>
      </c>
      <c r="I45" s="636"/>
      <c r="K45" s="640"/>
      <c r="L45" s="640"/>
    </row>
    <row r="46" spans="1:12" ht="10.5" customHeight="1">
      <c r="A46" s="802" t="s">
        <v>379</v>
      </c>
      <c r="B46" s="621"/>
      <c r="C46" s="622"/>
      <c r="D46" s="622"/>
      <c r="E46" s="622">
        <v>1309.0485450000001</v>
      </c>
      <c r="F46" s="622">
        <v>1309.0485450000001</v>
      </c>
      <c r="G46" s="803">
        <v>3170.2190449999998</v>
      </c>
      <c r="I46" s="636"/>
      <c r="K46" s="640"/>
      <c r="L46" s="640"/>
    </row>
    <row r="47" spans="1:12" ht="10.5" customHeight="1">
      <c r="A47" s="804" t="s">
        <v>113</v>
      </c>
      <c r="B47" s="367" t="s">
        <v>84</v>
      </c>
      <c r="C47" s="517"/>
      <c r="D47" s="517"/>
      <c r="E47" s="517">
        <v>3545.2703150000002</v>
      </c>
      <c r="F47" s="517">
        <v>3545.2703150000002</v>
      </c>
      <c r="G47" s="805">
        <v>6885.3740699999998</v>
      </c>
      <c r="I47" s="636"/>
      <c r="K47" s="640"/>
      <c r="L47" s="640"/>
    </row>
    <row r="48" spans="1:12" ht="10.5" customHeight="1">
      <c r="A48" s="802" t="s">
        <v>380</v>
      </c>
      <c r="B48" s="621"/>
      <c r="C48" s="622"/>
      <c r="D48" s="622"/>
      <c r="E48" s="622">
        <v>3545.2703150000002</v>
      </c>
      <c r="F48" s="622">
        <v>3545.2703150000002</v>
      </c>
      <c r="G48" s="803">
        <v>6885.3740699999998</v>
      </c>
      <c r="H48" s="398"/>
      <c r="I48" s="636"/>
      <c r="K48" s="640"/>
      <c r="L48" s="640"/>
    </row>
    <row r="49" spans="1:12" ht="10.5" customHeight="1">
      <c r="A49" s="804" t="s">
        <v>259</v>
      </c>
      <c r="B49" s="367" t="s">
        <v>73</v>
      </c>
      <c r="C49" s="517"/>
      <c r="D49" s="517"/>
      <c r="E49" s="517">
        <v>3389.352805</v>
      </c>
      <c r="F49" s="517">
        <v>3389.352805</v>
      </c>
      <c r="G49" s="805">
        <v>6631.9962400000004</v>
      </c>
      <c r="I49" s="636"/>
      <c r="K49" s="640"/>
      <c r="L49" s="640"/>
    </row>
    <row r="50" spans="1:12" ht="10.5" customHeight="1">
      <c r="A50" s="804"/>
      <c r="B50" s="367" t="s">
        <v>381</v>
      </c>
      <c r="C50" s="517">
        <v>145313.94007000001</v>
      </c>
      <c r="D50" s="517"/>
      <c r="E50" s="517"/>
      <c r="F50" s="517">
        <v>145313.94007000001</v>
      </c>
      <c r="G50" s="805">
        <v>320839.0076975</v>
      </c>
      <c r="I50" s="636"/>
      <c r="K50" s="640"/>
      <c r="L50" s="640"/>
    </row>
    <row r="51" spans="1:12" ht="10.5" customHeight="1">
      <c r="A51" s="804"/>
      <c r="B51" s="367" t="s">
        <v>382</v>
      </c>
      <c r="C51" s="517">
        <v>58547.856094999996</v>
      </c>
      <c r="D51" s="517"/>
      <c r="E51" s="517"/>
      <c r="F51" s="517">
        <v>58547.856094999996</v>
      </c>
      <c r="G51" s="805">
        <v>108924.86477499999</v>
      </c>
      <c r="I51" s="636"/>
      <c r="K51" s="640"/>
      <c r="L51" s="640"/>
    </row>
    <row r="52" spans="1:12" ht="10.5" customHeight="1">
      <c r="A52" s="804"/>
      <c r="B52" s="367" t="s">
        <v>64</v>
      </c>
      <c r="C52" s="517"/>
      <c r="D52" s="517"/>
      <c r="E52" s="517">
        <v>5583.9290650000003</v>
      </c>
      <c r="F52" s="517">
        <v>5583.9290650000003</v>
      </c>
      <c r="G52" s="805">
        <v>11837.818192499999</v>
      </c>
      <c r="I52" s="636"/>
      <c r="K52" s="640"/>
      <c r="L52" s="640"/>
    </row>
    <row r="53" spans="1:12" ht="10.5" customHeight="1">
      <c r="A53" s="802" t="s">
        <v>383</v>
      </c>
      <c r="B53" s="621"/>
      <c r="C53" s="622">
        <v>203861.79616500001</v>
      </c>
      <c r="D53" s="622"/>
      <c r="E53" s="622">
        <v>8973.2818700000007</v>
      </c>
      <c r="F53" s="622">
        <v>212835.07803500001</v>
      </c>
      <c r="G53" s="803">
        <v>448233.68690499995</v>
      </c>
      <c r="I53" s="636"/>
      <c r="K53" s="640"/>
      <c r="L53" s="640"/>
    </row>
    <row r="54" spans="1:12" ht="10.5" customHeight="1">
      <c r="A54" s="804" t="s">
        <v>260</v>
      </c>
      <c r="B54" s="367" t="s">
        <v>81</v>
      </c>
      <c r="C54" s="517"/>
      <c r="D54" s="517"/>
      <c r="E54" s="517">
        <v>9654.4526624999999</v>
      </c>
      <c r="F54" s="517">
        <v>9654.4526624999999</v>
      </c>
      <c r="G54" s="805">
        <v>19085.744745</v>
      </c>
      <c r="I54" s="636"/>
      <c r="K54" s="640"/>
      <c r="L54" s="640"/>
    </row>
    <row r="55" spans="1:12" ht="10.5" customHeight="1">
      <c r="A55" s="802" t="s">
        <v>384</v>
      </c>
      <c r="B55" s="621"/>
      <c r="C55" s="622"/>
      <c r="D55" s="622"/>
      <c r="E55" s="622">
        <v>9654.4526624999999</v>
      </c>
      <c r="F55" s="622">
        <v>9654.4526624999999</v>
      </c>
      <c r="G55" s="803">
        <v>19085.744745</v>
      </c>
      <c r="I55" s="636"/>
      <c r="K55" s="640"/>
      <c r="L55" s="640"/>
    </row>
    <row r="56" spans="1:12" ht="10.5" customHeight="1">
      <c r="A56" s="804" t="s">
        <v>102</v>
      </c>
      <c r="B56" s="367" t="s">
        <v>78</v>
      </c>
      <c r="C56" s="517"/>
      <c r="D56" s="517"/>
      <c r="E56" s="517">
        <v>30897.745607500001</v>
      </c>
      <c r="F56" s="517">
        <v>30897.745607500001</v>
      </c>
      <c r="G56" s="805">
        <v>60781.01771</v>
      </c>
      <c r="I56" s="636"/>
      <c r="K56" s="640"/>
      <c r="L56" s="640"/>
    </row>
    <row r="57" spans="1:12" ht="10.5" customHeight="1">
      <c r="A57" s="802" t="s">
        <v>385</v>
      </c>
      <c r="B57" s="621"/>
      <c r="C57" s="622"/>
      <c r="D57" s="622"/>
      <c r="E57" s="622">
        <v>30897.745607500001</v>
      </c>
      <c r="F57" s="622">
        <v>30897.745607500001</v>
      </c>
      <c r="G57" s="803">
        <v>60781.01771</v>
      </c>
      <c r="I57" s="636"/>
      <c r="K57" s="640"/>
      <c r="L57" s="640"/>
    </row>
    <row r="58" spans="1:12" ht="10.5" customHeight="1">
      <c r="A58" s="804" t="s">
        <v>110</v>
      </c>
      <c r="B58" s="367" t="s">
        <v>249</v>
      </c>
      <c r="C58" s="517"/>
      <c r="D58" s="517"/>
      <c r="E58" s="517">
        <v>3860.5972499999998</v>
      </c>
      <c r="F58" s="517">
        <v>3860.5972499999998</v>
      </c>
      <c r="G58" s="805">
        <v>7497.5673575000001</v>
      </c>
      <c r="I58" s="636"/>
      <c r="K58" s="640"/>
      <c r="L58" s="640"/>
    </row>
    <row r="59" spans="1:12" ht="10.5" customHeight="1">
      <c r="A59" s="802" t="s">
        <v>386</v>
      </c>
      <c r="B59" s="621"/>
      <c r="C59" s="622"/>
      <c r="D59" s="622"/>
      <c r="E59" s="622">
        <v>3860.5972499999998</v>
      </c>
      <c r="F59" s="622">
        <v>3860.5972499999998</v>
      </c>
      <c r="G59" s="803">
        <v>7497.5673575000001</v>
      </c>
      <c r="I59" s="636"/>
      <c r="K59" s="640"/>
      <c r="L59" s="640"/>
    </row>
    <row r="60" spans="1:12" ht="10.5" customHeight="1">
      <c r="A60" s="804" t="s">
        <v>499</v>
      </c>
      <c r="B60" s="367" t="s">
        <v>88</v>
      </c>
      <c r="C60" s="517"/>
      <c r="D60" s="517"/>
      <c r="E60" s="517">
        <v>1757.81909</v>
      </c>
      <c r="F60" s="517">
        <v>1757.81909</v>
      </c>
      <c r="G60" s="805">
        <v>3728.3782499999998</v>
      </c>
      <c r="I60" s="636"/>
      <c r="K60" s="640"/>
      <c r="L60" s="640"/>
    </row>
    <row r="61" spans="1:12" ht="10.5" customHeight="1">
      <c r="A61" s="804"/>
      <c r="B61" s="367" t="s">
        <v>87</v>
      </c>
      <c r="C61" s="517"/>
      <c r="D61" s="517"/>
      <c r="E61" s="517">
        <v>2671.5899275000002</v>
      </c>
      <c r="F61" s="517">
        <v>2671.5899275000002</v>
      </c>
      <c r="G61" s="805">
        <v>5763.6013925000007</v>
      </c>
      <c r="I61" s="636"/>
      <c r="K61" s="640"/>
      <c r="L61" s="640"/>
    </row>
    <row r="62" spans="1:12" ht="10.5" customHeight="1">
      <c r="A62" s="804"/>
      <c r="B62" s="367" t="s">
        <v>785</v>
      </c>
      <c r="C62" s="517"/>
      <c r="D62" s="517"/>
      <c r="E62" s="517">
        <v>1261.1930950000001</v>
      </c>
      <c r="F62" s="517">
        <v>1261.1930950000001</v>
      </c>
      <c r="G62" s="805">
        <v>1947.8348450000001</v>
      </c>
      <c r="I62" s="636"/>
      <c r="K62" s="640"/>
      <c r="L62" s="640"/>
    </row>
    <row r="63" spans="1:12" ht="10.5" customHeight="1">
      <c r="A63" s="802" t="s">
        <v>387</v>
      </c>
      <c r="B63" s="621"/>
      <c r="C63" s="622"/>
      <c r="D63" s="622"/>
      <c r="E63" s="622">
        <v>5690.6021125000007</v>
      </c>
      <c r="F63" s="622">
        <v>5690.6021125000007</v>
      </c>
      <c r="G63" s="803">
        <v>11439.8144875</v>
      </c>
      <c r="I63" s="636"/>
      <c r="K63" s="640"/>
      <c r="L63" s="640"/>
    </row>
    <row r="64" spans="1:12" ht="10.5" customHeight="1">
      <c r="A64" s="804" t="s">
        <v>261</v>
      </c>
      <c r="B64" s="367" t="s">
        <v>388</v>
      </c>
      <c r="C64" s="517"/>
      <c r="D64" s="517">
        <v>24.378740000000001</v>
      </c>
      <c r="E64" s="517"/>
      <c r="F64" s="517">
        <v>24.378740000000001</v>
      </c>
      <c r="G64" s="805">
        <v>41.256437500000004</v>
      </c>
      <c r="I64" s="636"/>
      <c r="K64" s="640"/>
      <c r="L64" s="640"/>
    </row>
    <row r="65" spans="1:12" ht="10.5" customHeight="1">
      <c r="A65" s="802" t="s">
        <v>389</v>
      </c>
      <c r="B65" s="621"/>
      <c r="C65" s="622"/>
      <c r="D65" s="622">
        <v>24.378740000000001</v>
      </c>
      <c r="E65" s="622"/>
      <c r="F65" s="622">
        <v>24.378740000000001</v>
      </c>
      <c r="G65" s="803">
        <v>41.256437500000004</v>
      </c>
      <c r="I65" s="636"/>
      <c r="K65" s="640"/>
      <c r="L65" s="640"/>
    </row>
    <row r="66" spans="1:12" ht="10.5" customHeight="1">
      <c r="A66" s="804" t="s">
        <v>107</v>
      </c>
      <c r="B66" s="367" t="s">
        <v>63</v>
      </c>
      <c r="C66" s="517"/>
      <c r="D66" s="517"/>
      <c r="E66" s="517">
        <v>12382.494367499999</v>
      </c>
      <c r="F66" s="517">
        <v>12382.494367499999</v>
      </c>
      <c r="G66" s="805">
        <v>20887.9330625</v>
      </c>
      <c r="I66" s="636"/>
      <c r="K66" s="640"/>
      <c r="L66" s="640"/>
    </row>
    <row r="67" spans="1:12" ht="10.5" customHeight="1">
      <c r="A67" s="802" t="s">
        <v>390</v>
      </c>
      <c r="B67" s="621"/>
      <c r="C67" s="622"/>
      <c r="D67" s="622"/>
      <c r="E67" s="622">
        <v>12382.494367499999</v>
      </c>
      <c r="F67" s="622">
        <v>12382.494367499999</v>
      </c>
      <c r="G67" s="803">
        <v>20887.9330625</v>
      </c>
      <c r="I67" s="636"/>
      <c r="K67" s="640"/>
      <c r="L67" s="640"/>
    </row>
    <row r="68" spans="1:12" ht="10.5" customHeight="1">
      <c r="A68" s="804" t="s">
        <v>262</v>
      </c>
      <c r="B68" s="367" t="s">
        <v>391</v>
      </c>
      <c r="C68" s="517"/>
      <c r="D68" s="517">
        <v>0</v>
      </c>
      <c r="E68" s="517"/>
      <c r="F68" s="517">
        <v>0</v>
      </c>
      <c r="G68" s="805">
        <v>0</v>
      </c>
      <c r="I68" s="636"/>
      <c r="K68" s="640"/>
      <c r="L68" s="640"/>
    </row>
    <row r="69" spans="1:12" ht="10.5" customHeight="1">
      <c r="A69" s="807" t="s">
        <v>392</v>
      </c>
      <c r="B69" s="808"/>
      <c r="C69" s="809"/>
      <c r="D69" s="809">
        <v>0</v>
      </c>
      <c r="E69" s="809"/>
      <c r="F69" s="809">
        <v>0</v>
      </c>
      <c r="G69" s="810">
        <v>0</v>
      </c>
      <c r="I69" s="636"/>
      <c r="K69" s="640"/>
      <c r="L69" s="640"/>
    </row>
    <row r="70" spans="1:12" ht="10.5" customHeight="1">
      <c r="I70" s="636"/>
      <c r="K70" s="640"/>
      <c r="L70" s="642"/>
    </row>
    <row r="71" spans="1:12" ht="10.5" customHeight="1">
      <c r="I71" s="636"/>
      <c r="K71" s="640"/>
      <c r="L71" s="642"/>
    </row>
    <row r="72" spans="1:12" ht="10.5" customHeight="1">
      <c r="A72" s="367"/>
      <c r="B72" s="367"/>
      <c r="C72" s="367"/>
      <c r="D72" s="367"/>
      <c r="E72" s="367"/>
      <c r="F72" s="367"/>
      <c r="G72" s="367"/>
    </row>
    <row r="73" spans="1:12" ht="10.5" customHeight="1">
      <c r="A73" s="367"/>
      <c r="B73" s="367"/>
      <c r="C73" s="367"/>
      <c r="D73" s="367"/>
      <c r="E73" s="367"/>
      <c r="F73" s="367"/>
      <c r="G73" s="367"/>
    </row>
    <row r="74" spans="1:12" ht="10.5" customHeight="1">
      <c r="A74" s="367"/>
      <c r="B74" s="367"/>
      <c r="C74" s="367"/>
      <c r="D74" s="367"/>
      <c r="E74" s="367"/>
      <c r="F74" s="367"/>
      <c r="G74" s="367"/>
    </row>
    <row r="75" spans="1:12" ht="10.5" customHeight="1">
      <c r="A75" s="367"/>
      <c r="B75" s="367"/>
      <c r="C75" s="367"/>
      <c r="D75" s="367"/>
      <c r="E75" s="367"/>
      <c r="F75" s="367"/>
      <c r="G75" s="367"/>
    </row>
    <row r="76" spans="1:12" ht="10.5" customHeight="1">
      <c r="A76" s="367"/>
      <c r="B76" s="367"/>
      <c r="C76" s="367"/>
      <c r="D76" s="367"/>
      <c r="E76" s="367"/>
      <c r="F76" s="367"/>
      <c r="G76" s="367"/>
    </row>
    <row r="77" spans="1:12" ht="10.5" customHeight="1">
      <c r="A77" s="367"/>
      <c r="B77" s="367"/>
      <c r="C77" s="367"/>
      <c r="D77" s="367"/>
      <c r="E77" s="367"/>
      <c r="F77" s="367"/>
      <c r="G77" s="367"/>
    </row>
    <row r="78" spans="1:12" ht="10.5" customHeight="1">
      <c r="A78" s="367"/>
      <c r="B78" s="367"/>
      <c r="C78" s="367"/>
      <c r="D78" s="367"/>
      <c r="E78" s="367"/>
      <c r="F78" s="367"/>
      <c r="G78" s="367"/>
    </row>
    <row r="79" spans="1:12" ht="10.5" customHeight="1">
      <c r="A79" s="367"/>
      <c r="B79" s="367"/>
      <c r="C79" s="367"/>
      <c r="D79" s="367"/>
      <c r="E79" s="367"/>
      <c r="F79" s="367"/>
      <c r="G79" s="367"/>
    </row>
    <row r="80" spans="1:12" ht="10.5" customHeight="1">
      <c r="A80" s="367"/>
      <c r="B80" s="367"/>
      <c r="C80" s="367"/>
      <c r="D80" s="367"/>
      <c r="E80" s="367"/>
      <c r="F80" s="367"/>
      <c r="G80" s="367"/>
    </row>
    <row r="81" spans="1:7" ht="10.5" customHeight="1">
      <c r="A81" s="367"/>
      <c r="B81" s="367"/>
      <c r="C81" s="367"/>
      <c r="D81" s="367"/>
      <c r="E81" s="367"/>
      <c r="F81" s="367"/>
      <c r="G81" s="367"/>
    </row>
    <row r="82" spans="1:7" ht="10.5" customHeight="1">
      <c r="A82" s="367"/>
      <c r="B82" s="367"/>
      <c r="C82" s="367"/>
      <c r="D82" s="367"/>
      <c r="E82" s="367"/>
      <c r="F82" s="367"/>
      <c r="G82" s="367"/>
    </row>
    <row r="83" spans="1:7" ht="10.5" customHeight="1">
      <c r="A83" s="367"/>
      <c r="B83" s="367"/>
      <c r="C83" s="367"/>
      <c r="D83" s="367"/>
      <c r="E83" s="367"/>
      <c r="F83" s="367"/>
      <c r="G83" s="367"/>
    </row>
    <row r="84" spans="1:7" ht="10.5" customHeight="1">
      <c r="A84" s="367"/>
      <c r="B84" s="367"/>
      <c r="C84" s="367"/>
      <c r="D84" s="367"/>
      <c r="E84" s="367"/>
      <c r="F84" s="367"/>
      <c r="G84" s="367"/>
    </row>
    <row r="85" spans="1:7" ht="10.5" customHeight="1">
      <c r="A85" s="367"/>
      <c r="B85" s="367"/>
      <c r="C85" s="367"/>
      <c r="D85" s="367"/>
      <c r="E85" s="367"/>
      <c r="F85" s="367"/>
      <c r="G85" s="367"/>
    </row>
    <row r="86" spans="1:7" ht="10.5" customHeight="1">
      <c r="A86" s="367"/>
      <c r="B86" s="367"/>
      <c r="C86" s="367"/>
      <c r="D86" s="367"/>
      <c r="E86" s="367"/>
      <c r="F86" s="367"/>
      <c r="G86" s="367"/>
    </row>
    <row r="87" spans="1:7" ht="10.5" customHeight="1">
      <c r="A87" s="367"/>
      <c r="B87" s="367"/>
      <c r="C87" s="367"/>
      <c r="D87" s="367"/>
      <c r="E87" s="367"/>
      <c r="F87" s="367"/>
      <c r="G87" s="367"/>
    </row>
    <row r="88" spans="1:7" ht="10.5" customHeight="1">
      <c r="A88" s="367"/>
      <c r="B88" s="367"/>
      <c r="C88" s="367"/>
      <c r="D88" s="367"/>
      <c r="E88" s="367"/>
      <c r="F88" s="367"/>
      <c r="G88" s="367"/>
    </row>
    <row r="89" spans="1:7" ht="10.5" customHeight="1">
      <c r="A89" s="367"/>
      <c r="B89" s="367"/>
      <c r="C89" s="367"/>
      <c r="D89" s="367"/>
      <c r="E89" s="367"/>
      <c r="F89" s="367"/>
      <c r="G89" s="367"/>
    </row>
    <row r="90" spans="1:7" ht="10.5" customHeight="1">
      <c r="A90" s="367"/>
      <c r="B90" s="367"/>
      <c r="C90" s="367"/>
      <c r="D90" s="367"/>
      <c r="E90" s="367"/>
      <c r="F90" s="367"/>
      <c r="G90" s="367"/>
    </row>
    <row r="91" spans="1:7" ht="10.5" customHeight="1">
      <c r="A91" s="367"/>
      <c r="B91" s="367"/>
      <c r="C91" s="367"/>
      <c r="D91" s="367"/>
      <c r="E91" s="367"/>
      <c r="F91" s="367"/>
      <c r="G91" s="367"/>
    </row>
    <row r="92" spans="1:7" ht="10.5" customHeight="1">
      <c r="A92" s="367"/>
      <c r="B92" s="367"/>
      <c r="C92" s="367"/>
      <c r="D92" s="367"/>
      <c r="E92" s="367"/>
      <c r="F92" s="367"/>
      <c r="G92" s="367"/>
    </row>
    <row r="93" spans="1:7" ht="10.5" customHeight="1">
      <c r="A93" s="367"/>
      <c r="B93" s="367"/>
      <c r="C93" s="367"/>
      <c r="D93" s="367"/>
      <c r="E93" s="367"/>
      <c r="F93" s="367"/>
      <c r="G93" s="367"/>
    </row>
    <row r="94" spans="1:7" ht="10.5" customHeight="1">
      <c r="A94" s="367"/>
      <c r="B94" s="367"/>
      <c r="C94" s="367"/>
      <c r="D94" s="367"/>
      <c r="E94" s="367"/>
      <c r="F94" s="367"/>
      <c r="G94" s="367"/>
    </row>
    <row r="95" spans="1:7" ht="10.5" customHeight="1">
      <c r="A95" s="367"/>
      <c r="B95" s="367"/>
      <c r="C95" s="367"/>
      <c r="D95" s="367"/>
      <c r="E95" s="367"/>
      <c r="F95" s="367"/>
      <c r="G95" s="367"/>
    </row>
    <row r="96" spans="1:7" ht="10.5" customHeight="1">
      <c r="A96" s="367"/>
      <c r="B96" s="367"/>
      <c r="C96" s="367"/>
      <c r="D96" s="367"/>
      <c r="E96" s="367"/>
      <c r="F96" s="367"/>
      <c r="G96" s="367"/>
    </row>
    <row r="97" spans="1:7" ht="10.5" customHeight="1">
      <c r="A97" s="367"/>
      <c r="B97" s="367"/>
      <c r="C97" s="367"/>
      <c r="D97" s="367"/>
      <c r="E97" s="367"/>
      <c r="F97" s="367"/>
      <c r="G97" s="367"/>
    </row>
    <row r="98" spans="1:7" ht="10.5" customHeight="1">
      <c r="A98" s="367"/>
      <c r="B98" s="367"/>
      <c r="C98" s="367"/>
      <c r="D98" s="367"/>
      <c r="E98" s="367"/>
      <c r="F98" s="367"/>
      <c r="G98" s="367"/>
    </row>
    <row r="99" spans="1:7" ht="10.5" customHeight="1">
      <c r="A99" s="367"/>
      <c r="B99" s="367"/>
      <c r="C99" s="367"/>
      <c r="D99" s="367"/>
      <c r="E99" s="367"/>
      <c r="F99" s="367"/>
      <c r="G99" s="367"/>
    </row>
    <row r="100" spans="1:7" ht="10.5" customHeight="1">
      <c r="A100" s="367"/>
      <c r="B100" s="367"/>
      <c r="C100" s="367"/>
      <c r="D100" s="367"/>
      <c r="E100" s="367"/>
      <c r="F100" s="367"/>
      <c r="G100" s="367"/>
    </row>
    <row r="101" spans="1:7" ht="10.5" customHeight="1">
      <c r="A101" s="367"/>
      <c r="B101" s="367"/>
      <c r="C101" s="367"/>
      <c r="D101" s="367"/>
      <c r="E101" s="367"/>
      <c r="F101" s="367"/>
      <c r="G101" s="367"/>
    </row>
    <row r="102" spans="1:7" ht="10.5" customHeight="1">
      <c r="A102" s="367"/>
      <c r="B102" s="367"/>
      <c r="C102" s="367"/>
      <c r="D102" s="367"/>
      <c r="E102" s="367"/>
      <c r="F102" s="367"/>
      <c r="G102" s="367"/>
    </row>
    <row r="103" spans="1:7" ht="10.5" customHeight="1">
      <c r="A103" s="367"/>
      <c r="B103" s="367"/>
      <c r="C103" s="367"/>
      <c r="D103" s="367"/>
      <c r="E103" s="367"/>
      <c r="F103" s="367"/>
      <c r="G103" s="367"/>
    </row>
    <row r="104" spans="1:7" ht="10.5" customHeight="1">
      <c r="A104" s="367"/>
      <c r="B104" s="367"/>
      <c r="C104" s="367"/>
      <c r="D104" s="367"/>
      <c r="E104" s="367"/>
      <c r="F104" s="367"/>
      <c r="G104" s="367"/>
    </row>
    <row r="105" spans="1:7" ht="10.5" customHeight="1">
      <c r="A105" s="367"/>
      <c r="B105" s="367"/>
      <c r="C105" s="367"/>
      <c r="D105" s="367"/>
      <c r="E105" s="367"/>
      <c r="F105" s="367"/>
      <c r="G105" s="367"/>
    </row>
    <row r="106" spans="1:7" ht="10.5" customHeight="1">
      <c r="A106" s="367"/>
      <c r="B106" s="367"/>
      <c r="C106" s="367"/>
      <c r="D106" s="367"/>
      <c r="E106" s="367"/>
      <c r="F106" s="367"/>
      <c r="G106" s="367"/>
    </row>
    <row r="107" spans="1:7" ht="10.5" customHeight="1">
      <c r="A107" s="367"/>
      <c r="B107" s="367"/>
      <c r="C107" s="367"/>
      <c r="D107" s="367"/>
      <c r="E107" s="367"/>
      <c r="F107" s="367"/>
      <c r="G107" s="367"/>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M61"/>
  <sheetViews>
    <sheetView showGridLines="0" view="pageBreakPreview" zoomScale="130" zoomScaleNormal="100" zoomScaleSheetLayoutView="130" zoomScalePageLayoutView="160" workbookViewId="0">
      <selection activeCell="A3" sqref="A3"/>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60" t="s">
        <v>269</v>
      </c>
      <c r="B1" s="963" t="s">
        <v>56</v>
      </c>
      <c r="C1" s="966" t="str">
        <f>+'19. ANEXOI-2'!C1:F1</f>
        <v>ENERGÍA PRODUCIDA FEBRERO 2019</v>
      </c>
      <c r="D1" s="966"/>
      <c r="E1" s="966"/>
      <c r="F1" s="966"/>
      <c r="G1" s="797" t="s">
        <v>296</v>
      </c>
      <c r="H1" s="205"/>
      <c r="I1" s="205"/>
      <c r="J1" s="205"/>
      <c r="K1" s="205"/>
    </row>
    <row r="2" spans="1:12" ht="11.25" customHeight="1">
      <c r="A2" s="961"/>
      <c r="B2" s="964"/>
      <c r="C2" s="967" t="s">
        <v>297</v>
      </c>
      <c r="D2" s="967"/>
      <c r="E2" s="967"/>
      <c r="F2" s="968" t="str">
        <f>"TOTAL 
"&amp;UPPER('1. Resumen'!Q4)</f>
        <v>TOTAL 
FEBRERO</v>
      </c>
      <c r="G2" s="798" t="s">
        <v>298</v>
      </c>
      <c r="H2" s="196"/>
      <c r="I2" s="196"/>
      <c r="J2" s="196"/>
      <c r="K2" s="196"/>
      <c r="L2" s="36"/>
    </row>
    <row r="3" spans="1:12" ht="11.25" customHeight="1">
      <c r="A3" s="961"/>
      <c r="B3" s="964"/>
      <c r="C3" s="597" t="s">
        <v>227</v>
      </c>
      <c r="D3" s="597" t="s">
        <v>228</v>
      </c>
      <c r="E3" s="597" t="s">
        <v>299</v>
      </c>
      <c r="F3" s="969"/>
      <c r="G3" s="798">
        <v>2019</v>
      </c>
      <c r="H3" s="198"/>
      <c r="I3" s="197"/>
      <c r="J3" s="197"/>
      <c r="K3" s="197"/>
      <c r="L3" s="36"/>
    </row>
    <row r="4" spans="1:12" ht="11.25" customHeight="1">
      <c r="A4" s="970"/>
      <c r="B4" s="971"/>
      <c r="C4" s="598" t="s">
        <v>300</v>
      </c>
      <c r="D4" s="598" t="s">
        <v>300</v>
      </c>
      <c r="E4" s="598" t="s">
        <v>300</v>
      </c>
      <c r="F4" s="598" t="s">
        <v>300</v>
      </c>
      <c r="G4" s="799" t="s">
        <v>214</v>
      </c>
      <c r="H4" s="198"/>
      <c r="I4" s="198"/>
      <c r="J4" s="198"/>
      <c r="K4" s="198"/>
      <c r="L4" s="8"/>
    </row>
    <row r="5" spans="1:12" s="367" customFormat="1" ht="9" customHeight="1">
      <c r="A5" s="804" t="s">
        <v>98</v>
      </c>
      <c r="B5" s="367" t="s">
        <v>393</v>
      </c>
      <c r="C5" s="517">
        <v>74293.545677499991</v>
      </c>
      <c r="D5" s="517"/>
      <c r="E5" s="517"/>
      <c r="F5" s="517">
        <v>74293.545677499991</v>
      </c>
      <c r="G5" s="805">
        <v>156181.7120725</v>
      </c>
      <c r="I5" s="491"/>
      <c r="J5" s="491"/>
      <c r="K5" s="640"/>
      <c r="L5" s="640"/>
    </row>
    <row r="6" spans="1:12" s="367" customFormat="1" ht="9" customHeight="1">
      <c r="A6" s="802" t="s">
        <v>394</v>
      </c>
      <c r="B6" s="621"/>
      <c r="C6" s="622">
        <v>74293.545677499991</v>
      </c>
      <c r="D6" s="622"/>
      <c r="E6" s="622"/>
      <c r="F6" s="622">
        <v>74293.545677499991</v>
      </c>
      <c r="G6" s="803">
        <v>156181.7120725</v>
      </c>
      <c r="I6" s="491"/>
      <c r="J6" s="491"/>
      <c r="K6" s="640"/>
      <c r="L6" s="640"/>
    </row>
    <row r="7" spans="1:12" s="367" customFormat="1" ht="9" customHeight="1">
      <c r="A7" s="804" t="s">
        <v>790</v>
      </c>
      <c r="B7" s="367" t="s">
        <v>815</v>
      </c>
      <c r="C7" s="517"/>
      <c r="D7" s="517"/>
      <c r="E7" s="517">
        <v>1478.3145</v>
      </c>
      <c r="F7" s="517">
        <v>1478.3145</v>
      </c>
      <c r="G7" s="805">
        <v>1478.3145</v>
      </c>
      <c r="I7" s="491"/>
      <c r="J7" s="491"/>
      <c r="K7" s="640"/>
      <c r="L7" s="640"/>
    </row>
    <row r="8" spans="1:12" s="367" customFormat="1" ht="9" customHeight="1">
      <c r="A8" s="802" t="s">
        <v>816</v>
      </c>
      <c r="B8" s="621"/>
      <c r="C8" s="622"/>
      <c r="D8" s="622"/>
      <c r="E8" s="622">
        <v>1478.3145</v>
      </c>
      <c r="F8" s="622">
        <v>1478.3145</v>
      </c>
      <c r="G8" s="803">
        <v>1478.3145</v>
      </c>
      <c r="I8" s="491"/>
      <c r="J8" s="491"/>
      <c r="K8" s="640"/>
      <c r="L8" s="640"/>
    </row>
    <row r="9" spans="1:12" s="367" customFormat="1" ht="9" customHeight="1">
      <c r="A9" s="804" t="s">
        <v>479</v>
      </c>
      <c r="B9" s="367" t="s">
        <v>488</v>
      </c>
      <c r="C9" s="517"/>
      <c r="D9" s="517"/>
      <c r="E9" s="517">
        <v>13236.49279</v>
      </c>
      <c r="F9" s="517">
        <v>13236.49279</v>
      </c>
      <c r="G9" s="805">
        <v>25124.135125000001</v>
      </c>
      <c r="I9" s="491"/>
      <c r="J9" s="491"/>
      <c r="K9" s="640"/>
      <c r="L9" s="640"/>
    </row>
    <row r="10" spans="1:12" s="367" customFormat="1" ht="9" customHeight="1">
      <c r="A10" s="804" t="s">
        <v>481</v>
      </c>
      <c r="C10" s="517"/>
      <c r="D10" s="517"/>
      <c r="E10" s="517">
        <v>13236.49279</v>
      </c>
      <c r="F10" s="517">
        <v>13236.49279</v>
      </c>
      <c r="G10" s="805">
        <v>25124.135125000001</v>
      </c>
      <c r="I10" s="491"/>
      <c r="J10" s="491"/>
      <c r="K10" s="640"/>
      <c r="L10" s="640"/>
    </row>
    <row r="11" spans="1:12" s="367" customFormat="1" ht="9" customHeight="1">
      <c r="A11" s="804" t="s">
        <v>263</v>
      </c>
      <c r="B11" s="367" t="s">
        <v>67</v>
      </c>
      <c r="C11" s="517"/>
      <c r="D11" s="517"/>
      <c r="E11" s="517">
        <v>6379.0985000000001</v>
      </c>
      <c r="F11" s="517">
        <v>6379.0985000000001</v>
      </c>
      <c r="G11" s="805">
        <v>12453.857202499999</v>
      </c>
      <c r="I11" s="491"/>
      <c r="J11" s="491"/>
      <c r="K11" s="640"/>
      <c r="L11" s="640"/>
    </row>
    <row r="12" spans="1:12" s="367" customFormat="1" ht="9" customHeight="1">
      <c r="A12" s="804"/>
      <c r="B12" s="367" t="s">
        <v>66</v>
      </c>
      <c r="C12" s="517"/>
      <c r="D12" s="517"/>
      <c r="E12" s="517">
        <v>6643.9274050000004</v>
      </c>
      <c r="F12" s="517">
        <v>6643.9274050000004</v>
      </c>
      <c r="G12" s="805">
        <v>13044.602535</v>
      </c>
      <c r="I12" s="491"/>
      <c r="J12" s="491"/>
      <c r="K12" s="640"/>
      <c r="L12" s="640"/>
    </row>
    <row r="13" spans="1:12" s="367" customFormat="1" ht="9" customHeight="1">
      <c r="A13" s="804"/>
      <c r="B13" s="367" t="s">
        <v>70</v>
      </c>
      <c r="C13" s="517"/>
      <c r="D13" s="517"/>
      <c r="E13" s="517">
        <v>4126.7834350000003</v>
      </c>
      <c r="F13" s="517">
        <v>4126.7834350000003</v>
      </c>
      <c r="G13" s="805">
        <v>8367.375935</v>
      </c>
      <c r="I13" s="491"/>
      <c r="J13" s="491"/>
      <c r="K13" s="640"/>
      <c r="L13" s="640"/>
    </row>
    <row r="14" spans="1:12" s="367" customFormat="1" ht="9" customHeight="1">
      <c r="A14" s="804"/>
      <c r="B14" s="367" t="s">
        <v>69</v>
      </c>
      <c r="C14" s="517"/>
      <c r="D14" s="517"/>
      <c r="E14" s="517">
        <v>4200.0317825000002</v>
      </c>
      <c r="F14" s="517">
        <v>4200.0317825000002</v>
      </c>
      <c r="G14" s="805">
        <v>8777.1826650000003</v>
      </c>
      <c r="I14" s="491"/>
      <c r="J14" s="491"/>
      <c r="K14" s="640"/>
      <c r="L14" s="640"/>
    </row>
    <row r="15" spans="1:12" s="367" customFormat="1" ht="9" customHeight="1">
      <c r="A15" s="802" t="s">
        <v>395</v>
      </c>
      <c r="B15" s="621"/>
      <c r="C15" s="622"/>
      <c r="D15" s="622"/>
      <c r="E15" s="622">
        <v>21349.841122500002</v>
      </c>
      <c r="F15" s="622">
        <v>21349.841122500002</v>
      </c>
      <c r="G15" s="803">
        <v>42643.018337500005</v>
      </c>
      <c r="I15" s="491"/>
      <c r="J15" s="491"/>
      <c r="K15" s="640"/>
      <c r="L15" s="640"/>
    </row>
    <row r="16" spans="1:12" s="367" customFormat="1" ht="9" customHeight="1">
      <c r="A16" s="804" t="s">
        <v>105</v>
      </c>
      <c r="B16" s="367" t="s">
        <v>396</v>
      </c>
      <c r="C16" s="517"/>
      <c r="D16" s="517">
        <v>17928.1623975</v>
      </c>
      <c r="E16" s="517"/>
      <c r="F16" s="517">
        <v>17928.1623975</v>
      </c>
      <c r="G16" s="805">
        <v>38103.526477499996</v>
      </c>
      <c r="I16" s="491"/>
      <c r="J16" s="491"/>
      <c r="K16" s="640"/>
      <c r="L16" s="640"/>
    </row>
    <row r="17" spans="1:12" s="367" customFormat="1" ht="9" customHeight="1">
      <c r="A17" s="802" t="s">
        <v>397</v>
      </c>
      <c r="B17" s="621"/>
      <c r="C17" s="622"/>
      <c r="D17" s="622">
        <v>17928.1623975</v>
      </c>
      <c r="E17" s="622"/>
      <c r="F17" s="622">
        <v>17928.1623975</v>
      </c>
      <c r="G17" s="803">
        <v>38103.526477499996</v>
      </c>
      <c r="I17" s="491"/>
      <c r="J17" s="491"/>
      <c r="K17" s="640"/>
      <c r="L17" s="640"/>
    </row>
    <row r="18" spans="1:12" s="367" customFormat="1" ht="9" customHeight="1">
      <c r="A18" s="804" t="s">
        <v>123</v>
      </c>
      <c r="B18" s="367" t="s">
        <v>398</v>
      </c>
      <c r="C18" s="517"/>
      <c r="D18" s="517">
        <v>12955.507805000001</v>
      </c>
      <c r="E18" s="517"/>
      <c r="F18" s="517">
        <v>12955.507805000001</v>
      </c>
      <c r="G18" s="805">
        <v>18789.908932500002</v>
      </c>
      <c r="I18" s="491"/>
      <c r="J18" s="491"/>
      <c r="K18" s="640"/>
      <c r="L18" s="640"/>
    </row>
    <row r="19" spans="1:12" s="367" customFormat="1" ht="9" customHeight="1">
      <c r="A19" s="802" t="s">
        <v>399</v>
      </c>
      <c r="B19" s="621"/>
      <c r="C19" s="622"/>
      <c r="D19" s="622">
        <v>12955.507805000001</v>
      </c>
      <c r="E19" s="622"/>
      <c r="F19" s="622">
        <v>12955.507805000001</v>
      </c>
      <c r="G19" s="803">
        <v>18789.908932500002</v>
      </c>
      <c r="I19" s="491"/>
      <c r="J19" s="491"/>
      <c r="K19" s="640"/>
      <c r="L19" s="640"/>
    </row>
    <row r="20" spans="1:12" s="367" customFormat="1" ht="9" customHeight="1">
      <c r="A20" s="804" t="s">
        <v>116</v>
      </c>
      <c r="B20" s="367" t="s">
        <v>71</v>
      </c>
      <c r="C20" s="517"/>
      <c r="D20" s="517"/>
      <c r="E20" s="517">
        <v>3687.1336274999999</v>
      </c>
      <c r="F20" s="517">
        <v>3687.1336274999999</v>
      </c>
      <c r="G20" s="805">
        <v>6234.8599174999999</v>
      </c>
      <c r="I20" s="491"/>
      <c r="J20" s="491"/>
      <c r="K20" s="640"/>
      <c r="L20" s="640"/>
    </row>
    <row r="21" spans="1:12" s="367" customFormat="1" ht="9" customHeight="1">
      <c r="A21" s="804" t="s">
        <v>400</v>
      </c>
      <c r="C21" s="517"/>
      <c r="D21" s="517"/>
      <c r="E21" s="517">
        <v>3687.1336274999999</v>
      </c>
      <c r="F21" s="517">
        <v>3687.1336274999999</v>
      </c>
      <c r="G21" s="805">
        <v>6234.8599174999999</v>
      </c>
      <c r="I21" s="491"/>
      <c r="J21" s="491"/>
      <c r="K21" s="640"/>
      <c r="L21" s="640"/>
    </row>
    <row r="22" spans="1:12" s="367" customFormat="1" ht="9" customHeight="1">
      <c r="A22" s="804" t="s">
        <v>93</v>
      </c>
      <c r="B22" s="367" t="s">
        <v>401</v>
      </c>
      <c r="C22" s="517">
        <v>19250.298987499998</v>
      </c>
      <c r="D22" s="517"/>
      <c r="E22" s="517"/>
      <c r="F22" s="517">
        <v>19250.298987499998</v>
      </c>
      <c r="G22" s="805">
        <v>50228.427862500001</v>
      </c>
      <c r="I22" s="491"/>
      <c r="J22" s="491"/>
      <c r="K22" s="640"/>
      <c r="L22" s="640"/>
    </row>
    <row r="23" spans="1:12" s="367" customFormat="1" ht="9" customHeight="1">
      <c r="A23" s="804"/>
      <c r="B23" s="367" t="s">
        <v>402</v>
      </c>
      <c r="C23" s="517">
        <v>89640.204830000002</v>
      </c>
      <c r="D23" s="517"/>
      <c r="E23" s="517"/>
      <c r="F23" s="517">
        <v>89640.204830000002</v>
      </c>
      <c r="G23" s="805">
        <v>180242.78506749999</v>
      </c>
      <c r="I23" s="491"/>
      <c r="J23" s="491"/>
      <c r="K23" s="640"/>
      <c r="L23" s="640"/>
    </row>
    <row r="24" spans="1:12" s="367" customFormat="1" ht="9" customHeight="1">
      <c r="A24" s="804"/>
      <c r="B24" s="367" t="s">
        <v>403</v>
      </c>
      <c r="C24" s="517">
        <v>11806.495224999999</v>
      </c>
      <c r="D24" s="517"/>
      <c r="E24" s="517"/>
      <c r="F24" s="517">
        <v>11806.495224999999</v>
      </c>
      <c r="G24" s="805">
        <v>26062.6850275</v>
      </c>
      <c r="I24" s="491"/>
      <c r="J24" s="491"/>
      <c r="K24" s="640"/>
      <c r="L24" s="640"/>
    </row>
    <row r="25" spans="1:12" s="367" customFormat="1" ht="9" customHeight="1">
      <c r="A25" s="804"/>
      <c r="B25" s="367" t="s">
        <v>404</v>
      </c>
      <c r="C25" s="517">
        <v>37.905000000000001</v>
      </c>
      <c r="D25" s="517"/>
      <c r="E25" s="517"/>
      <c r="F25" s="517">
        <v>37.905000000000001</v>
      </c>
      <c r="G25" s="805">
        <v>54.504577499999996</v>
      </c>
      <c r="I25" s="491"/>
      <c r="J25" s="491"/>
      <c r="K25" s="640"/>
      <c r="L25" s="640"/>
    </row>
    <row r="26" spans="1:12" s="367" customFormat="1" ht="9" customHeight="1">
      <c r="A26" s="804"/>
      <c r="B26" s="367" t="s">
        <v>405</v>
      </c>
      <c r="C26" s="517">
        <v>28047.015477500001</v>
      </c>
      <c r="D26" s="517"/>
      <c r="E26" s="517"/>
      <c r="F26" s="517">
        <v>28047.015477500001</v>
      </c>
      <c r="G26" s="805">
        <v>44186.0302725</v>
      </c>
      <c r="I26" s="491"/>
      <c r="J26" s="491"/>
      <c r="K26" s="640"/>
      <c r="L26" s="640"/>
    </row>
    <row r="27" spans="1:12" s="367" customFormat="1" ht="9" customHeight="1">
      <c r="A27" s="804"/>
      <c r="B27" s="367" t="s">
        <v>406</v>
      </c>
      <c r="C27" s="517">
        <v>1358.4547325000001</v>
      </c>
      <c r="D27" s="517"/>
      <c r="E27" s="517"/>
      <c r="F27" s="517">
        <v>1358.4547325000001</v>
      </c>
      <c r="G27" s="805">
        <v>3159.0073325000003</v>
      </c>
      <c r="I27" s="491"/>
      <c r="J27" s="491"/>
      <c r="K27" s="640"/>
      <c r="L27" s="640"/>
    </row>
    <row r="28" spans="1:12" s="367" customFormat="1" ht="9" customHeight="1">
      <c r="A28" s="804"/>
      <c r="B28" s="367" t="s">
        <v>407</v>
      </c>
      <c r="C28" s="517">
        <v>1471.35411</v>
      </c>
      <c r="D28" s="517"/>
      <c r="E28" s="517"/>
      <c r="F28" s="517">
        <v>1471.35411</v>
      </c>
      <c r="G28" s="805">
        <v>5734.0169100000003</v>
      </c>
      <c r="I28" s="491"/>
      <c r="J28" s="491"/>
      <c r="K28" s="640"/>
      <c r="L28" s="640"/>
    </row>
    <row r="29" spans="1:12" s="367" customFormat="1" ht="9" customHeight="1">
      <c r="A29" s="804"/>
      <c r="B29" s="367" t="s">
        <v>408</v>
      </c>
      <c r="C29" s="517">
        <v>3274.5290299999997</v>
      </c>
      <c r="D29" s="517"/>
      <c r="E29" s="517"/>
      <c r="F29" s="517">
        <v>3274.5290299999997</v>
      </c>
      <c r="G29" s="805">
        <v>3628.7984399999996</v>
      </c>
      <c r="I29" s="491"/>
      <c r="J29" s="491"/>
      <c r="K29" s="640"/>
      <c r="L29" s="640"/>
    </row>
    <row r="30" spans="1:12" s="367" customFormat="1" ht="9" customHeight="1">
      <c r="A30" s="804"/>
      <c r="B30" s="367" t="s">
        <v>409</v>
      </c>
      <c r="C30" s="517">
        <v>1228.4362675</v>
      </c>
      <c r="D30" s="517"/>
      <c r="E30" s="517"/>
      <c r="F30" s="517">
        <v>1228.4362675</v>
      </c>
      <c r="G30" s="805">
        <v>2386.9191824999998</v>
      </c>
      <c r="I30" s="491"/>
      <c r="J30" s="491"/>
      <c r="K30" s="640"/>
      <c r="L30" s="640"/>
    </row>
    <row r="31" spans="1:12" s="367" customFormat="1" ht="9" customHeight="1">
      <c r="A31" s="804"/>
      <c r="B31" s="367" t="s">
        <v>410</v>
      </c>
      <c r="C31" s="517">
        <v>318.75166999999999</v>
      </c>
      <c r="D31" s="517"/>
      <c r="E31" s="517"/>
      <c r="F31" s="517">
        <v>318.75166999999999</v>
      </c>
      <c r="G31" s="805">
        <v>425.71682249999998</v>
      </c>
      <c r="I31" s="491"/>
      <c r="J31" s="491"/>
      <c r="K31" s="640"/>
      <c r="L31" s="640"/>
    </row>
    <row r="32" spans="1:12" s="367" customFormat="1" ht="9" customHeight="1">
      <c r="A32" s="804"/>
      <c r="B32" s="367" t="s">
        <v>411</v>
      </c>
      <c r="C32" s="517">
        <v>234.25802999999999</v>
      </c>
      <c r="D32" s="517"/>
      <c r="E32" s="517"/>
      <c r="F32" s="517">
        <v>234.25802999999999</v>
      </c>
      <c r="G32" s="805">
        <v>315.48115749999999</v>
      </c>
      <c r="I32" s="491"/>
      <c r="J32" s="491"/>
      <c r="K32" s="640"/>
      <c r="L32" s="640"/>
    </row>
    <row r="33" spans="1:13" s="367" customFormat="1" ht="9" customHeight="1">
      <c r="A33" s="804"/>
      <c r="B33" s="367" t="s">
        <v>412</v>
      </c>
      <c r="C33" s="517">
        <v>67182.644627499991</v>
      </c>
      <c r="D33" s="517"/>
      <c r="E33" s="517"/>
      <c r="F33" s="517">
        <v>67182.644627499991</v>
      </c>
      <c r="G33" s="805">
        <v>143926.84259249998</v>
      </c>
      <c r="I33" s="491"/>
      <c r="J33" s="491"/>
      <c r="K33" s="640"/>
      <c r="L33" s="640"/>
    </row>
    <row r="34" spans="1:13" s="367" customFormat="1" ht="9" customHeight="1">
      <c r="A34" s="802" t="s">
        <v>413</v>
      </c>
      <c r="B34" s="621"/>
      <c r="C34" s="622">
        <v>223850.34798749996</v>
      </c>
      <c r="D34" s="622"/>
      <c r="E34" s="622"/>
      <c r="F34" s="622">
        <v>223850.34798749996</v>
      </c>
      <c r="G34" s="803">
        <v>460351.21524499991</v>
      </c>
      <c r="I34" s="491"/>
      <c r="J34" s="491"/>
      <c r="K34" s="640"/>
      <c r="L34" s="640"/>
    </row>
    <row r="35" spans="1:13" s="367" customFormat="1" ht="9" customHeight="1">
      <c r="A35" s="804" t="s">
        <v>112</v>
      </c>
      <c r="B35" s="367" t="s">
        <v>248</v>
      </c>
      <c r="C35" s="517"/>
      <c r="D35" s="517"/>
      <c r="E35" s="517">
        <v>4087.5478250000001</v>
      </c>
      <c r="F35" s="517">
        <v>4087.5478250000001</v>
      </c>
      <c r="G35" s="805">
        <v>8244.9197650000006</v>
      </c>
      <c r="K35" s="640"/>
      <c r="L35" s="640"/>
    </row>
    <row r="36" spans="1:13" s="367" customFormat="1" ht="9" customHeight="1">
      <c r="A36" s="802" t="s">
        <v>414</v>
      </c>
      <c r="B36" s="621"/>
      <c r="C36" s="622"/>
      <c r="D36" s="622"/>
      <c r="E36" s="622">
        <v>4087.5478250000001</v>
      </c>
      <c r="F36" s="622">
        <v>4087.5478250000001</v>
      </c>
      <c r="G36" s="803">
        <v>8244.9197650000006</v>
      </c>
      <c r="K36" s="640"/>
      <c r="L36" s="640"/>
    </row>
    <row r="37" spans="1:13">
      <c r="A37" s="804" t="s">
        <v>103</v>
      </c>
      <c r="B37" s="367" t="s">
        <v>812</v>
      </c>
      <c r="C37" s="367"/>
      <c r="D37" s="367">
        <v>117055.44830250001</v>
      </c>
      <c r="E37" s="367"/>
      <c r="F37" s="367">
        <v>117055.44830250001</v>
      </c>
      <c r="G37" s="814">
        <v>260829.07762500001</v>
      </c>
    </row>
    <row r="38" spans="1:13">
      <c r="A38" s="802" t="s">
        <v>415</v>
      </c>
      <c r="B38" s="621"/>
      <c r="C38" s="622"/>
      <c r="D38" s="622">
        <v>117055.44830250001</v>
      </c>
      <c r="E38" s="622"/>
      <c r="F38" s="622">
        <v>117055.44830250001</v>
      </c>
      <c r="G38" s="803">
        <v>260829.07762500001</v>
      </c>
    </row>
    <row r="39" spans="1:13">
      <c r="A39" s="815" t="s">
        <v>108</v>
      </c>
      <c r="B39" s="726" t="s">
        <v>416</v>
      </c>
      <c r="C39" s="731"/>
      <c r="D39" s="731">
        <v>15488.254134999999</v>
      </c>
      <c r="E39" s="731"/>
      <c r="F39" s="731">
        <v>15488.254134999999</v>
      </c>
      <c r="G39" s="816">
        <v>37308.776992500003</v>
      </c>
    </row>
    <row r="40" spans="1:13">
      <c r="A40" s="817" t="s">
        <v>417</v>
      </c>
      <c r="B40" s="724"/>
      <c r="C40" s="725"/>
      <c r="D40" s="725">
        <v>15488.254134999999</v>
      </c>
      <c r="E40" s="725"/>
      <c r="F40" s="725">
        <v>15488.254134999999</v>
      </c>
      <c r="G40" s="818">
        <v>37308.776992500003</v>
      </c>
    </row>
    <row r="41" spans="1:13">
      <c r="A41" s="819" t="s">
        <v>538</v>
      </c>
      <c r="B41" s="600"/>
      <c r="C41" s="599">
        <v>2672104.8437899994</v>
      </c>
      <c r="D41" s="599">
        <v>1165851.3279174999</v>
      </c>
      <c r="E41" s="599">
        <v>302285.32712999999</v>
      </c>
      <c r="F41" s="599">
        <v>4140241.4988375003</v>
      </c>
      <c r="G41" s="820">
        <v>8637318.7948000003</v>
      </c>
    </row>
    <row r="42" spans="1:13">
      <c r="A42" s="819" t="s">
        <v>418</v>
      </c>
      <c r="B42" s="600"/>
      <c r="C42" s="601"/>
      <c r="D42" s="601"/>
      <c r="E42" s="676"/>
      <c r="F42" s="602">
        <v>0</v>
      </c>
      <c r="G42" s="821">
        <v>0</v>
      </c>
    </row>
    <row r="43" spans="1:13">
      <c r="A43" s="822" t="s">
        <v>419</v>
      </c>
      <c r="B43" s="600"/>
      <c r="C43" s="601"/>
      <c r="D43" s="601"/>
      <c r="E43" s="676"/>
      <c r="F43" s="602">
        <v>0</v>
      </c>
      <c r="G43" s="821"/>
    </row>
    <row r="44" spans="1:13" ht="6.75" customHeight="1">
      <c r="A44" s="823"/>
      <c r="G44" s="824"/>
    </row>
    <row r="45" spans="1:13" ht="23.25" customHeight="1">
      <c r="A45" s="972" t="s">
        <v>817</v>
      </c>
      <c r="B45" s="973"/>
      <c r="C45" s="973"/>
      <c r="D45" s="973"/>
      <c r="E45" s="973"/>
      <c r="F45" s="973"/>
      <c r="G45" s="974"/>
    </row>
    <row r="46" spans="1:13" ht="8.25" customHeight="1"/>
    <row r="47" spans="1:13">
      <c r="A47" s="367"/>
      <c r="B47" s="287"/>
      <c r="C47" s="287"/>
      <c r="D47" s="287"/>
      <c r="E47" s="287"/>
      <c r="F47" s="287"/>
    </row>
    <row r="48" spans="1:13" s="477" customFormat="1">
      <c r="A48" s="367"/>
      <c r="B48" s="287"/>
      <c r="C48" s="287"/>
      <c r="D48" s="287"/>
      <c r="E48" s="287"/>
      <c r="F48" s="287"/>
      <c r="G48"/>
      <c r="H48"/>
      <c r="I48"/>
      <c r="J48"/>
      <c r="K48"/>
      <c r="L48"/>
      <c r="M48"/>
    </row>
    <row r="49" spans="1:6">
      <c r="A49" s="367"/>
      <c r="B49" s="287"/>
      <c r="C49" s="287"/>
      <c r="D49" s="287"/>
      <c r="E49" s="287"/>
      <c r="F49" s="287"/>
    </row>
    <row r="50" spans="1:6">
      <c r="A50" s="367"/>
      <c r="B50" s="287"/>
      <c r="C50" s="287"/>
      <c r="D50" s="287"/>
      <c r="E50" s="287"/>
      <c r="F50" s="287"/>
    </row>
    <row r="51" spans="1:6">
      <c r="A51" s="367"/>
      <c r="B51" s="287"/>
      <c r="C51" s="287"/>
      <c r="D51" s="287"/>
      <c r="E51" s="287"/>
      <c r="F51" s="287"/>
    </row>
    <row r="52" spans="1:6">
      <c r="A52" s="367"/>
      <c r="B52" s="287"/>
      <c r="C52" s="287"/>
      <c r="D52" s="287"/>
      <c r="E52" s="287"/>
      <c r="F52" s="287"/>
    </row>
    <row r="53" spans="1:6">
      <c r="A53" s="367"/>
      <c r="B53" s="287"/>
      <c r="C53" s="287"/>
      <c r="D53" s="287"/>
      <c r="E53" s="287"/>
      <c r="F53" s="287"/>
    </row>
    <row r="54" spans="1:6">
      <c r="A54" s="367"/>
      <c r="B54" s="287"/>
      <c r="C54" s="287"/>
      <c r="D54" s="287"/>
      <c r="E54" s="287"/>
      <c r="F54" s="287"/>
    </row>
    <row r="55" spans="1:6">
      <c r="A55" s="367"/>
      <c r="B55" s="287"/>
      <c r="C55" s="287"/>
      <c r="D55" s="287"/>
      <c r="E55" s="287"/>
      <c r="F55" s="287"/>
    </row>
    <row r="56" spans="1:6">
      <c r="A56" s="367"/>
      <c r="B56" s="287"/>
      <c r="C56" s="287"/>
      <c r="D56" s="287"/>
      <c r="E56" s="287"/>
      <c r="F56" s="287"/>
    </row>
    <row r="57" spans="1:6">
      <c r="A57" s="367"/>
      <c r="B57" s="287"/>
      <c r="C57" s="287"/>
      <c r="D57" s="287"/>
      <c r="E57" s="287"/>
      <c r="F57" s="287"/>
    </row>
    <row r="58" spans="1:6">
      <c r="A58" s="367"/>
      <c r="B58" s="287"/>
      <c r="C58" s="287"/>
      <c r="D58" s="287"/>
      <c r="E58" s="287"/>
      <c r="F58" s="287"/>
    </row>
    <row r="59" spans="1:6">
      <c r="A59" s="367"/>
    </row>
    <row r="60" spans="1:6">
      <c r="A60" s="367"/>
    </row>
    <row r="61" spans="1:6">
      <c r="A61" s="367"/>
    </row>
  </sheetData>
  <mergeCells count="6">
    <mergeCell ref="A45:G45"/>
    <mergeCell ref="A1:A4"/>
    <mergeCell ref="B1:B4"/>
    <mergeCell ref="C1:F1"/>
    <mergeCell ref="C2:E2"/>
    <mergeCell ref="F2:F3"/>
  </mergeCells>
  <pageMargins left="0.70866141732283472" right="0.47244094488188981"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P184"/>
  <sheetViews>
    <sheetView showGridLines="0" view="pageBreakPreview" zoomScale="130" zoomScaleNormal="100" zoomScaleSheetLayoutView="130" zoomScalePageLayoutView="160" workbookViewId="0">
      <selection activeCell="A3" sqref="A3"/>
    </sheetView>
  </sheetViews>
  <sheetFormatPr defaultColWidth="9.33203125" defaultRowHeight="9"/>
  <cols>
    <col min="1" max="1" width="28.6640625" style="287" customWidth="1"/>
    <col min="2" max="2" width="22.1640625" style="287" customWidth="1"/>
    <col min="3" max="4" width="17.6640625" style="287" customWidth="1"/>
    <col min="5" max="5" width="15.1640625" style="287" customWidth="1"/>
    <col min="6" max="6" width="12.1640625" style="287" customWidth="1"/>
    <col min="7" max="7" width="9.33203125" style="287"/>
    <col min="8" max="8" width="15.6640625" style="287" customWidth="1"/>
    <col min="9" max="9" width="9.33203125" style="287"/>
    <col min="10" max="11" width="9.33203125" style="287" customWidth="1"/>
    <col min="12" max="16384" width="9.33203125" style="287"/>
  </cols>
  <sheetData>
    <row r="1" spans="1:12" ht="11.25" customHeight="1">
      <c r="A1" s="825" t="s">
        <v>422</v>
      </c>
      <c r="B1" s="826"/>
      <c r="C1" s="826"/>
      <c r="D1" s="826"/>
      <c r="E1" s="826"/>
      <c r="F1" s="827"/>
    </row>
    <row r="2" spans="1:12" s="367" customFormat="1" ht="11.25" customHeight="1">
      <c r="A2" s="975" t="s">
        <v>269</v>
      </c>
      <c r="B2" s="978" t="s">
        <v>56</v>
      </c>
      <c r="C2" s="978" t="s">
        <v>423</v>
      </c>
      <c r="D2" s="978"/>
      <c r="E2" s="978"/>
      <c r="F2" s="981"/>
      <c r="G2" s="519"/>
      <c r="H2" s="519"/>
      <c r="I2" s="519"/>
      <c r="J2" s="519"/>
      <c r="K2" s="519"/>
    </row>
    <row r="3" spans="1:12" s="367" customFormat="1" ht="11.25" customHeight="1">
      <c r="A3" s="976"/>
      <c r="B3" s="979"/>
      <c r="C3" s="603" t="str">
        <f>UPPER('1. Resumen'!Q4)&amp;" "&amp;'1. Resumen'!Q5</f>
        <v>FEBRERO 2019</v>
      </c>
      <c r="D3" s="604" t="str">
        <f>UPPER('1. Resumen'!Q4)&amp;" "&amp;'1. Resumen'!Q5-1</f>
        <v>FEBRERO 2018</v>
      </c>
      <c r="E3" s="605" t="s">
        <v>571</v>
      </c>
      <c r="F3" s="828" t="s">
        <v>819</v>
      </c>
      <c r="G3" s="520"/>
      <c r="H3" s="520"/>
      <c r="I3" s="520"/>
      <c r="J3" s="520"/>
      <c r="K3" s="520"/>
      <c r="L3" s="519"/>
    </row>
    <row r="4" spans="1:12" s="367" customFormat="1" ht="11.25" customHeight="1">
      <c r="A4" s="976"/>
      <c r="B4" s="979"/>
      <c r="C4" s="606">
        <f>+'8. Max Potencia'!D8</f>
        <v>43500.833333333336</v>
      </c>
      <c r="D4" s="606">
        <f>+'8. Max Potencia'!E8</f>
        <v>43144.8125</v>
      </c>
      <c r="E4" s="606">
        <v>43494.833333333336</v>
      </c>
      <c r="F4" s="829" t="s">
        <v>420</v>
      </c>
      <c r="G4" s="521"/>
      <c r="H4" s="521"/>
      <c r="I4" s="522"/>
      <c r="J4" s="522"/>
      <c r="K4" s="522"/>
      <c r="L4" s="519"/>
    </row>
    <row r="5" spans="1:12" s="367" customFormat="1" ht="11.25" customHeight="1">
      <c r="A5" s="977"/>
      <c r="B5" s="980"/>
      <c r="C5" s="607">
        <f>+'8. Max Potencia'!D9</f>
        <v>43500.833333333336</v>
      </c>
      <c r="D5" s="607">
        <f>+'8. Max Potencia'!E9</f>
        <v>43144.8125</v>
      </c>
      <c r="E5" s="607">
        <v>43494.833333333336</v>
      </c>
      <c r="F5" s="830" t="s">
        <v>421</v>
      </c>
      <c r="G5" s="521"/>
      <c r="H5" s="521"/>
      <c r="I5" s="521"/>
      <c r="J5" s="521"/>
      <c r="K5" s="521"/>
      <c r="L5" s="523"/>
    </row>
    <row r="6" spans="1:12" s="367" customFormat="1" ht="10.5" customHeight="1">
      <c r="A6" s="800" t="s">
        <v>125</v>
      </c>
      <c r="B6" s="515" t="s">
        <v>89</v>
      </c>
      <c r="C6" s="524">
        <v>0</v>
      </c>
      <c r="D6" s="524">
        <v>0</v>
      </c>
      <c r="E6" s="524">
        <v>0</v>
      </c>
      <c r="F6" s="831" t="str">
        <f>+IF(D6=0,"",C6/D6-1)</f>
        <v/>
      </c>
      <c r="G6" s="521"/>
      <c r="H6" s="644"/>
      <c r="I6" s="644"/>
      <c r="J6" s="521"/>
      <c r="K6" s="521"/>
      <c r="L6" s="525"/>
    </row>
    <row r="7" spans="1:12" s="367" customFormat="1" ht="10.5" customHeight="1">
      <c r="A7" s="802" t="s">
        <v>301</v>
      </c>
      <c r="B7" s="621"/>
      <c r="C7" s="623">
        <v>0</v>
      </c>
      <c r="D7" s="623">
        <v>0</v>
      </c>
      <c r="E7" s="623">
        <v>0</v>
      </c>
      <c r="F7" s="832" t="str">
        <f t="shared" ref="F7:F71" si="0">+IF(D7=0,"",C7/D7-1)</f>
        <v/>
      </c>
      <c r="G7" s="521"/>
      <c r="H7" s="644"/>
      <c r="I7" s="644"/>
      <c r="J7" s="521"/>
      <c r="K7" s="521"/>
      <c r="L7" s="526"/>
    </row>
    <row r="8" spans="1:12" s="367" customFormat="1" ht="10.5" customHeight="1">
      <c r="A8" s="800" t="s">
        <v>124</v>
      </c>
      <c r="B8" s="515" t="s">
        <v>65</v>
      </c>
      <c r="C8" s="524">
        <v>20.023609999999998</v>
      </c>
      <c r="D8" s="524">
        <v>20.382480000000001</v>
      </c>
      <c r="E8" s="524">
        <v>19.248800000000003</v>
      </c>
      <c r="F8" s="833">
        <f t="shared" si="0"/>
        <v>-1.760678779029845E-2</v>
      </c>
      <c r="G8" s="521"/>
      <c r="H8" s="644"/>
      <c r="I8" s="644"/>
      <c r="J8" s="521"/>
      <c r="K8" s="521"/>
      <c r="L8" s="527"/>
    </row>
    <row r="9" spans="1:12" s="367" customFormat="1" ht="10.5" customHeight="1">
      <c r="A9" s="802" t="s">
        <v>302</v>
      </c>
      <c r="B9" s="621"/>
      <c r="C9" s="623">
        <v>20.023609999999998</v>
      </c>
      <c r="D9" s="623">
        <v>20.382480000000001</v>
      </c>
      <c r="E9" s="623">
        <v>19.248800000000003</v>
      </c>
      <c r="F9" s="832">
        <f t="shared" si="0"/>
        <v>-1.760678779029845E-2</v>
      </c>
      <c r="G9" s="521"/>
      <c r="H9" s="644"/>
      <c r="I9" s="644"/>
      <c r="J9" s="521"/>
      <c r="K9" s="521"/>
      <c r="L9" s="526"/>
    </row>
    <row r="10" spans="1:12" s="367" customFormat="1" ht="10.5" customHeight="1">
      <c r="A10" s="804" t="s">
        <v>109</v>
      </c>
      <c r="B10" s="367" t="s">
        <v>86</v>
      </c>
      <c r="C10" s="518">
        <v>10.366490000000001</v>
      </c>
      <c r="D10" s="518">
        <v>13.00605</v>
      </c>
      <c r="E10" s="518">
        <v>11.549289999999999</v>
      </c>
      <c r="F10" s="834">
        <f t="shared" si="0"/>
        <v>-0.20294862775400679</v>
      </c>
      <c r="G10" s="521"/>
      <c r="H10" s="644"/>
      <c r="I10" s="644"/>
      <c r="J10" s="521"/>
      <c r="K10" s="521"/>
      <c r="L10" s="526"/>
    </row>
    <row r="11" spans="1:12" s="367" customFormat="1" ht="10.5" customHeight="1">
      <c r="A11" s="802" t="s">
        <v>303</v>
      </c>
      <c r="B11" s="621"/>
      <c r="C11" s="623">
        <v>10.366490000000001</v>
      </c>
      <c r="D11" s="623">
        <v>13.00605</v>
      </c>
      <c r="E11" s="623">
        <v>11.549289999999999</v>
      </c>
      <c r="F11" s="832">
        <f t="shared" si="0"/>
        <v>-0.20294862775400679</v>
      </c>
      <c r="G11" s="521"/>
      <c r="H11" s="644"/>
      <c r="I11" s="644"/>
      <c r="J11" s="521"/>
      <c r="K11" s="521"/>
      <c r="L11" s="526"/>
    </row>
    <row r="12" spans="1:12" s="367" customFormat="1" ht="10.5" customHeight="1">
      <c r="A12" s="804" t="s">
        <v>517</v>
      </c>
      <c r="B12" s="367" t="s">
        <v>532</v>
      </c>
      <c r="C12" s="518">
        <v>19.88353</v>
      </c>
      <c r="D12" s="518"/>
      <c r="E12" s="518">
        <v>19.862850000000002</v>
      </c>
      <c r="F12" s="834" t="str">
        <f t="shared" si="0"/>
        <v/>
      </c>
      <c r="G12" s="521"/>
      <c r="H12" s="644"/>
      <c r="I12" s="644"/>
      <c r="J12" s="521"/>
      <c r="K12" s="521"/>
      <c r="L12" s="526"/>
    </row>
    <row r="13" spans="1:12" s="367" customFormat="1" ht="10.5" customHeight="1">
      <c r="A13" s="802" t="s">
        <v>520</v>
      </c>
      <c r="B13" s="621"/>
      <c r="C13" s="623">
        <v>19.88353</v>
      </c>
      <c r="D13" s="623"/>
      <c r="E13" s="623">
        <v>19.862850000000002</v>
      </c>
      <c r="F13" s="832" t="str">
        <f t="shared" si="0"/>
        <v/>
      </c>
      <c r="G13" s="521"/>
      <c r="H13" s="644"/>
      <c r="I13" s="644"/>
      <c r="J13" s="521"/>
      <c r="K13" s="521"/>
      <c r="L13" s="526"/>
    </row>
    <row r="14" spans="1:12" s="367" customFormat="1" ht="10.5" customHeight="1">
      <c r="A14" s="804" t="s">
        <v>97</v>
      </c>
      <c r="B14" s="367" t="s">
        <v>304</v>
      </c>
      <c r="C14" s="518">
        <v>212.89953</v>
      </c>
      <c r="D14" s="518">
        <v>215.80619999999999</v>
      </c>
      <c r="E14" s="518">
        <v>212.94022000000001</v>
      </c>
      <c r="F14" s="834">
        <f t="shared" si="0"/>
        <v>-1.3468890143100598E-2</v>
      </c>
      <c r="G14" s="521"/>
      <c r="H14" s="644"/>
      <c r="I14" s="644"/>
      <c r="J14" s="521"/>
      <c r="K14" s="521"/>
      <c r="L14" s="526"/>
    </row>
    <row r="15" spans="1:12" s="367" customFormat="1" ht="10.5" customHeight="1">
      <c r="A15" s="802" t="s">
        <v>305</v>
      </c>
      <c r="B15" s="621"/>
      <c r="C15" s="623">
        <v>212.89953</v>
      </c>
      <c r="D15" s="623">
        <v>215.80619999999999</v>
      </c>
      <c r="E15" s="623">
        <v>212.94022000000001</v>
      </c>
      <c r="F15" s="832">
        <f t="shared" si="0"/>
        <v>-1.3468890143100598E-2</v>
      </c>
      <c r="G15" s="521"/>
      <c r="H15" s="644"/>
      <c r="I15" s="644"/>
      <c r="J15" s="521"/>
      <c r="K15" s="521"/>
      <c r="L15" s="527"/>
    </row>
    <row r="16" spans="1:12" s="367" customFormat="1" ht="10.5" customHeight="1">
      <c r="A16" s="804" t="s">
        <v>253</v>
      </c>
      <c r="B16" s="367" t="s">
        <v>306</v>
      </c>
      <c r="C16" s="518">
        <v>0</v>
      </c>
      <c r="D16" s="518">
        <v>0</v>
      </c>
      <c r="E16" s="518">
        <v>0</v>
      </c>
      <c r="F16" s="834" t="str">
        <f t="shared" si="0"/>
        <v/>
      </c>
      <c r="G16" s="521"/>
      <c r="H16" s="644"/>
      <c r="I16" s="644"/>
      <c r="J16" s="521"/>
      <c r="K16" s="521"/>
      <c r="L16" s="527"/>
    </row>
    <row r="17" spans="1:16" s="367" customFormat="1" ht="10.5" customHeight="1">
      <c r="A17" s="802" t="s">
        <v>307</v>
      </c>
      <c r="B17" s="621"/>
      <c r="C17" s="623">
        <v>0</v>
      </c>
      <c r="D17" s="623">
        <v>0</v>
      </c>
      <c r="E17" s="623">
        <v>0</v>
      </c>
      <c r="F17" s="832" t="str">
        <f t="shared" si="0"/>
        <v/>
      </c>
      <c r="G17" s="521"/>
      <c r="H17" s="644"/>
      <c r="I17" s="644"/>
      <c r="J17" s="521"/>
      <c r="K17" s="521"/>
      <c r="L17" s="527"/>
    </row>
    <row r="18" spans="1:16" s="367" customFormat="1" ht="10.5" customHeight="1">
      <c r="A18" s="804" t="s">
        <v>96</v>
      </c>
      <c r="B18" s="367" t="s">
        <v>308</v>
      </c>
      <c r="C18" s="518">
        <v>0</v>
      </c>
      <c r="D18" s="518">
        <v>149.97149000000002</v>
      </c>
      <c r="E18" s="518">
        <v>152.97789</v>
      </c>
      <c r="F18" s="834">
        <f t="shared" si="0"/>
        <v>-1</v>
      </c>
      <c r="G18" s="521"/>
      <c r="H18" s="644"/>
      <c r="I18" s="644"/>
      <c r="J18" s="521"/>
      <c r="K18" s="521"/>
      <c r="L18" s="521"/>
      <c r="M18" s="521"/>
      <c r="N18" s="521"/>
      <c r="O18" s="521"/>
      <c r="P18" s="521"/>
    </row>
    <row r="19" spans="1:16" s="367" customFormat="1" ht="10.5" customHeight="1">
      <c r="A19" s="804"/>
      <c r="B19" s="367" t="s">
        <v>309</v>
      </c>
      <c r="C19" s="518">
        <v>0</v>
      </c>
      <c r="D19" s="518">
        <v>42.226730000000003</v>
      </c>
      <c r="E19" s="518">
        <v>41.373390000000001</v>
      </c>
      <c r="F19" s="834">
        <f t="shared" si="0"/>
        <v>-1</v>
      </c>
      <c r="G19" s="521"/>
      <c r="H19" s="644"/>
      <c r="I19" s="644"/>
      <c r="J19" s="521"/>
      <c r="K19" s="521"/>
      <c r="L19" s="521"/>
      <c r="M19" s="521"/>
      <c r="N19" s="521"/>
      <c r="O19" s="521"/>
      <c r="P19" s="521"/>
    </row>
    <row r="20" spans="1:16" s="367" customFormat="1" ht="10.5" customHeight="1">
      <c r="A20" s="802" t="s">
        <v>310</v>
      </c>
      <c r="B20" s="621"/>
      <c r="C20" s="623">
        <v>0</v>
      </c>
      <c r="D20" s="623">
        <v>192.19822000000002</v>
      </c>
      <c r="E20" s="623">
        <v>194.35128</v>
      </c>
      <c r="F20" s="832">
        <f t="shared" si="0"/>
        <v>-1</v>
      </c>
      <c r="G20" s="521"/>
      <c r="H20" s="644"/>
      <c r="I20" s="644"/>
      <c r="J20" s="521"/>
      <c r="K20" s="521"/>
      <c r="L20" s="526"/>
    </row>
    <row r="21" spans="1:16" s="367" customFormat="1" ht="10.5" hidden="1" customHeight="1">
      <c r="A21" s="804" t="s">
        <v>94</v>
      </c>
      <c r="B21" s="367" t="s">
        <v>311</v>
      </c>
      <c r="C21" s="518">
        <v>1.6654100000000001</v>
      </c>
      <c r="D21" s="518">
        <v>1.65957</v>
      </c>
      <c r="E21" s="518">
        <v>1.2812299999999999</v>
      </c>
      <c r="F21" s="834"/>
      <c r="G21" s="521"/>
      <c r="H21" s="644"/>
      <c r="I21" s="644"/>
      <c r="J21" s="521"/>
      <c r="K21" s="521"/>
      <c r="L21" s="526"/>
    </row>
    <row r="22" spans="1:16" s="367" customFormat="1" ht="10.5" hidden="1" customHeight="1">
      <c r="A22" s="802"/>
      <c r="B22" s="621" t="s">
        <v>312</v>
      </c>
      <c r="C22" s="623">
        <v>0.52693000000000001</v>
      </c>
      <c r="D22" s="623">
        <v>0.57299999999999995</v>
      </c>
      <c r="E22" s="623">
        <v>0.52731000000000006</v>
      </c>
      <c r="F22" s="832"/>
      <c r="G22" s="521"/>
      <c r="H22" s="644"/>
      <c r="I22" s="644"/>
      <c r="J22" s="521"/>
      <c r="K22" s="521"/>
      <c r="L22" s="526"/>
    </row>
    <row r="23" spans="1:16" s="367" customFormat="1" ht="10.5" customHeight="1">
      <c r="A23" s="804"/>
      <c r="B23" s="367" t="s">
        <v>313</v>
      </c>
      <c r="C23" s="518">
        <v>4.4188999999999998</v>
      </c>
      <c r="D23" s="518">
        <v>4.5425199999999997</v>
      </c>
      <c r="E23" s="518">
        <v>4.4908800000000006</v>
      </c>
      <c r="F23" s="834">
        <f t="shared" si="0"/>
        <v>-2.7213969338604982E-2</v>
      </c>
      <c r="G23" s="521"/>
      <c r="H23" s="644"/>
      <c r="I23" s="644"/>
      <c r="J23" s="521"/>
      <c r="K23" s="521"/>
      <c r="L23" s="526"/>
    </row>
    <row r="24" spans="1:16" s="367" customFormat="1" ht="10.5" customHeight="1">
      <c r="A24" s="804"/>
      <c r="B24" s="367" t="s">
        <v>314</v>
      </c>
      <c r="C24" s="518">
        <v>14.17773</v>
      </c>
      <c r="D24" s="518">
        <v>15.10961</v>
      </c>
      <c r="E24" s="518">
        <v>14.169589999999999</v>
      </c>
      <c r="F24" s="834">
        <f t="shared" si="0"/>
        <v>-6.1674656063260391E-2</v>
      </c>
      <c r="G24" s="521"/>
      <c r="H24" s="644"/>
      <c r="I24" s="644"/>
      <c r="J24" s="521"/>
      <c r="K24" s="521"/>
      <c r="L24" s="526"/>
    </row>
    <row r="25" spans="1:16" s="367" customFormat="1" ht="10.5" customHeight="1">
      <c r="A25" s="804"/>
      <c r="B25" s="367" t="s">
        <v>315</v>
      </c>
      <c r="C25" s="518">
        <v>110.28952999999998</v>
      </c>
      <c r="D25" s="518">
        <v>138.73094</v>
      </c>
      <c r="E25" s="518">
        <v>121.45068999999999</v>
      </c>
      <c r="F25" s="834">
        <f t="shared" si="0"/>
        <v>-0.2050112974077738</v>
      </c>
      <c r="G25" s="521"/>
      <c r="H25" s="644"/>
      <c r="I25" s="644"/>
      <c r="J25" s="521"/>
      <c r="K25" s="521"/>
      <c r="L25" s="528"/>
    </row>
    <row r="26" spans="1:16" s="367" customFormat="1" ht="10.5" customHeight="1">
      <c r="A26" s="804"/>
      <c r="B26" s="367" t="s">
        <v>316</v>
      </c>
      <c r="C26" s="518">
        <v>8.3067799999999998</v>
      </c>
      <c r="D26" s="518">
        <v>8.7476299999999991</v>
      </c>
      <c r="E26" s="518">
        <v>8.2850300000000008</v>
      </c>
      <c r="F26" s="834">
        <f t="shared" si="0"/>
        <v>-5.0396507396860524E-2</v>
      </c>
      <c r="G26" s="521"/>
      <c r="H26" s="644"/>
      <c r="I26" s="644"/>
      <c r="J26" s="521"/>
      <c r="K26" s="521"/>
      <c r="L26" s="526"/>
    </row>
    <row r="27" spans="1:16" s="367" customFormat="1" ht="10.5" customHeight="1">
      <c r="A27" s="804"/>
      <c r="B27" s="367" t="s">
        <v>317</v>
      </c>
      <c r="C27" s="518">
        <v>0</v>
      </c>
      <c r="D27" s="518">
        <v>0</v>
      </c>
      <c r="E27" s="518">
        <v>0</v>
      </c>
      <c r="F27" s="834" t="str">
        <f t="shared" si="0"/>
        <v/>
      </c>
      <c r="G27" s="521"/>
      <c r="H27" s="644"/>
      <c r="I27" s="644"/>
      <c r="J27" s="521"/>
      <c r="K27" s="521"/>
      <c r="L27" s="526"/>
    </row>
    <row r="28" spans="1:16" s="367" customFormat="1" ht="10.5" customHeight="1">
      <c r="A28" s="804"/>
      <c r="B28" s="367" t="s">
        <v>318</v>
      </c>
      <c r="C28" s="518">
        <v>0</v>
      </c>
      <c r="D28" s="518">
        <v>0</v>
      </c>
      <c r="E28" s="518">
        <v>0</v>
      </c>
      <c r="F28" s="834" t="str">
        <f t="shared" si="0"/>
        <v/>
      </c>
      <c r="G28" s="521"/>
      <c r="H28" s="644"/>
      <c r="I28" s="644"/>
      <c r="J28" s="521"/>
      <c r="K28" s="521"/>
      <c r="L28" s="526"/>
    </row>
    <row r="29" spans="1:16" s="367" customFormat="1" ht="10.5" customHeight="1">
      <c r="A29" s="804"/>
      <c r="B29" s="367" t="s">
        <v>319</v>
      </c>
      <c r="C29" s="518">
        <v>31.223890000000001</v>
      </c>
      <c r="D29" s="518">
        <v>30.096039999999999</v>
      </c>
      <c r="E29" s="518">
        <v>0</v>
      </c>
      <c r="F29" s="834">
        <f t="shared" si="0"/>
        <v>3.747502993749352E-2</v>
      </c>
      <c r="G29" s="521"/>
      <c r="H29" s="644"/>
      <c r="I29" s="644"/>
      <c r="J29" s="521"/>
      <c r="K29" s="521"/>
      <c r="L29" s="528"/>
    </row>
    <row r="30" spans="1:16" s="367" customFormat="1" ht="10.5" customHeight="1">
      <c r="A30" s="804" t="s">
        <v>320</v>
      </c>
      <c r="C30" s="518">
        <v>170.60917000000001</v>
      </c>
      <c r="D30" s="518">
        <v>199.45930999999999</v>
      </c>
      <c r="E30" s="518">
        <v>150.20473000000001</v>
      </c>
      <c r="F30" s="834">
        <f t="shared" si="0"/>
        <v>-0.14464173168953598</v>
      </c>
      <c r="G30" s="521"/>
      <c r="H30" s="644"/>
      <c r="I30" s="644"/>
      <c r="J30" s="521"/>
      <c r="K30" s="521"/>
      <c r="L30" s="526"/>
    </row>
    <row r="31" spans="1:16" s="367" customFormat="1" ht="10.5" customHeight="1">
      <c r="A31" s="804" t="s">
        <v>117</v>
      </c>
      <c r="B31" s="367" t="s">
        <v>72</v>
      </c>
      <c r="C31" s="518">
        <v>4.3472</v>
      </c>
      <c r="D31" s="518">
        <v>4.7</v>
      </c>
      <c r="E31" s="518">
        <v>4.5327000000000002</v>
      </c>
      <c r="F31" s="834">
        <f t="shared" si="0"/>
        <v>-7.5063829787234138E-2</v>
      </c>
      <c r="G31" s="521"/>
      <c r="H31" s="644"/>
      <c r="I31" s="644"/>
      <c r="J31" s="521"/>
      <c r="K31" s="521"/>
      <c r="L31" s="526"/>
    </row>
    <row r="32" spans="1:16" s="367" customFormat="1" ht="10.5" customHeight="1">
      <c r="A32" s="802" t="s">
        <v>321</v>
      </c>
      <c r="B32" s="621"/>
      <c r="C32" s="623">
        <v>4.3472</v>
      </c>
      <c r="D32" s="623">
        <v>4.7</v>
      </c>
      <c r="E32" s="623">
        <v>4.5327000000000002</v>
      </c>
      <c r="F32" s="832">
        <f t="shared" si="0"/>
        <v>-7.5063829787234138E-2</v>
      </c>
      <c r="G32" s="521"/>
      <c r="H32" s="644"/>
      <c r="I32" s="644"/>
      <c r="J32" s="521"/>
      <c r="K32" s="521"/>
      <c r="L32" s="526"/>
    </row>
    <row r="33" spans="1:12" s="367" customFormat="1" ht="10.5" customHeight="1">
      <c r="A33" s="804" t="s">
        <v>95</v>
      </c>
      <c r="B33" s="367" t="s">
        <v>322</v>
      </c>
      <c r="C33" s="518">
        <v>168.76643000000001</v>
      </c>
      <c r="D33" s="518">
        <v>163.39222999999998</v>
      </c>
      <c r="E33" s="518">
        <v>168.82474999999999</v>
      </c>
      <c r="F33" s="834">
        <f t="shared" si="0"/>
        <v>3.2891404934004775E-2</v>
      </c>
      <c r="G33" s="521"/>
      <c r="H33" s="644"/>
      <c r="I33" s="644"/>
      <c r="J33" s="521"/>
      <c r="K33" s="521"/>
      <c r="L33" s="526"/>
    </row>
    <row r="34" spans="1:12" s="367" customFormat="1" ht="10.5" customHeight="1">
      <c r="A34" s="802" t="s">
        <v>323</v>
      </c>
      <c r="B34" s="621"/>
      <c r="C34" s="623">
        <v>168.76643000000001</v>
      </c>
      <c r="D34" s="623">
        <v>163.39222999999998</v>
      </c>
      <c r="E34" s="623">
        <v>168.82474999999999</v>
      </c>
      <c r="F34" s="832">
        <f t="shared" si="0"/>
        <v>3.2891404934004775E-2</v>
      </c>
      <c r="G34" s="521"/>
      <c r="H34" s="644"/>
      <c r="I34" s="644"/>
      <c r="J34" s="521"/>
      <c r="K34" s="521"/>
      <c r="L34" s="526"/>
    </row>
    <row r="35" spans="1:12" s="367" customFormat="1" ht="10.5" customHeight="1">
      <c r="A35" s="815" t="s">
        <v>104</v>
      </c>
      <c r="B35" s="726" t="s">
        <v>324</v>
      </c>
      <c r="C35" s="727">
        <v>16.95</v>
      </c>
      <c r="D35" s="727">
        <v>12.84</v>
      </c>
      <c r="E35" s="727">
        <v>17.082000000000001</v>
      </c>
      <c r="F35" s="835">
        <f t="shared" si="0"/>
        <v>0.32009345794392519</v>
      </c>
      <c r="G35" s="521"/>
      <c r="H35" s="644"/>
      <c r="I35" s="644"/>
      <c r="J35" s="521"/>
      <c r="K35" s="521"/>
      <c r="L35" s="526"/>
    </row>
    <row r="36" spans="1:12" s="367" customFormat="1" ht="10.5" customHeight="1">
      <c r="A36" s="815"/>
      <c r="B36" s="728" t="s">
        <v>325</v>
      </c>
      <c r="C36" s="730">
        <v>10.026</v>
      </c>
      <c r="D36" s="730">
        <v>7.6920000000000002</v>
      </c>
      <c r="E36" s="730">
        <v>9.5459999999999994</v>
      </c>
      <c r="F36" s="836">
        <f t="shared" si="0"/>
        <v>0.30343213728549134</v>
      </c>
      <c r="G36" s="521"/>
      <c r="H36" s="644"/>
      <c r="I36" s="644"/>
      <c r="J36" s="521"/>
      <c r="K36" s="521"/>
      <c r="L36" s="526"/>
    </row>
    <row r="37" spans="1:12" s="367" customFormat="1" ht="10.5" customHeight="1">
      <c r="A37" s="815"/>
      <c r="B37" s="726" t="s">
        <v>326</v>
      </c>
      <c r="C37" s="727">
        <v>20.051180000000002</v>
      </c>
      <c r="D37" s="727">
        <v>22.09009</v>
      </c>
      <c r="E37" s="727">
        <v>20.056920000000002</v>
      </c>
      <c r="F37" s="835">
        <f t="shared" si="0"/>
        <v>-9.2299759756524158E-2</v>
      </c>
      <c r="G37" s="521"/>
      <c r="H37" s="644"/>
      <c r="I37" s="644"/>
      <c r="J37" s="521"/>
      <c r="K37" s="521"/>
      <c r="L37" s="526"/>
    </row>
    <row r="38" spans="1:12" s="367" customFormat="1" ht="10.5" customHeight="1">
      <c r="A38" s="802" t="s">
        <v>327</v>
      </c>
      <c r="B38" s="621"/>
      <c r="C38" s="623">
        <v>47.027180000000001</v>
      </c>
      <c r="D38" s="623">
        <v>42.62209</v>
      </c>
      <c r="E38" s="623">
        <v>46.684920000000005</v>
      </c>
      <c r="F38" s="832">
        <f t="shared" si="0"/>
        <v>0.1033522757800005</v>
      </c>
      <c r="G38" s="521"/>
      <c r="H38" s="644"/>
      <c r="I38" s="644"/>
      <c r="J38" s="521"/>
      <c r="K38" s="521"/>
      <c r="L38" s="526"/>
    </row>
    <row r="39" spans="1:12" s="367" customFormat="1" ht="10.5" customHeight="1">
      <c r="A39" s="815" t="s">
        <v>122</v>
      </c>
      <c r="B39" s="726" t="s">
        <v>77</v>
      </c>
      <c r="C39" s="727">
        <v>0.43746000000000002</v>
      </c>
      <c r="D39" s="727">
        <v>0.99741000000000002</v>
      </c>
      <c r="E39" s="727">
        <v>0</v>
      </c>
      <c r="F39" s="835">
        <f t="shared" si="0"/>
        <v>-0.56140403645441694</v>
      </c>
      <c r="G39" s="521"/>
      <c r="H39" s="644"/>
      <c r="I39" s="644"/>
      <c r="J39" s="521"/>
      <c r="K39" s="521"/>
      <c r="L39" s="526"/>
    </row>
    <row r="40" spans="1:12" s="367" customFormat="1" ht="10.5" customHeight="1">
      <c r="A40" s="802" t="s">
        <v>328</v>
      </c>
      <c r="B40" s="621"/>
      <c r="C40" s="623">
        <v>0.43746000000000002</v>
      </c>
      <c r="D40" s="623">
        <v>0.99741000000000002</v>
      </c>
      <c r="E40" s="623">
        <v>0</v>
      </c>
      <c r="F40" s="832">
        <f t="shared" si="0"/>
        <v>-0.56140403645441694</v>
      </c>
      <c r="G40" s="521"/>
      <c r="H40" s="644"/>
      <c r="I40" s="644"/>
      <c r="J40" s="521"/>
      <c r="K40" s="521"/>
      <c r="L40" s="526"/>
    </row>
    <row r="41" spans="1:12" s="367" customFormat="1" ht="10.5" customHeight="1">
      <c r="A41" s="815" t="s">
        <v>118</v>
      </c>
      <c r="B41" s="726" t="s">
        <v>75</v>
      </c>
      <c r="C41" s="727">
        <v>3.5899000000000001</v>
      </c>
      <c r="D41" s="727">
        <v>3.6574800000000001</v>
      </c>
      <c r="E41" s="727">
        <v>3.3381699999999999</v>
      </c>
      <c r="F41" s="835">
        <f t="shared" si="0"/>
        <v>-1.8477202882859256E-2</v>
      </c>
      <c r="G41" s="521"/>
      <c r="H41" s="644"/>
      <c r="I41" s="644"/>
      <c r="J41" s="521"/>
      <c r="K41" s="521"/>
      <c r="L41" s="526"/>
    </row>
    <row r="42" spans="1:12" s="367" customFormat="1" ht="10.5" customHeight="1">
      <c r="A42" s="802" t="s">
        <v>329</v>
      </c>
      <c r="B42" s="621"/>
      <c r="C42" s="623">
        <v>3.5899000000000001</v>
      </c>
      <c r="D42" s="623">
        <v>3.6574800000000001</v>
      </c>
      <c r="E42" s="623">
        <v>3.3381699999999999</v>
      </c>
      <c r="F42" s="832">
        <f t="shared" si="0"/>
        <v>-1.8477202882859256E-2</v>
      </c>
      <c r="G42" s="521"/>
      <c r="H42" s="644"/>
      <c r="I42" s="644"/>
      <c r="J42" s="521"/>
      <c r="K42" s="521"/>
      <c r="L42" s="529"/>
    </row>
    <row r="43" spans="1:12" s="367" customFormat="1" ht="10.5" customHeight="1">
      <c r="A43" s="815" t="s">
        <v>533</v>
      </c>
      <c r="B43" s="726" t="s">
        <v>540</v>
      </c>
      <c r="C43" s="727">
        <v>0</v>
      </c>
      <c r="D43" s="727"/>
      <c r="E43" s="727">
        <v>0.41988999999999999</v>
      </c>
      <c r="F43" s="835" t="str">
        <f t="shared" si="0"/>
        <v/>
      </c>
      <c r="G43" s="521"/>
      <c r="H43" s="644"/>
      <c r="I43" s="644"/>
      <c r="J43" s="521"/>
      <c r="K43" s="521"/>
      <c r="L43" s="526"/>
    </row>
    <row r="44" spans="1:12" s="367" customFormat="1" ht="10.5" customHeight="1">
      <c r="A44" s="802" t="s">
        <v>534</v>
      </c>
      <c r="B44" s="621"/>
      <c r="C44" s="623">
        <v>0</v>
      </c>
      <c r="D44" s="623"/>
      <c r="E44" s="623">
        <v>0.41988999999999999</v>
      </c>
      <c r="F44" s="832" t="str">
        <f t="shared" si="0"/>
        <v/>
      </c>
      <c r="G44" s="521"/>
      <c r="H44" s="644"/>
      <c r="I44" s="644"/>
      <c r="J44" s="521"/>
      <c r="K44" s="521"/>
      <c r="L44" s="526"/>
    </row>
    <row r="45" spans="1:12" s="367" customFormat="1" ht="10.5" customHeight="1">
      <c r="A45" s="815" t="s">
        <v>92</v>
      </c>
      <c r="B45" s="726" t="s">
        <v>330</v>
      </c>
      <c r="C45" s="727">
        <v>644.73599999999999</v>
      </c>
      <c r="D45" s="727">
        <v>642.69359999999995</v>
      </c>
      <c r="E45" s="727">
        <v>644.51519999999994</v>
      </c>
      <c r="F45" s="835">
        <f t="shared" si="0"/>
        <v>3.1778751180968623E-3</v>
      </c>
      <c r="G45" s="521"/>
      <c r="H45" s="644"/>
      <c r="I45" s="644"/>
      <c r="J45" s="521"/>
      <c r="K45" s="521"/>
      <c r="L45" s="526"/>
    </row>
    <row r="46" spans="1:12" s="367" customFormat="1" ht="10.5" customHeight="1">
      <c r="A46" s="815"/>
      <c r="B46" s="728" t="s">
        <v>331</v>
      </c>
      <c r="C46" s="730">
        <v>208.03775999999999</v>
      </c>
      <c r="D46" s="730">
        <v>203.44512</v>
      </c>
      <c r="E46" s="730">
        <v>207.81695999999999</v>
      </c>
      <c r="F46" s="836">
        <f t="shared" si="0"/>
        <v>2.2574343390492579E-2</v>
      </c>
      <c r="G46" s="521"/>
      <c r="H46" s="644"/>
      <c r="I46" s="644"/>
      <c r="J46" s="521"/>
      <c r="K46" s="521"/>
      <c r="L46" s="526"/>
    </row>
    <row r="47" spans="1:12" s="367" customFormat="1" ht="10.5" customHeight="1">
      <c r="A47" s="815"/>
      <c r="B47" s="726" t="s">
        <v>332</v>
      </c>
      <c r="C47" s="727">
        <v>0</v>
      </c>
      <c r="D47" s="727">
        <v>0</v>
      </c>
      <c r="E47" s="727">
        <v>0</v>
      </c>
      <c r="F47" s="835" t="str">
        <f t="shared" si="0"/>
        <v/>
      </c>
      <c r="G47" s="521"/>
      <c r="H47" s="644"/>
      <c r="I47" s="644"/>
      <c r="J47" s="521"/>
      <c r="K47" s="521"/>
      <c r="L47" s="526"/>
    </row>
    <row r="48" spans="1:12" s="367" customFormat="1" ht="10.5" customHeight="1">
      <c r="A48" s="802" t="s">
        <v>333</v>
      </c>
      <c r="B48" s="621"/>
      <c r="C48" s="623">
        <v>852.77376000000004</v>
      </c>
      <c r="D48" s="623">
        <v>846.13871999999992</v>
      </c>
      <c r="E48" s="623">
        <v>852.33215999999993</v>
      </c>
      <c r="F48" s="832">
        <f t="shared" si="0"/>
        <v>7.8415510875098349E-3</v>
      </c>
      <c r="G48" s="521"/>
      <c r="H48" s="644"/>
      <c r="I48" s="644"/>
      <c r="J48" s="521"/>
      <c r="K48" s="521"/>
      <c r="L48" s="526"/>
    </row>
    <row r="49" spans="1:12" s="367" customFormat="1" ht="10.5" customHeight="1">
      <c r="A49" s="815" t="s">
        <v>254</v>
      </c>
      <c r="B49" s="726" t="s">
        <v>334</v>
      </c>
      <c r="C49" s="727">
        <v>454.15300000000002</v>
      </c>
      <c r="D49" s="727">
        <v>455.95588999999995</v>
      </c>
      <c r="E49" s="727">
        <v>454.41738999999995</v>
      </c>
      <c r="F49" s="835">
        <f t="shared" si="0"/>
        <v>-3.9540886290556632E-3</v>
      </c>
      <c r="G49" s="521"/>
      <c r="H49" s="644"/>
      <c r="I49" s="644"/>
      <c r="J49" s="521"/>
      <c r="K49" s="521"/>
      <c r="L49" s="526"/>
    </row>
    <row r="50" spans="1:12" s="367" customFormat="1" ht="10.5" customHeight="1">
      <c r="A50" s="815"/>
      <c r="B50" s="728" t="s">
        <v>335</v>
      </c>
      <c r="C50" s="730">
        <v>6.4363299999999999</v>
      </c>
      <c r="D50" s="730">
        <v>0</v>
      </c>
      <c r="E50" s="730">
        <v>6.4398499999999999</v>
      </c>
      <c r="F50" s="836" t="str">
        <f t="shared" si="0"/>
        <v/>
      </c>
      <c r="G50" s="521"/>
      <c r="H50" s="644"/>
      <c r="I50" s="644"/>
      <c r="J50" s="521"/>
      <c r="K50" s="521"/>
      <c r="L50" s="526"/>
    </row>
    <row r="51" spans="1:12" s="367" customFormat="1" ht="10.5" customHeight="1">
      <c r="A51" s="802" t="s">
        <v>336</v>
      </c>
      <c r="B51" s="621"/>
      <c r="C51" s="623">
        <v>460.58933000000002</v>
      </c>
      <c r="D51" s="623">
        <v>455.95588999999995</v>
      </c>
      <c r="E51" s="623">
        <v>460.85723999999993</v>
      </c>
      <c r="F51" s="832">
        <f t="shared" si="0"/>
        <v>1.0162035630244981E-2</v>
      </c>
      <c r="G51" s="521"/>
      <c r="H51" s="644"/>
      <c r="I51" s="644"/>
      <c r="J51" s="521"/>
      <c r="K51" s="521"/>
    </row>
    <row r="52" spans="1:12" s="367" customFormat="1" ht="10.5" customHeight="1">
      <c r="A52" s="815" t="s">
        <v>255</v>
      </c>
      <c r="B52" s="726" t="s">
        <v>337</v>
      </c>
      <c r="C52" s="727">
        <v>94.363419999999991</v>
      </c>
      <c r="D52" s="727">
        <v>94.394300000000001</v>
      </c>
      <c r="E52" s="727">
        <v>66.759289999999993</v>
      </c>
      <c r="F52" s="835">
        <f t="shared" si="0"/>
        <v>-3.2713839712794623E-4</v>
      </c>
      <c r="G52" s="521"/>
      <c r="H52" s="644"/>
      <c r="I52" s="644"/>
      <c r="J52" s="521"/>
      <c r="K52" s="521"/>
    </row>
    <row r="53" spans="1:12" s="367" customFormat="1" ht="10.5" customHeight="1">
      <c r="A53" s="802" t="s">
        <v>338</v>
      </c>
      <c r="B53" s="621"/>
      <c r="C53" s="623">
        <v>94.363419999999991</v>
      </c>
      <c r="D53" s="623">
        <v>94.394300000000001</v>
      </c>
      <c r="E53" s="623">
        <v>66.759289999999993</v>
      </c>
      <c r="F53" s="832">
        <f t="shared" si="0"/>
        <v>-3.2713839712794623E-4</v>
      </c>
      <c r="G53" s="521"/>
      <c r="H53" s="644"/>
      <c r="I53" s="644"/>
      <c r="J53" s="521"/>
      <c r="K53" s="521"/>
    </row>
    <row r="54" spans="1:12" s="367" customFormat="1" ht="10.5" customHeight="1">
      <c r="A54" s="815" t="s">
        <v>256</v>
      </c>
      <c r="B54" s="726" t="s">
        <v>62</v>
      </c>
      <c r="C54" s="727">
        <v>17.461459999999999</v>
      </c>
      <c r="D54" s="727">
        <v>17.025480000000002</v>
      </c>
      <c r="E54" s="727">
        <v>17.383209999999998</v>
      </c>
      <c r="F54" s="835">
        <f t="shared" si="0"/>
        <v>2.5607501227571605E-2</v>
      </c>
      <c r="G54" s="521"/>
      <c r="H54" s="644"/>
      <c r="I54" s="644"/>
      <c r="J54" s="521"/>
      <c r="K54" s="521"/>
    </row>
    <row r="55" spans="1:12" s="367" customFormat="1" ht="10.5" customHeight="1">
      <c r="A55" s="815"/>
      <c r="B55" s="728" t="s">
        <v>59</v>
      </c>
      <c r="C55" s="730">
        <v>19.79682</v>
      </c>
      <c r="D55" s="730">
        <v>20.070920000000001</v>
      </c>
      <c r="E55" s="730">
        <v>19.697469999999999</v>
      </c>
      <c r="F55" s="836">
        <f t="shared" si="0"/>
        <v>-1.3656573789343041E-2</v>
      </c>
      <c r="G55" s="521"/>
      <c r="H55" s="644"/>
      <c r="I55" s="644"/>
      <c r="J55" s="521"/>
      <c r="K55" s="521"/>
    </row>
    <row r="56" spans="1:12" s="367" customFormat="1" ht="10.5" customHeight="1">
      <c r="A56" s="802" t="s">
        <v>339</v>
      </c>
      <c r="B56" s="621"/>
      <c r="C56" s="623">
        <v>37.258279999999999</v>
      </c>
      <c r="D56" s="623">
        <v>37.096400000000003</v>
      </c>
      <c r="E56" s="623">
        <v>37.080680000000001</v>
      </c>
      <c r="F56" s="832">
        <f t="shared" si="0"/>
        <v>4.3637657562458632E-3</v>
      </c>
      <c r="G56" s="521"/>
      <c r="H56" s="644"/>
      <c r="I56" s="644"/>
      <c r="J56" s="521"/>
      <c r="K56" s="521"/>
    </row>
    <row r="57" spans="1:12" s="367" customFormat="1" ht="10.5" customHeight="1">
      <c r="A57" s="815" t="s">
        <v>91</v>
      </c>
      <c r="B57" s="726" t="s">
        <v>809</v>
      </c>
      <c r="C57" s="727">
        <v>0</v>
      </c>
      <c r="D57" s="727"/>
      <c r="E57" s="727"/>
      <c r="F57" s="835" t="str">
        <f t="shared" si="0"/>
        <v/>
      </c>
      <c r="G57" s="521"/>
      <c r="H57" s="644"/>
      <c r="I57" s="644"/>
      <c r="J57" s="521"/>
      <c r="K57" s="521"/>
    </row>
    <row r="58" spans="1:12" s="367" customFormat="1" ht="10.5" customHeight="1">
      <c r="A58" s="815"/>
      <c r="B58" s="728" t="s">
        <v>340</v>
      </c>
      <c r="C58" s="730">
        <v>30.043700000000001</v>
      </c>
      <c r="D58" s="730">
        <v>30.4633</v>
      </c>
      <c r="E58" s="730">
        <v>29.915140000000001</v>
      </c>
      <c r="F58" s="836">
        <f t="shared" si="0"/>
        <v>-1.3773950950816238E-2</v>
      </c>
      <c r="G58" s="521"/>
      <c r="H58" s="643"/>
      <c r="I58" s="644"/>
      <c r="J58" s="521"/>
      <c r="K58" s="521"/>
    </row>
    <row r="59" spans="1:12" s="367" customFormat="1" ht="10.5" customHeight="1">
      <c r="A59" s="815"/>
      <c r="B59" s="726" t="s">
        <v>341</v>
      </c>
      <c r="C59" s="727">
        <v>217.56784000000002</v>
      </c>
      <c r="D59" s="727">
        <v>248.8031</v>
      </c>
      <c r="E59" s="727">
        <v>268.68750999999997</v>
      </c>
      <c r="F59" s="835">
        <f t="shared" si="0"/>
        <v>-0.12554208528752242</v>
      </c>
      <c r="G59" s="521"/>
      <c r="H59" s="643"/>
      <c r="I59" s="644"/>
      <c r="J59" s="521"/>
      <c r="K59" s="521"/>
    </row>
    <row r="60" spans="1:12" s="367" customFormat="1" ht="10.5" customHeight="1">
      <c r="A60" s="815"/>
      <c r="B60" s="726" t="s">
        <v>342</v>
      </c>
      <c r="C60" s="727">
        <v>132.27462000000003</v>
      </c>
      <c r="D60" s="727">
        <v>105.48232999999999</v>
      </c>
      <c r="E60" s="727">
        <v>132.41367000000002</v>
      </c>
      <c r="F60" s="835">
        <f t="shared" si="0"/>
        <v>0.25399789708854592</v>
      </c>
      <c r="G60" s="530"/>
      <c r="H60" s="643"/>
      <c r="I60" s="644"/>
      <c r="J60" s="521"/>
      <c r="K60" s="521"/>
    </row>
    <row r="61" spans="1:12" s="367" customFormat="1" ht="10.5" customHeight="1">
      <c r="A61" s="815"/>
      <c r="B61" s="726" t="s">
        <v>343</v>
      </c>
      <c r="C61" s="727">
        <v>64.163049999999998</v>
      </c>
      <c r="D61" s="727">
        <v>63.276740000000004</v>
      </c>
      <c r="E61" s="727">
        <v>65.159300000000002</v>
      </c>
      <c r="F61" s="835">
        <f t="shared" si="0"/>
        <v>1.4006884678319231E-2</v>
      </c>
      <c r="G61" s="530"/>
      <c r="H61" s="643"/>
      <c r="I61" s="644"/>
      <c r="J61" s="521"/>
      <c r="K61" s="521"/>
    </row>
    <row r="62" spans="1:12" s="367" customFormat="1" ht="10.5" customHeight="1">
      <c r="A62" s="815"/>
      <c r="B62" s="726" t="s">
        <v>344</v>
      </c>
      <c r="C62" s="727">
        <v>111.54600000000001</v>
      </c>
      <c r="D62" s="727">
        <v>0</v>
      </c>
      <c r="E62" s="727">
        <v>0</v>
      </c>
      <c r="F62" s="835" t="str">
        <f t="shared" si="0"/>
        <v/>
      </c>
      <c r="G62" s="530"/>
      <c r="H62" s="643"/>
      <c r="I62" s="644"/>
      <c r="J62" s="521"/>
      <c r="K62" s="521"/>
    </row>
    <row r="63" spans="1:12" s="367" customFormat="1" ht="10.5" customHeight="1">
      <c r="A63" s="815"/>
      <c r="B63" s="726" t="s">
        <v>345</v>
      </c>
      <c r="C63" s="727">
        <v>175.96988999999999</v>
      </c>
      <c r="D63" s="727">
        <v>0</v>
      </c>
      <c r="E63" s="727">
        <v>134.74166</v>
      </c>
      <c r="F63" s="835" t="str">
        <f t="shared" si="0"/>
        <v/>
      </c>
      <c r="G63" s="530"/>
      <c r="H63" s="644"/>
      <c r="I63" s="644"/>
      <c r="J63" s="521"/>
      <c r="K63" s="521"/>
    </row>
    <row r="64" spans="1:12" s="367" customFormat="1" ht="10.5" customHeight="1">
      <c r="A64" s="815"/>
      <c r="B64" s="726" t="s">
        <v>346</v>
      </c>
      <c r="C64" s="727">
        <v>213.21363000000002</v>
      </c>
      <c r="D64" s="727">
        <v>438.84868999999998</v>
      </c>
      <c r="E64" s="727">
        <v>90.043999999999997</v>
      </c>
      <c r="F64" s="835">
        <f t="shared" si="0"/>
        <v>-0.51415229244503369</v>
      </c>
      <c r="G64" s="530"/>
      <c r="H64" s="644"/>
      <c r="I64" s="644"/>
      <c r="J64" s="521"/>
      <c r="K64" s="521"/>
    </row>
    <row r="65" spans="1:11" s="367" customFormat="1" ht="10.5" customHeight="1">
      <c r="A65" s="815"/>
      <c r="B65" s="726" t="s">
        <v>508</v>
      </c>
      <c r="C65" s="727">
        <v>0.28116999999999998</v>
      </c>
      <c r="D65" s="727"/>
      <c r="E65" s="727">
        <v>0.47592000000000001</v>
      </c>
      <c r="F65" s="835" t="str">
        <f t="shared" si="0"/>
        <v/>
      </c>
      <c r="G65" s="521"/>
      <c r="H65" s="644"/>
      <c r="I65" s="644"/>
      <c r="J65" s="521"/>
      <c r="K65" s="521"/>
    </row>
    <row r="66" spans="1:11" s="367" customFormat="1" ht="10.5" customHeight="1">
      <c r="A66" s="802" t="s">
        <v>347</v>
      </c>
      <c r="B66" s="621"/>
      <c r="C66" s="623">
        <v>945.05989999999997</v>
      </c>
      <c r="D66" s="623">
        <v>886.87415999999996</v>
      </c>
      <c r="E66" s="623">
        <v>721.43719999999996</v>
      </c>
      <c r="F66" s="832">
        <f t="shared" si="0"/>
        <v>6.5607661858137822E-2</v>
      </c>
      <c r="G66" s="521"/>
      <c r="H66" s="644"/>
      <c r="I66" s="644"/>
      <c r="J66" s="521"/>
      <c r="K66" s="521"/>
    </row>
    <row r="67" spans="1:11" s="367" customFormat="1" ht="10.5" customHeight="1">
      <c r="A67" s="815" t="s">
        <v>99</v>
      </c>
      <c r="B67" s="728" t="s">
        <v>348</v>
      </c>
      <c r="C67" s="730">
        <v>0</v>
      </c>
      <c r="D67" s="730">
        <v>51.039430000000003</v>
      </c>
      <c r="E67" s="730">
        <v>0</v>
      </c>
      <c r="F67" s="836">
        <f t="shared" si="0"/>
        <v>-1</v>
      </c>
      <c r="G67" s="521"/>
      <c r="H67" s="644"/>
      <c r="I67" s="644"/>
      <c r="J67" s="521"/>
      <c r="K67" s="521"/>
    </row>
    <row r="68" spans="1:11" s="367" customFormat="1" ht="10.5" customHeight="1">
      <c r="A68" s="815"/>
      <c r="B68" s="726" t="s">
        <v>349</v>
      </c>
      <c r="C68" s="727">
        <v>86.646780000000007</v>
      </c>
      <c r="D68" s="727">
        <v>0</v>
      </c>
      <c r="E68" s="727">
        <v>88.451549999999997</v>
      </c>
      <c r="F68" s="835" t="str">
        <f t="shared" si="0"/>
        <v/>
      </c>
      <c r="G68" s="531"/>
      <c r="H68" s="644"/>
      <c r="I68" s="644"/>
      <c r="J68" s="521"/>
      <c r="K68" s="521"/>
    </row>
    <row r="69" spans="1:11" s="367" customFormat="1" ht="10.5" customHeight="1">
      <c r="A69" s="815"/>
      <c r="B69" s="726" t="s">
        <v>350</v>
      </c>
      <c r="C69" s="727">
        <v>0</v>
      </c>
      <c r="D69" s="727">
        <v>0</v>
      </c>
      <c r="E69" s="727">
        <v>0</v>
      </c>
      <c r="F69" s="835" t="str">
        <f t="shared" si="0"/>
        <v/>
      </c>
      <c r="G69" s="531"/>
      <c r="H69" s="636"/>
      <c r="I69" s="644"/>
      <c r="J69" s="521"/>
      <c r="K69" s="521"/>
    </row>
    <row r="70" spans="1:11" s="367" customFormat="1" ht="10.5" customHeight="1">
      <c r="A70" s="802" t="s">
        <v>351</v>
      </c>
      <c r="B70" s="621"/>
      <c r="C70" s="623">
        <v>86.646780000000007</v>
      </c>
      <c r="D70" s="623">
        <v>51.039430000000003</v>
      </c>
      <c r="E70" s="623">
        <v>88.451549999999997</v>
      </c>
      <c r="F70" s="832">
        <f t="shared" si="0"/>
        <v>0.69764395879812935</v>
      </c>
      <c r="G70" s="531"/>
      <c r="H70" s="636"/>
      <c r="I70" s="644"/>
      <c r="J70" s="521"/>
      <c r="K70" s="521"/>
    </row>
    <row r="71" spans="1:11" s="367" customFormat="1" ht="10.5" customHeight="1">
      <c r="A71" s="837"/>
      <c r="B71" s="838"/>
      <c r="C71" s="839"/>
      <c r="D71" s="839"/>
      <c r="E71" s="839"/>
      <c r="F71" s="840" t="str">
        <f t="shared" si="0"/>
        <v/>
      </c>
      <c r="H71" s="636"/>
      <c r="I71" s="644"/>
      <c r="J71" s="521"/>
      <c r="K71" s="521"/>
    </row>
    <row r="72" spans="1:11" s="367" customFormat="1" ht="10.5" customHeight="1">
      <c r="J72" s="521"/>
      <c r="K72" s="521"/>
    </row>
    <row r="73" spans="1:11" s="367" customFormat="1" ht="10.5" customHeight="1">
      <c r="A73" s="620"/>
      <c r="B73" s="621"/>
      <c r="C73" s="623"/>
      <c r="D73" s="623"/>
      <c r="E73" s="623"/>
      <c r="F73" s="624"/>
      <c r="J73" s="521"/>
      <c r="K73" s="521"/>
    </row>
    <row r="74" spans="1:11" s="367" customFormat="1" ht="10.5" customHeight="1">
      <c r="I74" s="521"/>
      <c r="J74" s="521"/>
      <c r="K74" s="521"/>
    </row>
    <row r="75" spans="1:11" s="367" customFormat="1" ht="10.5" customHeight="1"/>
    <row r="76" spans="1:11" s="367" customFormat="1" ht="10.5" customHeight="1"/>
    <row r="77" spans="1:11" s="367" customFormat="1" ht="10.5" customHeight="1"/>
    <row r="78" spans="1:11" s="367" customFormat="1" ht="10.5" customHeight="1"/>
    <row r="79" spans="1:11" s="367" customFormat="1" ht="10.5" customHeight="1"/>
    <row r="80" spans="1:11" s="367" customFormat="1" ht="10.5" customHeight="1"/>
    <row r="81" s="367" customFormat="1" ht="10.5" customHeight="1"/>
    <row r="82" s="367" customFormat="1" ht="10.5" customHeight="1"/>
    <row r="83" s="367" customFormat="1" ht="10.5" customHeight="1"/>
    <row r="84" s="367" customFormat="1" ht="10.5" customHeight="1"/>
    <row r="85" s="367" customFormat="1" ht="10.5" customHeight="1"/>
    <row r="86" s="367" customFormat="1" ht="10.5" customHeight="1"/>
    <row r="87" s="367" customFormat="1" ht="10.5" customHeight="1"/>
    <row r="88" s="367" customFormat="1" ht="10.5" customHeight="1"/>
    <row r="89" s="367" customFormat="1" ht="10.5" customHeight="1"/>
    <row r="90" s="367" customFormat="1" ht="10.5" customHeight="1"/>
    <row r="91" s="367" customFormat="1" ht="10.5" customHeight="1"/>
    <row r="92" s="367" customFormat="1" ht="10.5" customHeight="1"/>
    <row r="93" s="367" customFormat="1" ht="10.5" customHeight="1"/>
    <row r="94" s="367" customFormat="1" ht="10.5" customHeight="1"/>
    <row r="95" s="367" customFormat="1" ht="10.5" customHeight="1"/>
    <row r="96" s="367" customFormat="1" ht="10.5" customHeight="1"/>
    <row r="97" s="367" customFormat="1" ht="10.5" customHeight="1"/>
    <row r="98" s="367" customFormat="1" ht="10.5" customHeight="1"/>
    <row r="99" s="367" customFormat="1" ht="10.5" customHeight="1"/>
    <row r="100" s="367" customFormat="1" ht="10.5" customHeight="1"/>
    <row r="101" s="367" customFormat="1" ht="10.5" customHeight="1"/>
    <row r="102" s="367" customFormat="1" ht="10.5" customHeight="1"/>
    <row r="103" s="367" customFormat="1" ht="10.5" customHeight="1"/>
    <row r="104" s="367" customFormat="1" ht="10.5" customHeight="1"/>
    <row r="105" s="367" customFormat="1" ht="10.5" customHeight="1"/>
    <row r="106" s="367" customFormat="1" ht="10.5" customHeight="1"/>
    <row r="107" s="367" customFormat="1" ht="10.5" customHeight="1"/>
    <row r="108" s="367" customFormat="1" ht="10.5" customHeight="1"/>
    <row r="109" s="367" customFormat="1" ht="10.5" customHeight="1"/>
    <row r="110" s="367" customFormat="1" ht="10.5" customHeight="1"/>
    <row r="111" s="367" customFormat="1" ht="10.5" customHeight="1"/>
    <row r="112" s="367" customFormat="1" ht="10.5" customHeight="1"/>
    <row r="113" s="367" customFormat="1" ht="10.5" customHeight="1"/>
    <row r="114" s="367" customFormat="1" ht="10.5" customHeight="1"/>
    <row r="115" s="367" customFormat="1" ht="10.5" customHeight="1"/>
    <row r="116" s="367" customFormat="1" ht="10.5" customHeight="1"/>
    <row r="117" s="367" customFormat="1" ht="10.5" customHeight="1"/>
    <row r="118" s="367" customFormat="1" ht="10.5" customHeight="1"/>
    <row r="119" s="367" customFormat="1" ht="10.5" customHeight="1"/>
    <row r="120" s="367" customFormat="1" ht="10.5" customHeight="1"/>
    <row r="121" s="367" customFormat="1" ht="10.5" customHeight="1"/>
    <row r="122" s="367" customFormat="1" ht="10.5" customHeight="1"/>
    <row r="123" s="367" customFormat="1" ht="10.5" customHeight="1"/>
    <row r="124" s="367" customFormat="1" ht="10.5" customHeight="1"/>
    <row r="125" s="367" customFormat="1" ht="10.5" customHeight="1"/>
    <row r="126" s="367" customFormat="1" ht="10.5" customHeight="1"/>
    <row r="127" s="367" customFormat="1" ht="10.5" customHeight="1"/>
    <row r="128" s="367" customFormat="1" ht="10.5" customHeight="1"/>
    <row r="129" s="367" customFormat="1" ht="10.5" customHeight="1"/>
    <row r="130" s="367" customFormat="1" ht="10.5" customHeight="1"/>
    <row r="131" s="367" customFormat="1" ht="10.5" customHeight="1"/>
    <row r="132" s="367" customFormat="1" ht="10.5" customHeight="1"/>
    <row r="133" s="367" customFormat="1" ht="10.5" customHeight="1"/>
    <row r="134" s="367" customFormat="1" ht="10.5" customHeight="1"/>
    <row r="135" s="367" customFormat="1" ht="10.5" customHeight="1"/>
    <row r="136" s="367" customFormat="1" ht="10.5" customHeight="1"/>
    <row r="137" s="367" customFormat="1" ht="10.5" customHeight="1"/>
    <row r="138" s="367" customFormat="1" ht="10.5" customHeight="1"/>
    <row r="139" s="367" customFormat="1" ht="10.5" customHeight="1"/>
    <row r="140" s="367" customFormat="1" ht="10.5" customHeight="1"/>
    <row r="141" s="367" customFormat="1" ht="10.5" customHeight="1"/>
    <row r="142" s="367" customFormat="1" ht="10.5" customHeight="1"/>
    <row r="143" s="367" customFormat="1" ht="10.5" customHeight="1"/>
    <row r="144" s="367" customFormat="1" ht="10.5" customHeight="1"/>
    <row r="145" s="367" customFormat="1" ht="10.5" customHeight="1"/>
    <row r="146" s="367" customFormat="1" ht="10.5" customHeight="1"/>
    <row r="147" s="367" customFormat="1" ht="10.5" customHeight="1"/>
    <row r="148" s="367" customFormat="1" ht="10.5" customHeight="1"/>
    <row r="149" s="367" customFormat="1" ht="10.5" customHeight="1"/>
    <row r="150" s="367" customFormat="1" ht="10.5" customHeight="1"/>
    <row r="151" s="367" customFormat="1" ht="10.5" customHeight="1"/>
    <row r="152" s="367" customFormat="1" ht="10.5" customHeight="1"/>
    <row r="153" s="367" customFormat="1" ht="10.5" customHeight="1"/>
    <row r="154" s="367" customFormat="1" ht="10.5" customHeight="1"/>
    <row r="155" s="367" customFormat="1" ht="10.5" customHeight="1"/>
    <row r="156" s="367" customFormat="1" ht="10.5" customHeight="1"/>
    <row r="157" s="367" customFormat="1" ht="10.5" customHeight="1"/>
    <row r="158" s="367" customFormat="1" ht="10.5" customHeight="1"/>
    <row r="159" s="367" customFormat="1" ht="10.5" customHeight="1"/>
    <row r="160" s="367" customFormat="1" ht="10.5" customHeight="1"/>
    <row r="161" s="367" customFormat="1" ht="10.5" customHeight="1"/>
    <row r="162" s="367" customFormat="1" ht="10.5" customHeight="1"/>
    <row r="163" s="367" customFormat="1" ht="10.5" customHeight="1"/>
    <row r="164" s="367" customFormat="1" ht="8.25"/>
    <row r="165" s="367" customFormat="1" ht="8.25"/>
    <row r="166" s="367" customFormat="1" ht="8.25"/>
    <row r="167" s="367" customFormat="1" ht="8.25"/>
    <row r="168" s="367" customFormat="1" ht="8.25"/>
    <row r="169" s="367" customFormat="1" ht="8.25"/>
    <row r="170" s="367" customFormat="1" ht="8.25"/>
    <row r="171" s="367" customFormat="1" ht="8.25"/>
    <row r="172" s="367" customFormat="1" ht="8.25"/>
    <row r="173" s="367" customFormat="1" ht="8.25"/>
    <row r="174" s="367" customFormat="1" ht="8.25"/>
    <row r="175" s="367" customFormat="1" ht="8.25"/>
    <row r="176" s="367" customFormat="1" ht="8.25"/>
    <row r="177" s="367" customFormat="1" ht="8.25"/>
    <row r="178" s="367" customFormat="1" ht="8.25"/>
    <row r="179" s="367" customFormat="1" ht="8.25"/>
    <row r="180" s="367" customFormat="1" ht="8.25"/>
    <row r="181" s="367" customFormat="1" ht="8.25"/>
    <row r="182" s="367" customFormat="1" ht="8.25"/>
    <row r="183" s="367" customFormat="1" ht="8.25"/>
    <row r="184" s="367" customFormat="1" ht="8.25"/>
  </sheetData>
  <mergeCells count="3">
    <mergeCell ref="A2:A5"/>
    <mergeCell ref="B2:B5"/>
    <mergeCell ref="C2:F2"/>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2019&amp;C21&amp;R&amp;7Dirección Ejecutiva
Sub Dirección de Gestión de Información</oddFooter>
  </headerFooter>
  <rowBreaks count="1" manualBreakCount="1">
    <brk id="71"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K114"/>
  <sheetViews>
    <sheetView showGridLines="0" view="pageBreakPreview" zoomScale="120" zoomScaleNormal="100" zoomScaleSheetLayoutView="120" zoomScalePageLayoutView="160" workbookViewId="0">
      <selection activeCell="E43" sqref="E43"/>
    </sheetView>
  </sheetViews>
  <sheetFormatPr defaultColWidth="9.33203125" defaultRowHeight="9"/>
  <cols>
    <col min="1" max="1" width="28.6640625" style="287" customWidth="1"/>
    <col min="2" max="2" width="22.1640625" style="287" customWidth="1"/>
    <col min="3" max="4" width="17.6640625" style="287" customWidth="1"/>
    <col min="5" max="5" width="15.1640625" style="287" customWidth="1"/>
    <col min="6" max="6" width="13.33203125" style="287" customWidth="1"/>
    <col min="7" max="7" width="6.33203125" style="287" customWidth="1"/>
    <col min="8" max="16384" width="9.33203125" style="287"/>
  </cols>
  <sheetData>
    <row r="1" spans="1:11" s="367" customFormat="1" ht="11.25" customHeight="1">
      <c r="A1" s="982" t="s">
        <v>269</v>
      </c>
      <c r="B1" s="983" t="s">
        <v>56</v>
      </c>
      <c r="C1" s="983" t="s">
        <v>423</v>
      </c>
      <c r="D1" s="983"/>
      <c r="E1" s="983"/>
      <c r="F1" s="984"/>
      <c r="G1" s="519"/>
    </row>
    <row r="2" spans="1:11" s="367" customFormat="1" ht="11.25" customHeight="1">
      <c r="A2" s="976"/>
      <c r="B2" s="979"/>
      <c r="C2" s="603" t="str">
        <f>+'21. ANEXOII-1'!C3</f>
        <v>FEBRERO 2019</v>
      </c>
      <c r="D2" s="604" t="str">
        <f>+'21. ANEXOII-1'!D3</f>
        <v>FEBRERO 2018</v>
      </c>
      <c r="E2" s="605" t="s">
        <v>571</v>
      </c>
      <c r="F2" s="828" t="s">
        <v>819</v>
      </c>
      <c r="G2" s="520"/>
      <c r="H2" s="519"/>
    </row>
    <row r="3" spans="1:11" s="367" customFormat="1" ht="11.25" customHeight="1">
      <c r="A3" s="976"/>
      <c r="B3" s="979"/>
      <c r="C3" s="606">
        <f>+'8. Max Potencia'!D8</f>
        <v>43500.833333333336</v>
      </c>
      <c r="D3" s="606">
        <f>+'8. Max Potencia'!E8</f>
        <v>43144.8125</v>
      </c>
      <c r="E3" s="606">
        <v>43494.833333333336</v>
      </c>
      <c r="F3" s="829" t="s">
        <v>420</v>
      </c>
      <c r="G3" s="521"/>
      <c r="H3" s="519"/>
    </row>
    <row r="4" spans="1:11" s="367" customFormat="1" ht="11.25" customHeight="1">
      <c r="A4" s="977"/>
      <c r="B4" s="980"/>
      <c r="C4" s="607">
        <f>+'8. Max Potencia'!D9</f>
        <v>43500.833333333336</v>
      </c>
      <c r="D4" s="607">
        <f>+'8. Max Potencia'!E9</f>
        <v>43144.8125</v>
      </c>
      <c r="E4" s="607">
        <v>43494.833333333336</v>
      </c>
      <c r="F4" s="830" t="s">
        <v>421</v>
      </c>
      <c r="G4" s="521"/>
      <c r="H4" s="523"/>
    </row>
    <row r="5" spans="1:11" s="367" customFormat="1" ht="10.5" customHeight="1">
      <c r="A5" s="804" t="s">
        <v>101</v>
      </c>
      <c r="B5" s="367" t="s">
        <v>783</v>
      </c>
      <c r="C5" s="518">
        <v>0</v>
      </c>
      <c r="D5" s="518">
        <v>0</v>
      </c>
      <c r="E5" s="518">
        <v>0</v>
      </c>
      <c r="F5" s="834" t="str">
        <f t="shared" ref="F5:F36" si="0">+IF(D5=0,"",C5/D5-1)</f>
        <v/>
      </c>
      <c r="J5" s="657"/>
      <c r="K5" s="657"/>
    </row>
    <row r="6" spans="1:11" s="367" customFormat="1" ht="10.5" customHeight="1">
      <c r="A6" s="804"/>
      <c r="B6" s="367" t="s">
        <v>782</v>
      </c>
      <c r="C6" s="518">
        <v>124.72123000000001</v>
      </c>
      <c r="D6" s="518">
        <v>11.760109999999999</v>
      </c>
      <c r="E6" s="518">
        <v>57.290199999999999</v>
      </c>
      <c r="F6" s="834">
        <f t="shared" si="0"/>
        <v>9.605447568092476</v>
      </c>
      <c r="J6" s="657"/>
      <c r="K6" s="657"/>
    </row>
    <row r="7" spans="1:11" s="367" customFormat="1" ht="10.5" customHeight="1">
      <c r="A7" s="802" t="s">
        <v>352</v>
      </c>
      <c r="B7" s="621"/>
      <c r="C7" s="623">
        <v>124.72123000000001</v>
      </c>
      <c r="D7" s="623">
        <v>11.760109999999999</v>
      </c>
      <c r="E7" s="623">
        <v>57.290199999999999</v>
      </c>
      <c r="F7" s="832">
        <f t="shared" si="0"/>
        <v>9.605447568092476</v>
      </c>
      <c r="J7" s="657"/>
      <c r="K7" s="657"/>
    </row>
    <row r="8" spans="1:11" s="367" customFormat="1" ht="10.5" customHeight="1">
      <c r="A8" s="804" t="s">
        <v>100</v>
      </c>
      <c r="B8" s="367" t="s">
        <v>80</v>
      </c>
      <c r="C8" s="518">
        <v>18.984220000000001</v>
      </c>
      <c r="D8" s="518">
        <v>44.44444</v>
      </c>
      <c r="E8" s="518">
        <v>37.825000000000003</v>
      </c>
      <c r="F8" s="834">
        <f t="shared" si="0"/>
        <v>-0.57285500728550076</v>
      </c>
    </row>
    <row r="9" spans="1:11" s="367" customFormat="1" ht="10.5" customHeight="1">
      <c r="A9" s="804"/>
      <c r="B9" s="367" t="s">
        <v>82</v>
      </c>
      <c r="C9" s="518">
        <v>0</v>
      </c>
      <c r="D9" s="518">
        <v>15.65616</v>
      </c>
      <c r="E9" s="518">
        <v>4.7073900000000002</v>
      </c>
      <c r="F9" s="834">
        <f t="shared" si="0"/>
        <v>-1</v>
      </c>
    </row>
    <row r="10" spans="1:11" s="367" customFormat="1" ht="10.5" customHeight="1">
      <c r="A10" s="802" t="s">
        <v>353</v>
      </c>
      <c r="B10" s="621"/>
      <c r="C10" s="623">
        <v>18.984220000000001</v>
      </c>
      <c r="D10" s="623">
        <v>60.1006</v>
      </c>
      <c r="E10" s="623">
        <v>42.532390000000007</v>
      </c>
      <c r="F10" s="832">
        <f t="shared" si="0"/>
        <v>-0.68412594882580202</v>
      </c>
    </row>
    <row r="11" spans="1:11" s="367" customFormat="1" ht="10.5" customHeight="1">
      <c r="A11" s="815" t="s">
        <v>90</v>
      </c>
      <c r="B11" s="726" t="s">
        <v>354</v>
      </c>
      <c r="C11" s="727">
        <v>108.27829</v>
      </c>
      <c r="D11" s="727">
        <v>106.03411</v>
      </c>
      <c r="E11" s="727">
        <v>108.30726</v>
      </c>
      <c r="F11" s="835">
        <f t="shared" si="0"/>
        <v>2.1164698793624037E-2</v>
      </c>
      <c r="J11" s="657"/>
      <c r="K11" s="657"/>
    </row>
    <row r="12" spans="1:11" s="367" customFormat="1" ht="10.5" customHeight="1">
      <c r="A12" s="815"/>
      <c r="B12" s="726" t="s">
        <v>355</v>
      </c>
      <c r="C12" s="727">
        <v>130.93182999999999</v>
      </c>
      <c r="D12" s="727">
        <v>132.10744</v>
      </c>
      <c r="E12" s="727">
        <v>130.46087</v>
      </c>
      <c r="F12" s="835">
        <f t="shared" si="0"/>
        <v>-8.8988932038952528E-3</v>
      </c>
      <c r="J12" s="657"/>
      <c r="K12" s="657"/>
    </row>
    <row r="13" spans="1:11" s="367" customFormat="1" ht="10.5" customHeight="1">
      <c r="A13" s="815"/>
      <c r="B13" s="726" t="s">
        <v>356</v>
      </c>
      <c r="C13" s="727">
        <v>324.68556000000001</v>
      </c>
      <c r="D13" s="727">
        <v>230.32135999999997</v>
      </c>
      <c r="E13" s="727">
        <v>549.95479999999998</v>
      </c>
      <c r="F13" s="835">
        <f t="shared" si="0"/>
        <v>0.40970668113456798</v>
      </c>
      <c r="J13" s="657"/>
      <c r="K13" s="657"/>
    </row>
    <row r="14" spans="1:11" s="367" customFormat="1" ht="10.5" customHeight="1">
      <c r="A14" s="815"/>
      <c r="B14" s="726" t="s">
        <v>357</v>
      </c>
      <c r="C14" s="727">
        <v>68.80189</v>
      </c>
      <c r="D14" s="727">
        <v>0</v>
      </c>
      <c r="E14" s="727">
        <v>69.834519999999998</v>
      </c>
      <c r="F14" s="835" t="str">
        <f t="shared" si="0"/>
        <v/>
      </c>
      <c r="J14" s="657"/>
      <c r="K14" s="657"/>
    </row>
    <row r="15" spans="1:11" s="367" customFormat="1" ht="10.5" customHeight="1">
      <c r="A15" s="815"/>
      <c r="B15" s="726" t="s">
        <v>358</v>
      </c>
      <c r="C15" s="727">
        <v>87.364310000000003</v>
      </c>
      <c r="D15" s="727">
        <v>114.58541</v>
      </c>
      <c r="E15" s="727">
        <v>0</v>
      </c>
      <c r="F15" s="835">
        <f t="shared" si="0"/>
        <v>-0.2375616581552572</v>
      </c>
      <c r="J15" s="657"/>
      <c r="K15" s="657"/>
    </row>
    <row r="16" spans="1:11" s="367" customFormat="1" ht="10.5" customHeight="1">
      <c r="A16" s="815"/>
      <c r="B16" s="726" t="s">
        <v>359</v>
      </c>
      <c r="C16" s="727">
        <v>0</v>
      </c>
      <c r="D16" s="727">
        <v>0</v>
      </c>
      <c r="E16" s="727">
        <v>0</v>
      </c>
      <c r="F16" s="835" t="str">
        <f t="shared" si="0"/>
        <v/>
      </c>
      <c r="J16" s="657"/>
      <c r="K16" s="657"/>
    </row>
    <row r="17" spans="1:11" s="367" customFormat="1" ht="10.5" customHeight="1">
      <c r="A17" s="815"/>
      <c r="B17" s="726" t="s">
        <v>360</v>
      </c>
      <c r="C17" s="727">
        <v>0</v>
      </c>
      <c r="D17" s="727">
        <v>0</v>
      </c>
      <c r="E17" s="727">
        <v>0</v>
      </c>
      <c r="F17" s="835" t="str">
        <f t="shared" si="0"/>
        <v/>
      </c>
      <c r="J17" s="657"/>
      <c r="K17" s="657"/>
    </row>
    <row r="18" spans="1:11" s="367" customFormat="1" ht="10.5" customHeight="1">
      <c r="A18" s="815"/>
      <c r="B18" s="726" t="s">
        <v>784</v>
      </c>
      <c r="C18" s="727">
        <v>0</v>
      </c>
      <c r="D18" s="727">
        <v>0</v>
      </c>
      <c r="E18" s="727">
        <v>0</v>
      </c>
      <c r="F18" s="835" t="str">
        <f t="shared" si="0"/>
        <v/>
      </c>
      <c r="J18" s="657"/>
      <c r="K18" s="657"/>
    </row>
    <row r="19" spans="1:11" s="367" customFormat="1" ht="10.5" customHeight="1">
      <c r="A19" s="802" t="s">
        <v>361</v>
      </c>
      <c r="B19" s="621"/>
      <c r="C19" s="623">
        <v>720.06187999999997</v>
      </c>
      <c r="D19" s="623">
        <v>583.04831999999999</v>
      </c>
      <c r="E19" s="623">
        <v>858.5574499999999</v>
      </c>
      <c r="F19" s="832">
        <f t="shared" si="0"/>
        <v>0.23499520588619482</v>
      </c>
      <c r="J19" s="657"/>
      <c r="K19" s="657"/>
    </row>
    <row r="20" spans="1:11" s="367" customFormat="1" ht="10.5" customHeight="1">
      <c r="A20" s="815" t="s">
        <v>257</v>
      </c>
      <c r="B20" s="728" t="s">
        <v>362</v>
      </c>
      <c r="C20" s="730">
        <v>544.80962999999997</v>
      </c>
      <c r="D20" s="730">
        <v>0</v>
      </c>
      <c r="E20" s="730">
        <v>543.99379999999996</v>
      </c>
      <c r="F20" s="836" t="str">
        <f t="shared" si="0"/>
        <v/>
      </c>
      <c r="J20" s="657"/>
      <c r="K20" s="657"/>
    </row>
    <row r="21" spans="1:11" s="367" customFormat="1" ht="10.5" customHeight="1">
      <c r="A21" s="802" t="s">
        <v>363</v>
      </c>
      <c r="B21" s="621"/>
      <c r="C21" s="623">
        <v>544.80962999999997</v>
      </c>
      <c r="D21" s="623">
        <v>0</v>
      </c>
      <c r="E21" s="623">
        <v>543.99379999999996</v>
      </c>
      <c r="F21" s="832" t="str">
        <f t="shared" si="0"/>
        <v/>
      </c>
      <c r="J21" s="657"/>
      <c r="K21" s="657"/>
    </row>
    <row r="22" spans="1:11" s="367" customFormat="1" ht="10.5" customHeight="1">
      <c r="A22" s="815" t="s">
        <v>111</v>
      </c>
      <c r="B22" s="728" t="s">
        <v>68</v>
      </c>
      <c r="C22" s="730">
        <v>3.516</v>
      </c>
      <c r="D22" s="730">
        <v>8.9586500000000004</v>
      </c>
      <c r="E22" s="730">
        <v>0</v>
      </c>
      <c r="F22" s="836">
        <f t="shared" si="0"/>
        <v>-0.60753015242251895</v>
      </c>
      <c r="J22" s="657"/>
      <c r="K22" s="657"/>
    </row>
    <row r="23" spans="1:11" s="367" customFormat="1" ht="10.5" customHeight="1">
      <c r="A23" s="815"/>
      <c r="B23" s="726" t="s">
        <v>507</v>
      </c>
      <c r="C23" s="727">
        <v>9.9194300000000002</v>
      </c>
      <c r="D23" s="727"/>
      <c r="E23" s="727">
        <v>9.9958100000000005</v>
      </c>
      <c r="F23" s="835" t="str">
        <f t="shared" si="0"/>
        <v/>
      </c>
      <c r="J23" s="657"/>
      <c r="K23" s="657"/>
    </row>
    <row r="24" spans="1:11" s="367" customFormat="1" ht="10.5" customHeight="1">
      <c r="A24" s="815"/>
      <c r="B24" s="726" t="s">
        <v>505</v>
      </c>
      <c r="C24" s="727">
        <v>9.9403900000000007</v>
      </c>
      <c r="D24" s="727"/>
      <c r="E24" s="727">
        <v>9.9092699999999994</v>
      </c>
      <c r="F24" s="835" t="str">
        <f t="shared" si="0"/>
        <v/>
      </c>
      <c r="J24" s="657"/>
      <c r="K24" s="657"/>
    </row>
    <row r="25" spans="1:11" s="367" customFormat="1" ht="10.5" customHeight="1">
      <c r="A25" s="815"/>
      <c r="B25" s="726" t="s">
        <v>506</v>
      </c>
      <c r="C25" s="727">
        <v>9.29406</v>
      </c>
      <c r="D25" s="727"/>
      <c r="E25" s="727">
        <v>9.4532399999999992</v>
      </c>
      <c r="F25" s="835" t="str">
        <f t="shared" si="0"/>
        <v/>
      </c>
      <c r="J25" s="657"/>
      <c r="K25" s="657"/>
    </row>
    <row r="26" spans="1:11" s="367" customFormat="1" ht="10.5" customHeight="1">
      <c r="A26" s="802" t="s">
        <v>364</v>
      </c>
      <c r="B26" s="621"/>
      <c r="C26" s="623">
        <v>32.669879999999999</v>
      </c>
      <c r="D26" s="623">
        <v>8.9586500000000004</v>
      </c>
      <c r="E26" s="623">
        <v>29.358319999999999</v>
      </c>
      <c r="F26" s="832">
        <f t="shared" si="0"/>
        <v>2.6467414175126831</v>
      </c>
      <c r="J26" s="657"/>
      <c r="K26" s="657"/>
    </row>
    <row r="27" spans="1:11" s="367" customFormat="1" ht="10.5" customHeight="1">
      <c r="A27" s="815" t="s">
        <v>114</v>
      </c>
      <c r="B27" s="728" t="s">
        <v>250</v>
      </c>
      <c r="C27" s="730">
        <v>0</v>
      </c>
      <c r="D27" s="730">
        <v>0</v>
      </c>
      <c r="E27" s="730">
        <v>0</v>
      </c>
      <c r="F27" s="836" t="str">
        <f t="shared" si="0"/>
        <v/>
      </c>
      <c r="J27" s="657"/>
      <c r="K27" s="657"/>
    </row>
    <row r="28" spans="1:11" s="367" customFormat="1" ht="10.5" customHeight="1">
      <c r="A28" s="802" t="s">
        <v>365</v>
      </c>
      <c r="B28" s="621"/>
      <c r="C28" s="623">
        <v>0</v>
      </c>
      <c r="D28" s="623">
        <v>0</v>
      </c>
      <c r="E28" s="623">
        <v>0</v>
      </c>
      <c r="F28" s="832" t="str">
        <f t="shared" si="0"/>
        <v/>
      </c>
      <c r="J28" s="657"/>
      <c r="K28" s="657"/>
    </row>
    <row r="29" spans="1:11" s="367" customFormat="1" ht="10.5" customHeight="1">
      <c r="A29" s="815" t="s">
        <v>115</v>
      </c>
      <c r="B29" s="728" t="s">
        <v>85</v>
      </c>
      <c r="C29" s="730">
        <v>0</v>
      </c>
      <c r="D29" s="730">
        <v>0</v>
      </c>
      <c r="E29" s="730">
        <v>0</v>
      </c>
      <c r="F29" s="836" t="str">
        <f t="shared" si="0"/>
        <v/>
      </c>
      <c r="J29" s="657"/>
      <c r="K29" s="657"/>
    </row>
    <row r="30" spans="1:11" s="367" customFormat="1" ht="10.5" customHeight="1">
      <c r="A30" s="802" t="s">
        <v>366</v>
      </c>
      <c r="B30" s="621"/>
      <c r="C30" s="623">
        <v>0</v>
      </c>
      <c r="D30" s="623">
        <v>0</v>
      </c>
      <c r="E30" s="623">
        <v>0</v>
      </c>
      <c r="F30" s="832" t="str">
        <f t="shared" si="0"/>
        <v/>
      </c>
      <c r="J30" s="657"/>
      <c r="K30" s="657"/>
    </row>
    <row r="31" spans="1:11" s="367" customFormat="1" ht="10.5" customHeight="1">
      <c r="A31" s="815" t="s">
        <v>119</v>
      </c>
      <c r="B31" s="728" t="s">
        <v>76</v>
      </c>
      <c r="C31" s="730">
        <v>3.6</v>
      </c>
      <c r="D31" s="730">
        <v>3.2</v>
      </c>
      <c r="E31" s="730">
        <v>3.6</v>
      </c>
      <c r="F31" s="836">
        <f t="shared" si="0"/>
        <v>0.125</v>
      </c>
      <c r="J31" s="657"/>
      <c r="K31" s="657"/>
    </row>
    <row r="32" spans="1:11" s="367" customFormat="1" ht="10.5" customHeight="1">
      <c r="A32" s="802" t="s">
        <v>367</v>
      </c>
      <c r="B32" s="621"/>
      <c r="C32" s="623">
        <v>3.6</v>
      </c>
      <c r="D32" s="623">
        <v>3.2</v>
      </c>
      <c r="E32" s="623">
        <v>3.6</v>
      </c>
      <c r="F32" s="832">
        <f t="shared" si="0"/>
        <v>0.125</v>
      </c>
      <c r="J32" s="657"/>
      <c r="K32" s="657"/>
    </row>
    <row r="33" spans="1:11" s="367" customFormat="1" ht="10.5" customHeight="1">
      <c r="A33" s="815" t="s">
        <v>106</v>
      </c>
      <c r="B33" s="728" t="s">
        <v>368</v>
      </c>
      <c r="C33" s="730">
        <v>19.235999999999997</v>
      </c>
      <c r="D33" s="730">
        <v>19.404</v>
      </c>
      <c r="E33" s="730">
        <v>17.059999999999999</v>
      </c>
      <c r="F33" s="836">
        <f t="shared" si="0"/>
        <v>-8.6580086580088089E-3</v>
      </c>
      <c r="J33" s="657"/>
      <c r="K33" s="657"/>
    </row>
    <row r="34" spans="1:11" s="367" customFormat="1" ht="10.5" customHeight="1">
      <c r="A34" s="802" t="s">
        <v>369</v>
      </c>
      <c r="B34" s="621"/>
      <c r="C34" s="623">
        <v>19.235999999999997</v>
      </c>
      <c r="D34" s="623">
        <v>19.404</v>
      </c>
      <c r="E34" s="623">
        <v>17.059999999999999</v>
      </c>
      <c r="F34" s="832">
        <f t="shared" si="0"/>
        <v>-8.6580086580088089E-3</v>
      </c>
      <c r="J34" s="657"/>
      <c r="K34" s="657"/>
    </row>
    <row r="35" spans="1:11" s="367" customFormat="1" ht="10.5" customHeight="1">
      <c r="A35" s="815" t="s">
        <v>541</v>
      </c>
      <c r="B35" s="728" t="s">
        <v>370</v>
      </c>
      <c r="C35" s="730">
        <v>18.984090000000002</v>
      </c>
      <c r="D35" s="730">
        <v>19.47803</v>
      </c>
      <c r="E35" s="730">
        <v>18.974550000000001</v>
      </c>
      <c r="F35" s="836">
        <f t="shared" si="0"/>
        <v>-2.5358827355743796E-2</v>
      </c>
      <c r="J35" s="657"/>
      <c r="K35" s="657"/>
    </row>
    <row r="36" spans="1:11" s="367" customFormat="1" ht="18" customHeight="1">
      <c r="A36" s="802" t="s">
        <v>535</v>
      </c>
      <c r="B36" s="621"/>
      <c r="C36" s="623">
        <v>18.984090000000002</v>
      </c>
      <c r="D36" s="623">
        <v>19.47803</v>
      </c>
      <c r="E36" s="623">
        <v>18.974550000000001</v>
      </c>
      <c r="F36" s="832">
        <f t="shared" si="0"/>
        <v>-2.5358827355743796E-2</v>
      </c>
      <c r="J36" s="657"/>
      <c r="K36" s="657"/>
    </row>
    <row r="37" spans="1:11" s="367" customFormat="1" ht="10.5" customHeight="1">
      <c r="A37" s="815" t="s">
        <v>258</v>
      </c>
      <c r="B37" s="728" t="s">
        <v>61</v>
      </c>
      <c r="C37" s="730">
        <v>0</v>
      </c>
      <c r="D37" s="730">
        <v>19.009140000000002</v>
      </c>
      <c r="E37" s="730">
        <v>18.464480000000002</v>
      </c>
      <c r="F37" s="836">
        <f t="shared" ref="F37:F70" si="1">+IF(D37=0,"",C37/D37-1)</f>
        <v>-1</v>
      </c>
      <c r="J37" s="657"/>
      <c r="K37" s="657"/>
    </row>
    <row r="38" spans="1:11" s="367" customFormat="1" ht="10.5" customHeight="1">
      <c r="A38" s="802" t="s">
        <v>371</v>
      </c>
      <c r="B38" s="621"/>
      <c r="C38" s="623">
        <v>0</v>
      </c>
      <c r="D38" s="623">
        <v>19.009140000000002</v>
      </c>
      <c r="E38" s="623">
        <v>18.464480000000002</v>
      </c>
      <c r="F38" s="832">
        <f t="shared" si="1"/>
        <v>-1</v>
      </c>
      <c r="J38" s="657"/>
      <c r="K38" s="657"/>
    </row>
    <row r="39" spans="1:11" s="367" customFormat="1" ht="10.5" customHeight="1">
      <c r="A39" s="815" t="s">
        <v>504</v>
      </c>
      <c r="B39" s="728" t="s">
        <v>810</v>
      </c>
      <c r="C39" s="730">
        <v>0.96699999999999997</v>
      </c>
      <c r="D39" s="730"/>
      <c r="E39" s="730">
        <v>1.0049999999999999</v>
      </c>
      <c r="F39" s="836" t="str">
        <f t="shared" si="1"/>
        <v/>
      </c>
      <c r="J39" s="657"/>
      <c r="K39" s="657"/>
    </row>
    <row r="40" spans="1:11" s="367" customFormat="1" ht="10.5" customHeight="1">
      <c r="A40" s="802" t="s">
        <v>509</v>
      </c>
      <c r="B40" s="621"/>
      <c r="C40" s="623">
        <v>0.96699999999999997</v>
      </c>
      <c r="D40" s="623"/>
      <c r="E40" s="623">
        <v>1.0049999999999999</v>
      </c>
      <c r="F40" s="832" t="str">
        <f t="shared" si="1"/>
        <v/>
      </c>
      <c r="J40" s="657"/>
      <c r="K40" s="657"/>
    </row>
    <row r="41" spans="1:11" s="367" customFormat="1" ht="10.5" customHeight="1">
      <c r="A41" s="815" t="s">
        <v>789</v>
      </c>
      <c r="B41" s="728" t="s">
        <v>813</v>
      </c>
      <c r="C41" s="730">
        <v>92.071020000000004</v>
      </c>
      <c r="D41" s="730">
        <v>89.974540000000005</v>
      </c>
      <c r="E41" s="730">
        <v>91.450299999999999</v>
      </c>
      <c r="F41" s="836">
        <f t="shared" si="1"/>
        <v>2.3300813763537986E-2</v>
      </c>
      <c r="J41" s="657"/>
      <c r="K41" s="657"/>
    </row>
    <row r="42" spans="1:11" s="367" customFormat="1" ht="10.5" customHeight="1">
      <c r="A42" s="802" t="s">
        <v>814</v>
      </c>
      <c r="B42" s="621"/>
      <c r="C42" s="623">
        <v>92.071020000000004</v>
      </c>
      <c r="D42" s="623">
        <v>89.974540000000005</v>
      </c>
      <c r="E42" s="623">
        <v>91.450299999999999</v>
      </c>
      <c r="F42" s="832">
        <f t="shared" si="1"/>
        <v>2.3300813763537986E-2</v>
      </c>
      <c r="J42" s="657"/>
      <c r="K42" s="657"/>
    </row>
    <row r="43" spans="1:11" s="367" customFormat="1" ht="10.5" customHeight="1">
      <c r="A43" s="815" t="s">
        <v>121</v>
      </c>
      <c r="B43" s="726" t="s">
        <v>372</v>
      </c>
      <c r="C43" s="727">
        <v>0</v>
      </c>
      <c r="D43" s="727">
        <v>0</v>
      </c>
      <c r="E43" s="727">
        <v>0</v>
      </c>
      <c r="F43" s="835" t="str">
        <f t="shared" si="1"/>
        <v/>
      </c>
      <c r="J43" s="657"/>
      <c r="K43" s="657"/>
    </row>
    <row r="44" spans="1:11" s="367" customFormat="1" ht="10.5" customHeight="1">
      <c r="A44" s="815"/>
      <c r="B44" s="728" t="s">
        <v>373</v>
      </c>
      <c r="C44" s="730">
        <v>0</v>
      </c>
      <c r="D44" s="730">
        <v>0</v>
      </c>
      <c r="E44" s="730">
        <v>0</v>
      </c>
      <c r="F44" s="836" t="str">
        <f t="shared" si="1"/>
        <v/>
      </c>
      <c r="J44" s="657"/>
      <c r="K44" s="657"/>
    </row>
    <row r="45" spans="1:11" s="367" customFormat="1" ht="10.5" customHeight="1">
      <c r="A45" s="802" t="s">
        <v>374</v>
      </c>
      <c r="B45" s="621"/>
      <c r="C45" s="623">
        <v>0</v>
      </c>
      <c r="D45" s="623">
        <v>0</v>
      </c>
      <c r="E45" s="623">
        <v>0</v>
      </c>
      <c r="F45" s="832" t="str">
        <f t="shared" si="1"/>
        <v/>
      </c>
      <c r="J45" s="657"/>
      <c r="K45" s="657"/>
    </row>
    <row r="46" spans="1:11" s="367" customFormat="1" ht="10.5" customHeight="1">
      <c r="A46" s="815" t="s">
        <v>498</v>
      </c>
      <c r="B46" s="726" t="s">
        <v>375</v>
      </c>
      <c r="C46" s="727">
        <v>453.32312000000002</v>
      </c>
      <c r="D46" s="727">
        <v>766.56121999999993</v>
      </c>
      <c r="E46" s="727">
        <v>210.94431</v>
      </c>
      <c r="F46" s="835">
        <f t="shared" si="1"/>
        <v>-0.40862763707248317</v>
      </c>
      <c r="J46" s="657"/>
      <c r="K46" s="657"/>
    </row>
    <row r="47" spans="1:11" s="367" customFormat="1" ht="10.5" customHeight="1">
      <c r="A47" s="815"/>
      <c r="B47" s="726" t="s">
        <v>376</v>
      </c>
      <c r="C47" s="727">
        <v>178.00533999999999</v>
      </c>
      <c r="D47" s="727">
        <v>173.97845000000001</v>
      </c>
      <c r="E47" s="727">
        <v>120.95048</v>
      </c>
      <c r="F47" s="835">
        <f t="shared" si="1"/>
        <v>2.3145912611590491E-2</v>
      </c>
      <c r="J47" s="657"/>
      <c r="K47" s="657"/>
    </row>
    <row r="48" spans="1:11" s="367" customFormat="1" ht="10.5" customHeight="1">
      <c r="A48" s="815"/>
      <c r="B48" s="726" t="s">
        <v>811</v>
      </c>
      <c r="C48" s="727">
        <v>529.83857999999998</v>
      </c>
      <c r="D48" s="727">
        <v>517.81934999999999</v>
      </c>
      <c r="E48" s="727">
        <v>530.13085999999998</v>
      </c>
      <c r="F48" s="835">
        <f t="shared" si="1"/>
        <v>2.3211241526605697E-2</v>
      </c>
      <c r="J48" s="657"/>
      <c r="K48" s="657"/>
    </row>
    <row r="49" spans="1:11" s="367" customFormat="1" ht="10.5" customHeight="1">
      <c r="A49" s="815"/>
      <c r="B49" s="728" t="s">
        <v>377</v>
      </c>
      <c r="C49" s="730">
        <v>10.148059999999999</v>
      </c>
      <c r="D49" s="730">
        <v>10.319739999999999</v>
      </c>
      <c r="E49" s="730">
        <v>10.152290000000001</v>
      </c>
      <c r="F49" s="836">
        <f t="shared" si="1"/>
        <v>-1.6636078040725866E-2</v>
      </c>
      <c r="J49" s="657"/>
      <c r="K49" s="657"/>
    </row>
    <row r="50" spans="1:11" s="367" customFormat="1" ht="10.5" customHeight="1">
      <c r="A50" s="802" t="s">
        <v>378</v>
      </c>
      <c r="B50" s="621"/>
      <c r="C50" s="623">
        <v>1171.3150999999998</v>
      </c>
      <c r="D50" s="623">
        <v>1468.6787599999998</v>
      </c>
      <c r="E50" s="623">
        <v>872.17794000000004</v>
      </c>
      <c r="F50" s="832">
        <f t="shared" si="1"/>
        <v>-0.20247018483470136</v>
      </c>
      <c r="J50" s="657"/>
      <c r="K50" s="657"/>
    </row>
    <row r="51" spans="1:11" s="367" customFormat="1" ht="10.5" customHeight="1">
      <c r="A51" s="815" t="s">
        <v>120</v>
      </c>
      <c r="B51" s="728" t="s">
        <v>74</v>
      </c>
      <c r="C51" s="730">
        <v>3.1259999999999999</v>
      </c>
      <c r="D51" s="730">
        <v>3.7359999999999998</v>
      </c>
      <c r="E51" s="730">
        <v>2.6109999999999998</v>
      </c>
      <c r="F51" s="836">
        <f t="shared" si="1"/>
        <v>-0.16327623126338331</v>
      </c>
      <c r="J51" s="657"/>
      <c r="K51" s="657"/>
    </row>
    <row r="52" spans="1:11" s="367" customFormat="1" ht="10.5" customHeight="1">
      <c r="A52" s="802" t="s">
        <v>379</v>
      </c>
      <c r="B52" s="621"/>
      <c r="C52" s="623">
        <v>3.1259999999999999</v>
      </c>
      <c r="D52" s="623">
        <v>3.7359999999999998</v>
      </c>
      <c r="E52" s="623">
        <v>2.6109999999999998</v>
      </c>
      <c r="F52" s="832">
        <f t="shared" si="1"/>
        <v>-0.16327623126338331</v>
      </c>
      <c r="J52" s="657"/>
      <c r="K52" s="657"/>
    </row>
    <row r="53" spans="1:11" s="367" customFormat="1" ht="10.5" customHeight="1">
      <c r="A53" s="815" t="s">
        <v>113</v>
      </c>
      <c r="B53" s="728" t="s">
        <v>84</v>
      </c>
      <c r="C53" s="730">
        <v>0</v>
      </c>
      <c r="D53" s="730">
        <v>0</v>
      </c>
      <c r="E53" s="730">
        <v>0</v>
      </c>
      <c r="F53" s="836" t="str">
        <f t="shared" si="1"/>
        <v/>
      </c>
      <c r="J53" s="657"/>
      <c r="K53" s="657"/>
    </row>
    <row r="54" spans="1:11" s="367" customFormat="1" ht="10.5" customHeight="1">
      <c r="A54" s="802" t="s">
        <v>380</v>
      </c>
      <c r="B54" s="621"/>
      <c r="C54" s="623">
        <v>0</v>
      </c>
      <c r="D54" s="623">
        <v>0</v>
      </c>
      <c r="E54" s="623">
        <v>0</v>
      </c>
      <c r="F54" s="832" t="str">
        <f t="shared" si="1"/>
        <v/>
      </c>
      <c r="J54" s="657"/>
      <c r="K54" s="657"/>
    </row>
    <row r="55" spans="1:11" s="367" customFormat="1" ht="10.5" customHeight="1">
      <c r="A55" s="815" t="s">
        <v>259</v>
      </c>
      <c r="B55" s="728" t="s">
        <v>73</v>
      </c>
      <c r="C55" s="730">
        <v>5.2050299999999998</v>
      </c>
      <c r="D55" s="730">
        <v>5.0991200000000001</v>
      </c>
      <c r="E55" s="730">
        <v>5.2444600000000001</v>
      </c>
      <c r="F55" s="836">
        <f t="shared" si="1"/>
        <v>2.0770250553036496E-2</v>
      </c>
      <c r="J55" s="657"/>
      <c r="K55" s="657"/>
    </row>
    <row r="56" spans="1:11" s="367" customFormat="1" ht="10.5" customHeight="1">
      <c r="A56" s="815"/>
      <c r="B56" s="726" t="s">
        <v>381</v>
      </c>
      <c r="C56" s="727">
        <v>171.72641999999999</v>
      </c>
      <c r="D56" s="727">
        <v>212.03365000000002</v>
      </c>
      <c r="E56" s="727">
        <v>242.57454999999999</v>
      </c>
      <c r="F56" s="835">
        <f t="shared" si="1"/>
        <v>-0.19009826977934885</v>
      </c>
      <c r="J56" s="657"/>
      <c r="K56" s="657"/>
    </row>
    <row r="57" spans="1:11" s="367" customFormat="1" ht="10.5" customHeight="1">
      <c r="A57" s="815"/>
      <c r="B57" s="726" t="s">
        <v>382</v>
      </c>
      <c r="C57" s="727">
        <v>91.296040000000005</v>
      </c>
      <c r="D57" s="727">
        <v>90.990350000000007</v>
      </c>
      <c r="E57" s="727">
        <v>91.261049999999997</v>
      </c>
      <c r="F57" s="835">
        <f t="shared" si="1"/>
        <v>3.35958703313044E-3</v>
      </c>
      <c r="J57" s="657"/>
      <c r="K57" s="657"/>
    </row>
    <row r="58" spans="1:11" s="367" customFormat="1" ht="10.5" customHeight="1">
      <c r="A58" s="815"/>
      <c r="B58" s="726" t="s">
        <v>64</v>
      </c>
      <c r="C58" s="727">
        <v>8.4485499999999991</v>
      </c>
      <c r="D58" s="727">
        <v>9.9579199999999997</v>
      </c>
      <c r="E58" s="727">
        <v>8.4458800000000007</v>
      </c>
      <c r="F58" s="835">
        <f t="shared" si="1"/>
        <v>-0.15157482687147528</v>
      </c>
      <c r="J58" s="657"/>
      <c r="K58" s="657"/>
    </row>
    <row r="59" spans="1:11" s="367" customFormat="1" ht="10.5" customHeight="1">
      <c r="A59" s="802" t="s">
        <v>383</v>
      </c>
      <c r="B59" s="621"/>
      <c r="C59" s="623">
        <v>276.67604</v>
      </c>
      <c r="D59" s="623">
        <v>318.08104000000003</v>
      </c>
      <c r="E59" s="623">
        <v>347.52593999999999</v>
      </c>
      <c r="F59" s="832">
        <f t="shared" si="1"/>
        <v>-0.13017122931942127</v>
      </c>
      <c r="J59" s="657"/>
      <c r="K59" s="657"/>
    </row>
    <row r="60" spans="1:11" s="367" customFormat="1" ht="10.5" customHeight="1">
      <c r="A60" s="815" t="s">
        <v>260</v>
      </c>
      <c r="B60" s="728" t="s">
        <v>81</v>
      </c>
      <c r="C60" s="730">
        <v>22.2544</v>
      </c>
      <c r="D60" s="730">
        <v>23.36393</v>
      </c>
      <c r="E60" s="730">
        <v>6.7167700000000004</v>
      </c>
      <c r="F60" s="836">
        <f t="shared" si="1"/>
        <v>-4.7489014048578304E-2</v>
      </c>
      <c r="J60" s="657"/>
      <c r="K60" s="657"/>
    </row>
    <row r="61" spans="1:11" s="367" customFormat="1" ht="10.5" customHeight="1">
      <c r="A61" s="802" t="s">
        <v>384</v>
      </c>
      <c r="B61" s="621"/>
      <c r="C61" s="623">
        <v>22.2544</v>
      </c>
      <c r="D61" s="623">
        <v>23.36393</v>
      </c>
      <c r="E61" s="623">
        <v>6.7167700000000004</v>
      </c>
      <c r="F61" s="832">
        <f t="shared" si="1"/>
        <v>-4.7489014048578304E-2</v>
      </c>
      <c r="J61" s="657"/>
      <c r="K61" s="657"/>
    </row>
    <row r="62" spans="1:11" s="367" customFormat="1" ht="10.5" customHeight="1">
      <c r="A62" s="815" t="s">
        <v>102</v>
      </c>
      <c r="B62" s="728" t="s">
        <v>78</v>
      </c>
      <c r="C62" s="730">
        <v>77.499799999999993</v>
      </c>
      <c r="D62" s="730">
        <v>78.918340000000001</v>
      </c>
      <c r="E62" s="730">
        <v>21.95486</v>
      </c>
      <c r="F62" s="836">
        <f t="shared" si="1"/>
        <v>-1.79747825410419E-2</v>
      </c>
      <c r="J62" s="657"/>
      <c r="K62" s="657"/>
    </row>
    <row r="63" spans="1:11" s="367" customFormat="1" ht="10.5" customHeight="1">
      <c r="A63" s="802" t="s">
        <v>385</v>
      </c>
      <c r="B63" s="621"/>
      <c r="C63" s="623">
        <v>77.499799999999993</v>
      </c>
      <c r="D63" s="623">
        <v>78.918340000000001</v>
      </c>
      <c r="E63" s="623">
        <v>21.95486</v>
      </c>
      <c r="F63" s="832">
        <f t="shared" si="1"/>
        <v>-1.79747825410419E-2</v>
      </c>
      <c r="J63" s="657"/>
      <c r="K63" s="657"/>
    </row>
    <row r="64" spans="1:11" s="367" customFormat="1" ht="10.5" customHeight="1">
      <c r="A64" s="815" t="s">
        <v>110</v>
      </c>
      <c r="B64" s="728" t="s">
        <v>249</v>
      </c>
      <c r="C64" s="730">
        <v>0</v>
      </c>
      <c r="D64" s="730">
        <v>0</v>
      </c>
      <c r="E64" s="730">
        <v>0</v>
      </c>
      <c r="F64" s="836" t="str">
        <f t="shared" si="1"/>
        <v/>
      </c>
      <c r="J64" s="657"/>
      <c r="K64" s="657"/>
    </row>
    <row r="65" spans="1:11" s="367" customFormat="1" ht="10.5" customHeight="1">
      <c r="A65" s="802" t="s">
        <v>386</v>
      </c>
      <c r="B65" s="621"/>
      <c r="C65" s="623">
        <v>0</v>
      </c>
      <c r="D65" s="623">
        <v>0</v>
      </c>
      <c r="E65" s="623">
        <v>0</v>
      </c>
      <c r="F65" s="832" t="str">
        <f t="shared" si="1"/>
        <v/>
      </c>
      <c r="J65" s="657"/>
      <c r="K65" s="657"/>
    </row>
    <row r="66" spans="1:11" s="367" customFormat="1" ht="10.5" customHeight="1">
      <c r="A66" s="815" t="s">
        <v>499</v>
      </c>
      <c r="B66" s="728" t="s">
        <v>88</v>
      </c>
      <c r="C66" s="730">
        <v>1.4039600000000001</v>
      </c>
      <c r="D66" s="730">
        <v>1.4519200000000001</v>
      </c>
      <c r="E66" s="730">
        <v>2.7994700000000003</v>
      </c>
      <c r="F66" s="836">
        <f t="shared" si="1"/>
        <v>-3.3032122981982437E-2</v>
      </c>
      <c r="J66" s="657"/>
      <c r="K66" s="657"/>
    </row>
    <row r="67" spans="1:11" s="367" customFormat="1" ht="10.5" customHeight="1">
      <c r="A67" s="815"/>
      <c r="B67" s="726" t="s">
        <v>87</v>
      </c>
      <c r="C67" s="727">
        <v>4.2723499999999994</v>
      </c>
      <c r="D67" s="727">
        <v>4.3682099999999995</v>
      </c>
      <c r="E67" s="727">
        <v>4.2170900000000007</v>
      </c>
      <c r="F67" s="835">
        <f t="shared" si="1"/>
        <v>-2.1944915651949004E-2</v>
      </c>
      <c r="J67" s="657"/>
      <c r="K67" s="657"/>
    </row>
    <row r="68" spans="1:11" s="367" customFormat="1" ht="9" customHeight="1">
      <c r="A68" s="815"/>
      <c r="B68" s="726" t="s">
        <v>785</v>
      </c>
      <c r="C68" s="727">
        <v>2.3988499999999999</v>
      </c>
      <c r="D68" s="727"/>
      <c r="E68" s="727">
        <v>1.19814</v>
      </c>
      <c r="F68" s="835" t="str">
        <f t="shared" si="1"/>
        <v/>
      </c>
      <c r="J68" s="657"/>
      <c r="K68" s="657"/>
    </row>
    <row r="69" spans="1:11" s="367" customFormat="1" ht="10.5" customHeight="1">
      <c r="A69" s="802" t="s">
        <v>387</v>
      </c>
      <c r="B69" s="621"/>
      <c r="C69" s="623">
        <v>8.0751599999999986</v>
      </c>
      <c r="D69" s="623">
        <v>5.8201299999999998</v>
      </c>
      <c r="E69" s="623">
        <v>8.2147000000000006</v>
      </c>
      <c r="F69" s="832">
        <f t="shared" si="1"/>
        <v>0.38745354485209083</v>
      </c>
      <c r="J69" s="657"/>
      <c r="K69" s="657"/>
    </row>
    <row r="70" spans="1:11" s="367" customFormat="1" ht="10.5" customHeight="1">
      <c r="A70" s="815" t="s">
        <v>261</v>
      </c>
      <c r="B70" s="728" t="s">
        <v>388</v>
      </c>
      <c r="C70" s="730">
        <v>0</v>
      </c>
      <c r="D70" s="730">
        <v>0</v>
      </c>
      <c r="E70" s="730">
        <v>0</v>
      </c>
      <c r="F70" s="836" t="str">
        <f t="shared" si="1"/>
        <v/>
      </c>
      <c r="J70" s="657"/>
      <c r="K70" s="657"/>
    </row>
    <row r="71" spans="1:11" s="367" customFormat="1" ht="10.5" customHeight="1">
      <c r="A71" s="807" t="s">
        <v>389</v>
      </c>
      <c r="B71" s="808"/>
      <c r="C71" s="841">
        <v>0</v>
      </c>
      <c r="D71" s="841">
        <v>0</v>
      </c>
      <c r="E71" s="841">
        <v>0</v>
      </c>
      <c r="F71" s="842"/>
    </row>
    <row r="72" spans="1:11" s="367" customFormat="1" ht="10.5" customHeight="1"/>
    <row r="73" spans="1:11" s="367" customFormat="1" ht="10.5" customHeight="1"/>
    <row r="74" spans="1:11" s="367" customFormat="1" ht="10.5" customHeight="1"/>
    <row r="75" spans="1:11" s="367" customFormat="1" ht="10.5" customHeight="1"/>
    <row r="76" spans="1:11" s="367" customFormat="1" ht="10.5" customHeight="1"/>
    <row r="77" spans="1:11" s="367" customFormat="1" ht="10.5" customHeight="1"/>
    <row r="78" spans="1:11" s="367" customFormat="1" ht="10.5" customHeight="1"/>
    <row r="79" spans="1:11" s="367" customFormat="1" ht="10.5" customHeight="1"/>
    <row r="80" spans="1:11" s="367" customFormat="1" ht="10.5" customHeight="1"/>
    <row r="81" s="367" customFormat="1" ht="10.5" customHeight="1"/>
    <row r="82" s="367" customFormat="1" ht="8.25"/>
    <row r="83" s="367" customFormat="1" ht="8.25"/>
    <row r="84" s="367" customFormat="1" ht="8.25"/>
    <row r="85" s="367" customFormat="1" ht="8.25"/>
    <row r="86" s="367" customFormat="1" ht="8.25"/>
    <row r="87" s="367" customFormat="1" ht="8.25"/>
    <row r="88" s="367" customFormat="1" ht="8.25"/>
    <row r="89" s="367" customFormat="1" ht="8.25"/>
    <row r="90" s="367" customFormat="1" ht="8.25"/>
    <row r="91" s="367" customFormat="1" ht="8.25"/>
    <row r="92" s="367" customFormat="1" ht="8.25"/>
    <row r="93" s="367" customFormat="1" ht="8.25"/>
    <row r="94" s="367" customFormat="1" ht="8.25"/>
    <row r="95" s="367" customFormat="1" ht="8.25"/>
    <row r="96" s="367" customFormat="1" ht="8.25"/>
    <row r="97" s="367" customFormat="1" ht="8.25"/>
    <row r="98" s="367" customFormat="1" ht="8.25"/>
    <row r="99" s="367" customFormat="1" ht="8.25"/>
    <row r="100" s="367" customFormat="1" ht="8.25"/>
    <row r="101" s="367" customFormat="1" ht="8.25"/>
    <row r="102" s="367" customFormat="1" ht="8.25"/>
    <row r="103" s="367" customFormat="1" ht="8.25"/>
    <row r="104" s="367" customFormat="1" ht="8.25"/>
    <row r="105" s="367" customFormat="1" ht="8.25"/>
    <row r="106" s="367" customFormat="1" ht="8.25"/>
    <row r="107" s="367" customFormat="1" ht="8.25"/>
    <row r="108" s="367" customFormat="1" ht="8.25"/>
    <row r="109" s="367" customFormat="1" ht="8.25"/>
    <row r="110" s="367" customFormat="1" ht="8.25"/>
    <row r="111" s="367" customFormat="1" ht="8.25"/>
    <row r="112" s="367" customFormat="1" ht="8.25"/>
    <row r="113" s="367" customFormat="1" ht="8.25"/>
    <row r="114" s="367" customFormat="1" ht="8.25"/>
  </sheetData>
  <mergeCells count="3">
    <mergeCell ref="A1:A4"/>
    <mergeCell ref="B1:B4"/>
    <mergeCell ref="C1:F1"/>
  </mergeCells>
  <pageMargins left="0.70866141732283472" right="0.70866141732283472" top="0.86614173228346458" bottom="0.62992125984251968" header="0.31496062992125984" footer="0.31496062992125984"/>
  <pageSetup scale="99" orientation="portrait" r:id="rId1"/>
  <headerFooter>
    <oddHeader>&amp;R&amp;7Informe de la Operación Mensual - Febrero 2019
INFSGI-MES-02-2019
11/03/2019
Versión: 01</oddHeader>
    <oddFooter>&amp;L&amp;7COES, 2019&amp;C22&amp;R&amp;7Dirección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M63"/>
  <sheetViews>
    <sheetView showGridLines="0" view="pageBreakPreview" zoomScale="145" zoomScaleNormal="100" zoomScaleSheetLayoutView="145" zoomScalePageLayoutView="130" workbookViewId="0">
      <selection sqref="A1:A4"/>
    </sheetView>
  </sheetViews>
  <sheetFormatPr defaultColWidth="9.33203125" defaultRowHeight="9"/>
  <cols>
    <col min="1" max="1" width="27" style="287" customWidth="1"/>
    <col min="2" max="2" width="19.5" style="287" customWidth="1"/>
    <col min="3" max="4" width="17.6640625" style="287" customWidth="1"/>
    <col min="5" max="5" width="15.1640625" style="287" customWidth="1"/>
    <col min="6" max="6" width="12.83203125" style="287" customWidth="1"/>
    <col min="7" max="7" width="9.33203125" style="287"/>
    <col min="8" max="8" width="13.1640625" style="287" customWidth="1"/>
    <col min="9" max="9" width="17.33203125" style="287" customWidth="1"/>
    <col min="10" max="16384" width="9.33203125" style="287"/>
  </cols>
  <sheetData>
    <row r="1" spans="1:11" s="367" customFormat="1" ht="11.25" customHeight="1">
      <c r="A1" s="982" t="s">
        <v>269</v>
      </c>
      <c r="B1" s="983" t="s">
        <v>56</v>
      </c>
      <c r="C1" s="983" t="s">
        <v>423</v>
      </c>
      <c r="D1" s="983"/>
      <c r="E1" s="983"/>
      <c r="F1" s="984"/>
    </row>
    <row r="2" spans="1:11" s="367" customFormat="1" ht="11.25" customHeight="1">
      <c r="A2" s="976"/>
      <c r="B2" s="979"/>
      <c r="C2" s="603" t="str">
        <f>+'22. ANEXOII-2'!C2</f>
        <v>FEBRERO 2019</v>
      </c>
      <c r="D2" s="604" t="str">
        <f>+'22. ANEXOII-2'!D2</f>
        <v>FEBRERO 2018</v>
      </c>
      <c r="E2" s="605" t="s">
        <v>571</v>
      </c>
      <c r="F2" s="828" t="s">
        <v>819</v>
      </c>
    </row>
    <row r="3" spans="1:11" s="367" customFormat="1" ht="11.25" customHeight="1">
      <c r="A3" s="976"/>
      <c r="B3" s="979"/>
      <c r="C3" s="606">
        <f>+'8. Max Potencia'!D8</f>
        <v>43500.833333333336</v>
      </c>
      <c r="D3" s="606">
        <f>+'8. Max Potencia'!E8</f>
        <v>43144.8125</v>
      </c>
      <c r="E3" s="606">
        <v>43494.833333333336</v>
      </c>
      <c r="F3" s="829" t="s">
        <v>420</v>
      </c>
    </row>
    <row r="4" spans="1:11" s="367" customFormat="1" ht="11.25" customHeight="1">
      <c r="A4" s="977"/>
      <c r="B4" s="980"/>
      <c r="C4" s="607">
        <f>+'8. Max Potencia'!D9</f>
        <v>43500.833333333336</v>
      </c>
      <c r="D4" s="607">
        <f>+'8. Max Potencia'!E9</f>
        <v>43144.8125</v>
      </c>
      <c r="E4" s="607">
        <v>43494.833333333336</v>
      </c>
      <c r="F4" s="830" t="s">
        <v>421</v>
      </c>
    </row>
    <row r="5" spans="1:11" s="367" customFormat="1" ht="10.5" customHeight="1">
      <c r="A5" s="804" t="s">
        <v>107</v>
      </c>
      <c r="B5" s="367" t="s">
        <v>63</v>
      </c>
      <c r="C5" s="518">
        <v>18.635080000000002</v>
      </c>
      <c r="D5" s="518">
        <v>16.785440000000001</v>
      </c>
      <c r="E5" s="518">
        <v>16.018940000000001</v>
      </c>
      <c r="F5" s="834">
        <f t="shared" ref="F5:F45" si="0">+IF(D5=0,"",C5/D5-1)</f>
        <v>0.11019311975140367</v>
      </c>
    </row>
    <row r="6" spans="1:11" s="367" customFormat="1" ht="10.5" customHeight="1">
      <c r="A6" s="802" t="s">
        <v>390</v>
      </c>
      <c r="B6" s="621"/>
      <c r="C6" s="623">
        <v>18.635080000000002</v>
      </c>
      <c r="D6" s="623">
        <v>16.785440000000001</v>
      </c>
      <c r="E6" s="623">
        <v>16.018940000000001</v>
      </c>
      <c r="F6" s="832">
        <f t="shared" si="0"/>
        <v>0.11019311975140367</v>
      </c>
    </row>
    <row r="7" spans="1:11" s="367" customFormat="1" ht="10.5" hidden="1" customHeight="1">
      <c r="A7" s="804" t="s">
        <v>262</v>
      </c>
      <c r="B7" s="367" t="s">
        <v>391</v>
      </c>
      <c r="C7" s="518">
        <v>0</v>
      </c>
      <c r="D7" s="518">
        <v>0</v>
      </c>
      <c r="E7" s="518">
        <v>0</v>
      </c>
      <c r="F7" s="834" t="str">
        <f t="shared" si="0"/>
        <v/>
      </c>
      <c r="J7" s="657"/>
      <c r="K7" s="657"/>
    </row>
    <row r="8" spans="1:11" s="367" customFormat="1" ht="10.5" hidden="1" customHeight="1">
      <c r="A8" s="817" t="s">
        <v>392</v>
      </c>
      <c r="B8" s="724"/>
      <c r="C8" s="729">
        <v>0</v>
      </c>
      <c r="D8" s="729">
        <v>0</v>
      </c>
      <c r="E8" s="729">
        <v>0</v>
      </c>
      <c r="F8" s="846" t="str">
        <f t="shared" si="0"/>
        <v/>
      </c>
      <c r="J8" s="657"/>
      <c r="K8" s="657"/>
    </row>
    <row r="9" spans="1:11" s="367" customFormat="1" ht="10.5" customHeight="1">
      <c r="A9" s="815" t="s">
        <v>98</v>
      </c>
      <c r="B9" s="726" t="s">
        <v>393</v>
      </c>
      <c r="C9" s="727">
        <v>110.87645000000001</v>
      </c>
      <c r="D9" s="727">
        <v>110.90493000000001</v>
      </c>
      <c r="E9" s="727">
        <v>111.13015</v>
      </c>
      <c r="F9" s="835">
        <f t="shared" si="0"/>
        <v>-2.5679651932519754E-4</v>
      </c>
      <c r="H9" s="491"/>
      <c r="I9" s="640"/>
      <c r="J9" s="657"/>
      <c r="K9" s="657"/>
    </row>
    <row r="10" spans="1:11" s="367" customFormat="1" ht="10.5" customHeight="1">
      <c r="A10" s="802" t="s">
        <v>394</v>
      </c>
      <c r="B10" s="621"/>
      <c r="C10" s="623">
        <v>110.87645000000001</v>
      </c>
      <c r="D10" s="623">
        <v>110.90493000000001</v>
      </c>
      <c r="E10" s="623">
        <v>111.13015</v>
      </c>
      <c r="F10" s="832">
        <f t="shared" si="0"/>
        <v>-2.5679651932519754E-4</v>
      </c>
      <c r="H10" s="491"/>
      <c r="I10" s="640"/>
      <c r="J10" s="657"/>
      <c r="K10" s="657"/>
    </row>
    <row r="11" spans="1:11" s="367" customFormat="1" ht="10.5" customHeight="1">
      <c r="A11" s="815" t="s">
        <v>790</v>
      </c>
      <c r="B11" s="726" t="s">
        <v>815</v>
      </c>
      <c r="C11" s="727">
        <v>0</v>
      </c>
      <c r="D11" s="727"/>
      <c r="E11" s="727"/>
      <c r="F11" s="835" t="str">
        <f t="shared" si="0"/>
        <v/>
      </c>
      <c r="H11" s="491"/>
      <c r="I11" s="640"/>
      <c r="J11" s="657"/>
      <c r="K11" s="657"/>
    </row>
    <row r="12" spans="1:11" s="367" customFormat="1" ht="10.5" customHeight="1">
      <c r="A12" s="802" t="s">
        <v>816</v>
      </c>
      <c r="B12" s="621"/>
      <c r="C12" s="623">
        <v>0</v>
      </c>
      <c r="D12" s="623"/>
      <c r="E12" s="623"/>
      <c r="F12" s="832" t="str">
        <f t="shared" si="0"/>
        <v/>
      </c>
      <c r="H12" s="491"/>
      <c r="I12" s="640"/>
      <c r="J12" s="657"/>
      <c r="K12" s="657"/>
    </row>
    <row r="13" spans="1:11" s="367" customFormat="1" ht="10.5" customHeight="1">
      <c r="A13" s="815" t="s">
        <v>479</v>
      </c>
      <c r="B13" s="726" t="s">
        <v>488</v>
      </c>
      <c r="C13" s="727">
        <v>19.949819999999999</v>
      </c>
      <c r="D13" s="727">
        <v>0</v>
      </c>
      <c r="E13" s="727">
        <v>20.086600000000001</v>
      </c>
      <c r="F13" s="835" t="str">
        <f t="shared" si="0"/>
        <v/>
      </c>
      <c r="H13" s="491"/>
      <c r="I13" s="640"/>
      <c r="J13" s="657"/>
      <c r="K13" s="657"/>
    </row>
    <row r="14" spans="1:11" s="367" customFormat="1" ht="10.5" customHeight="1">
      <c r="A14" s="802" t="s">
        <v>481</v>
      </c>
      <c r="B14" s="621"/>
      <c r="C14" s="623">
        <v>19.949819999999999</v>
      </c>
      <c r="D14" s="623">
        <v>0</v>
      </c>
      <c r="E14" s="623">
        <v>20.086600000000001</v>
      </c>
      <c r="F14" s="832" t="str">
        <f t="shared" si="0"/>
        <v/>
      </c>
      <c r="H14" s="491"/>
      <c r="I14" s="640"/>
      <c r="J14" s="657"/>
      <c r="K14" s="657"/>
    </row>
    <row r="15" spans="1:11" s="367" customFormat="1" ht="10.5" customHeight="1">
      <c r="A15" s="815" t="s">
        <v>263</v>
      </c>
      <c r="B15" s="728" t="s">
        <v>67</v>
      </c>
      <c r="C15" s="730">
        <v>9.45641</v>
      </c>
      <c r="D15" s="730">
        <v>9.4392600000000009</v>
      </c>
      <c r="E15" s="730">
        <v>9.5016200000000008</v>
      </c>
      <c r="F15" s="836">
        <f t="shared" si="0"/>
        <v>1.816879713028241E-3</v>
      </c>
      <c r="H15" s="491"/>
      <c r="I15" s="640"/>
      <c r="J15" s="657"/>
      <c r="K15" s="657"/>
    </row>
    <row r="16" spans="1:11" s="367" customFormat="1" ht="10.5" customHeight="1">
      <c r="A16" s="815"/>
      <c r="B16" s="726" t="s">
        <v>66</v>
      </c>
      <c r="C16" s="727">
        <v>10.06226</v>
      </c>
      <c r="D16" s="727">
        <v>9.8568999999999996</v>
      </c>
      <c r="E16" s="727">
        <v>10.00858</v>
      </c>
      <c r="F16" s="835">
        <f t="shared" si="0"/>
        <v>2.0834136493218081E-2</v>
      </c>
      <c r="H16" s="491"/>
      <c r="I16" s="640"/>
      <c r="J16" s="657"/>
      <c r="K16" s="657"/>
    </row>
    <row r="17" spans="1:11" s="367" customFormat="1" ht="10.5" customHeight="1">
      <c r="A17" s="815"/>
      <c r="B17" s="728" t="s">
        <v>70</v>
      </c>
      <c r="C17" s="730">
        <v>6.5673700000000004</v>
      </c>
      <c r="D17" s="730">
        <v>4.0369299999999999</v>
      </c>
      <c r="E17" s="730">
        <v>6.5295899999999998</v>
      </c>
      <c r="F17" s="836">
        <f t="shared" si="0"/>
        <v>0.62682285796384885</v>
      </c>
      <c r="H17" s="491"/>
      <c r="I17" s="640"/>
      <c r="J17" s="657"/>
      <c r="K17" s="657"/>
    </row>
    <row r="18" spans="1:11" s="367" customFormat="1" ht="10.5" customHeight="1">
      <c r="A18" s="815"/>
      <c r="B18" s="726" t="s">
        <v>69</v>
      </c>
      <c r="C18" s="727">
        <v>6.6793699999999996</v>
      </c>
      <c r="D18" s="727">
        <v>4.8181000000000003</v>
      </c>
      <c r="E18" s="727">
        <v>6.6699799999999998</v>
      </c>
      <c r="F18" s="835">
        <f t="shared" si="0"/>
        <v>0.38630788069986077</v>
      </c>
      <c r="H18" s="491"/>
      <c r="I18" s="640"/>
      <c r="J18" s="657"/>
      <c r="K18" s="657"/>
    </row>
    <row r="19" spans="1:11" s="367" customFormat="1" ht="10.5" customHeight="1">
      <c r="A19" s="802" t="s">
        <v>395</v>
      </c>
      <c r="B19" s="621"/>
      <c r="C19" s="623">
        <v>32.765410000000003</v>
      </c>
      <c r="D19" s="623">
        <v>28.15119</v>
      </c>
      <c r="E19" s="623">
        <v>32.709769999999999</v>
      </c>
      <c r="F19" s="832">
        <f t="shared" si="0"/>
        <v>0.16390852393806443</v>
      </c>
      <c r="H19" s="491"/>
      <c r="I19" s="640"/>
      <c r="J19" s="657"/>
      <c r="K19" s="657"/>
    </row>
    <row r="20" spans="1:11" s="367" customFormat="1" ht="10.5" customHeight="1">
      <c r="A20" s="815" t="s">
        <v>105</v>
      </c>
      <c r="B20" s="726" t="s">
        <v>396</v>
      </c>
      <c r="C20" s="727">
        <v>26.839379999999998</v>
      </c>
      <c r="D20" s="727">
        <v>26.884260000000001</v>
      </c>
      <c r="E20" s="727">
        <v>26.653569999999998</v>
      </c>
      <c r="F20" s="835">
        <f t="shared" si="0"/>
        <v>-1.6693782904942944E-3</v>
      </c>
      <c r="H20" s="491"/>
      <c r="I20" s="640"/>
      <c r="J20" s="657"/>
      <c r="K20" s="657"/>
    </row>
    <row r="21" spans="1:11" s="367" customFormat="1" ht="10.5" customHeight="1">
      <c r="A21" s="802" t="s">
        <v>397</v>
      </c>
      <c r="B21" s="621"/>
      <c r="C21" s="623">
        <v>26.839379999999998</v>
      </c>
      <c r="D21" s="623">
        <v>26.884260000000001</v>
      </c>
      <c r="E21" s="623">
        <v>26.653569999999998</v>
      </c>
      <c r="F21" s="832">
        <f t="shared" si="0"/>
        <v>-1.6693782904942944E-3</v>
      </c>
      <c r="H21" s="491"/>
      <c r="I21" s="640"/>
      <c r="J21" s="657"/>
      <c r="K21" s="657"/>
    </row>
    <row r="22" spans="1:11" s="367" customFormat="1" ht="10.5" customHeight="1">
      <c r="A22" s="815" t="s">
        <v>123</v>
      </c>
      <c r="B22" s="728" t="s">
        <v>398</v>
      </c>
      <c r="C22" s="730">
        <v>19.384920000000001</v>
      </c>
      <c r="D22" s="730">
        <v>0</v>
      </c>
      <c r="E22" s="730">
        <v>0</v>
      </c>
      <c r="F22" s="836" t="str">
        <f t="shared" si="0"/>
        <v/>
      </c>
      <c r="H22" s="491"/>
      <c r="I22" s="640"/>
      <c r="J22" s="657"/>
      <c r="K22" s="657"/>
    </row>
    <row r="23" spans="1:11" s="367" customFormat="1" ht="10.5" customHeight="1">
      <c r="A23" s="802" t="s">
        <v>399</v>
      </c>
      <c r="B23" s="621"/>
      <c r="C23" s="623">
        <v>19.384920000000001</v>
      </c>
      <c r="D23" s="623">
        <v>0</v>
      </c>
      <c r="E23" s="623">
        <v>0</v>
      </c>
      <c r="F23" s="832" t="str">
        <f t="shared" si="0"/>
        <v/>
      </c>
      <c r="H23" s="491"/>
      <c r="I23" s="640"/>
      <c r="J23" s="657"/>
      <c r="K23" s="657"/>
    </row>
    <row r="24" spans="1:11" s="367" customFormat="1" ht="10.5" customHeight="1">
      <c r="A24" s="815" t="s">
        <v>116</v>
      </c>
      <c r="B24" s="728" t="s">
        <v>71</v>
      </c>
      <c r="C24" s="730">
        <v>5.7474600000000002</v>
      </c>
      <c r="D24" s="730">
        <v>7.7695299999999996</v>
      </c>
      <c r="E24" s="730">
        <v>4.9726499999999998</v>
      </c>
      <c r="F24" s="836">
        <f t="shared" si="0"/>
        <v>-0.26025641190651161</v>
      </c>
      <c r="H24" s="491"/>
      <c r="I24" s="640"/>
      <c r="J24" s="657"/>
      <c r="K24" s="657"/>
    </row>
    <row r="25" spans="1:11" s="367" customFormat="1" ht="10.5" customHeight="1">
      <c r="A25" s="802" t="s">
        <v>400</v>
      </c>
      <c r="B25" s="621"/>
      <c r="C25" s="623">
        <v>5.7474600000000002</v>
      </c>
      <c r="D25" s="623">
        <v>7.7695299999999996</v>
      </c>
      <c r="E25" s="623">
        <v>4.9726499999999998</v>
      </c>
      <c r="F25" s="832">
        <f t="shared" si="0"/>
        <v>-0.26025641190651161</v>
      </c>
      <c r="H25" s="491"/>
      <c r="I25" s="640"/>
      <c r="J25" s="657"/>
      <c r="K25" s="657"/>
    </row>
    <row r="26" spans="1:11" s="367" customFormat="1" ht="10.5" customHeight="1">
      <c r="A26" s="815" t="s">
        <v>93</v>
      </c>
      <c r="B26" s="728" t="s">
        <v>401</v>
      </c>
      <c r="C26" s="730">
        <v>20.73011</v>
      </c>
      <c r="D26" s="730">
        <v>45.728880000000004</v>
      </c>
      <c r="E26" s="730">
        <v>43.798760000000001</v>
      </c>
      <c r="F26" s="836">
        <f t="shared" si="0"/>
        <v>-0.54667356821334789</v>
      </c>
      <c r="H26" s="491"/>
      <c r="I26" s="640"/>
      <c r="J26" s="657"/>
      <c r="K26" s="657"/>
    </row>
    <row r="27" spans="1:11" s="367" customFormat="1" ht="10.5" customHeight="1">
      <c r="A27" s="815"/>
      <c r="B27" s="726" t="s">
        <v>402</v>
      </c>
      <c r="C27" s="727">
        <v>171.47642999999999</v>
      </c>
      <c r="D27" s="727">
        <v>165.47215</v>
      </c>
      <c r="E27" s="727">
        <v>171.56718000000001</v>
      </c>
      <c r="F27" s="835">
        <f t="shared" si="0"/>
        <v>3.6285743552615823E-2</v>
      </c>
      <c r="H27" s="491"/>
      <c r="I27" s="640"/>
      <c r="J27" s="657"/>
      <c r="K27" s="657"/>
    </row>
    <row r="28" spans="1:11" s="367" customFormat="1" ht="10.5" customHeight="1">
      <c r="A28" s="815"/>
      <c r="B28" s="726" t="s">
        <v>403</v>
      </c>
      <c r="C28" s="727">
        <v>11.48973</v>
      </c>
      <c r="D28" s="727">
        <v>23.86007</v>
      </c>
      <c r="E28" s="727">
        <v>12.06982</v>
      </c>
      <c r="F28" s="835">
        <f t="shared" si="0"/>
        <v>-0.51845363404214662</v>
      </c>
      <c r="H28" s="491"/>
      <c r="I28" s="640"/>
      <c r="J28" s="657"/>
      <c r="K28" s="657"/>
    </row>
    <row r="29" spans="1:11" s="367" customFormat="1" ht="10.5" customHeight="1">
      <c r="A29" s="815"/>
      <c r="B29" s="728" t="s">
        <v>404</v>
      </c>
      <c r="C29" s="730">
        <v>0</v>
      </c>
      <c r="D29" s="730">
        <v>0</v>
      </c>
      <c r="E29" s="730">
        <v>0</v>
      </c>
      <c r="F29" s="836" t="str">
        <f t="shared" si="0"/>
        <v/>
      </c>
      <c r="H29" s="491"/>
      <c r="I29" s="640"/>
      <c r="J29" s="657"/>
      <c r="K29" s="657"/>
    </row>
    <row r="30" spans="1:11" s="367" customFormat="1" ht="10.5" customHeight="1">
      <c r="A30" s="815"/>
      <c r="B30" s="726" t="s">
        <v>405</v>
      </c>
      <c r="C30" s="727">
        <v>44.840820000000001</v>
      </c>
      <c r="D30" s="727">
        <v>1.7167699999999999</v>
      </c>
      <c r="E30" s="727">
        <v>33.883620000000001</v>
      </c>
      <c r="F30" s="835">
        <f t="shared" si="0"/>
        <v>25.119293790082541</v>
      </c>
      <c r="H30" s="491"/>
      <c r="I30" s="640"/>
      <c r="J30" s="657"/>
      <c r="K30" s="657"/>
    </row>
    <row r="31" spans="1:11" s="367" customFormat="1" ht="10.5" customHeight="1">
      <c r="A31" s="815"/>
      <c r="B31" s="726" t="s">
        <v>406</v>
      </c>
      <c r="C31" s="727">
        <v>3.8420999999999998</v>
      </c>
      <c r="D31" s="727">
        <v>3.80592</v>
      </c>
      <c r="E31" s="727">
        <v>3.7958400000000001</v>
      </c>
      <c r="F31" s="835">
        <f t="shared" si="0"/>
        <v>9.5062429057888309E-3</v>
      </c>
      <c r="H31" s="491"/>
      <c r="I31" s="640"/>
      <c r="J31" s="657"/>
      <c r="K31" s="657"/>
    </row>
    <row r="32" spans="1:11" s="367" customFormat="1" ht="10.5" customHeight="1">
      <c r="A32" s="815"/>
      <c r="B32" s="726" t="s">
        <v>407</v>
      </c>
      <c r="C32" s="727">
        <v>0</v>
      </c>
      <c r="D32" s="727">
        <v>8.1907200000000007</v>
      </c>
      <c r="E32" s="727">
        <v>5.3906400000000003</v>
      </c>
      <c r="F32" s="835">
        <f t="shared" si="0"/>
        <v>-1</v>
      </c>
      <c r="H32" s="491"/>
      <c r="I32" s="640"/>
      <c r="J32" s="657"/>
      <c r="K32" s="657"/>
    </row>
    <row r="33" spans="1:13" s="367" customFormat="1" ht="10.5" customHeight="1">
      <c r="A33" s="815"/>
      <c r="B33" s="726" t="s">
        <v>408</v>
      </c>
      <c r="C33" s="727">
        <v>4.2336200000000002</v>
      </c>
      <c r="D33" s="727">
        <v>1.7236</v>
      </c>
      <c r="E33" s="727">
        <v>0</v>
      </c>
      <c r="F33" s="835">
        <f t="shared" si="0"/>
        <v>1.4562659549779533</v>
      </c>
      <c r="H33" s="491"/>
      <c r="I33" s="640"/>
      <c r="J33" s="657"/>
      <c r="K33" s="657"/>
    </row>
    <row r="34" spans="1:13" s="367" customFormat="1" ht="10.5" customHeight="1">
      <c r="A34" s="815"/>
      <c r="B34" s="726" t="s">
        <v>409</v>
      </c>
      <c r="C34" s="727">
        <v>2.0683500000000001</v>
      </c>
      <c r="D34" s="727">
        <v>2.5005200000000003</v>
      </c>
      <c r="E34" s="727">
        <v>2.0608</v>
      </c>
      <c r="F34" s="835">
        <f t="shared" si="0"/>
        <v>-0.17283205093340592</v>
      </c>
      <c r="H34" s="491"/>
      <c r="I34" s="640"/>
      <c r="J34" s="657"/>
      <c r="K34" s="657"/>
    </row>
    <row r="35" spans="1:13" s="367" customFormat="1" ht="10.5" customHeight="1">
      <c r="A35" s="815"/>
      <c r="B35" s="726" t="s">
        <v>410</v>
      </c>
      <c r="C35" s="727">
        <v>0.54996</v>
      </c>
      <c r="D35" s="727">
        <v>0.57042000000000004</v>
      </c>
      <c r="E35" s="727">
        <v>0.49103999999999998</v>
      </c>
      <c r="F35" s="835">
        <f t="shared" si="0"/>
        <v>-3.5868307562848534E-2</v>
      </c>
      <c r="H35" s="491"/>
      <c r="I35" s="640"/>
      <c r="J35" s="657"/>
      <c r="K35" s="657"/>
    </row>
    <row r="36" spans="1:13" s="367" customFormat="1" ht="10.5" customHeight="1">
      <c r="A36" s="815"/>
      <c r="B36" s="726" t="s">
        <v>411</v>
      </c>
      <c r="C36" s="727">
        <v>0.36419000000000001</v>
      </c>
      <c r="D36" s="727">
        <v>0.38424000000000003</v>
      </c>
      <c r="E36" s="727">
        <v>0.34945999999999999</v>
      </c>
      <c r="F36" s="835">
        <f t="shared" si="0"/>
        <v>-5.2180928586300301E-2</v>
      </c>
      <c r="H36" s="491"/>
      <c r="I36" s="640"/>
      <c r="J36" s="657"/>
      <c r="K36" s="657"/>
    </row>
    <row r="37" spans="1:13" s="367" customFormat="1" ht="10.5" customHeight="1">
      <c r="A37" s="815"/>
      <c r="B37" s="726" t="s">
        <v>412</v>
      </c>
      <c r="C37" s="727">
        <v>105.63024</v>
      </c>
      <c r="D37" s="727">
        <v>106.45247000000001</v>
      </c>
      <c r="E37" s="727">
        <v>106.45169</v>
      </c>
      <c r="F37" s="835">
        <f t="shared" si="0"/>
        <v>-7.7239165986473513E-3</v>
      </c>
      <c r="H37" s="491"/>
      <c r="I37" s="640"/>
      <c r="J37" s="657"/>
      <c r="K37" s="657"/>
    </row>
    <row r="38" spans="1:13" s="367" customFormat="1" ht="10.5" customHeight="1">
      <c r="A38" s="802" t="s">
        <v>413</v>
      </c>
      <c r="B38" s="621"/>
      <c r="C38" s="623">
        <v>365.22555</v>
      </c>
      <c r="D38" s="623">
        <v>360.40575999999999</v>
      </c>
      <c r="E38" s="623">
        <v>379.85885000000002</v>
      </c>
      <c r="F38" s="832">
        <f t="shared" si="0"/>
        <v>1.3373232436684646E-2</v>
      </c>
      <c r="H38" s="491"/>
      <c r="I38" s="640"/>
      <c r="J38" s="657"/>
      <c r="K38" s="657"/>
    </row>
    <row r="39" spans="1:13" s="367" customFormat="1" ht="10.5" customHeight="1">
      <c r="A39" s="815" t="s">
        <v>112</v>
      </c>
      <c r="B39" s="726" t="s">
        <v>248</v>
      </c>
      <c r="C39" s="727">
        <v>0</v>
      </c>
      <c r="D39" s="727">
        <v>0</v>
      </c>
      <c r="E39" s="727">
        <v>0</v>
      </c>
      <c r="F39" s="835" t="str">
        <f t="shared" si="0"/>
        <v/>
      </c>
      <c r="H39" s="491"/>
      <c r="I39" s="640"/>
      <c r="J39" s="657"/>
      <c r="K39" s="657"/>
    </row>
    <row r="40" spans="1:13" s="367" customFormat="1" ht="10.5" customHeight="1">
      <c r="A40" s="802" t="s">
        <v>414</v>
      </c>
      <c r="B40" s="621"/>
      <c r="C40" s="623">
        <v>0</v>
      </c>
      <c r="D40" s="623">
        <v>0</v>
      </c>
      <c r="E40" s="623">
        <v>0</v>
      </c>
      <c r="F40" s="832" t="str">
        <f t="shared" si="0"/>
        <v/>
      </c>
      <c r="H40" s="491"/>
      <c r="I40" s="640"/>
      <c r="J40" s="657"/>
      <c r="K40" s="657"/>
    </row>
    <row r="41" spans="1:13" s="367" customFormat="1" ht="10.5" customHeight="1">
      <c r="A41" s="804" t="s">
        <v>103</v>
      </c>
      <c r="B41" s="367" t="s">
        <v>812</v>
      </c>
      <c r="C41" s="518">
        <v>0</v>
      </c>
      <c r="D41" s="518">
        <v>0</v>
      </c>
      <c r="E41" s="518">
        <v>284.49849</v>
      </c>
      <c r="F41" s="834" t="str">
        <f t="shared" si="0"/>
        <v/>
      </c>
      <c r="H41" s="491"/>
      <c r="I41" s="640"/>
      <c r="J41" s="657"/>
      <c r="K41" s="657"/>
    </row>
    <row r="42" spans="1:13" s="367" customFormat="1" ht="10.5" customHeight="1">
      <c r="A42" s="802" t="s">
        <v>415</v>
      </c>
      <c r="B42" s="621"/>
      <c r="C42" s="623">
        <v>0</v>
      </c>
      <c r="D42" s="623">
        <v>0</v>
      </c>
      <c r="E42" s="623">
        <v>284.49849</v>
      </c>
      <c r="F42" s="832" t="str">
        <f t="shared" si="0"/>
        <v/>
      </c>
      <c r="H42" s="491"/>
      <c r="I42" s="640"/>
      <c r="J42" s="657"/>
      <c r="K42" s="657"/>
    </row>
    <row r="43" spans="1:13" s="367" customFormat="1" ht="10.5" customHeight="1">
      <c r="A43" s="804" t="s">
        <v>108</v>
      </c>
      <c r="B43" s="367" t="s">
        <v>416</v>
      </c>
      <c r="C43" s="518">
        <v>80.879400000000004</v>
      </c>
      <c r="D43" s="518">
        <v>84.815160000000006</v>
      </c>
      <c r="E43" s="518">
        <v>0</v>
      </c>
      <c r="F43" s="834">
        <f t="shared" si="0"/>
        <v>-4.640396834716809E-2</v>
      </c>
      <c r="H43" s="491"/>
      <c r="I43" s="640"/>
      <c r="J43" s="657"/>
      <c r="K43" s="657"/>
    </row>
    <row r="44" spans="1:13" s="367" customFormat="1" ht="10.5" customHeight="1">
      <c r="A44" s="802" t="s">
        <v>417</v>
      </c>
      <c r="B44" s="621"/>
      <c r="C44" s="623">
        <v>80.879400000000004</v>
      </c>
      <c r="D44" s="623">
        <v>84.815160000000006</v>
      </c>
      <c r="E44" s="623">
        <v>0</v>
      </c>
      <c r="F44" s="832">
        <f t="shared" si="0"/>
        <v>-4.640396834716809E-2</v>
      </c>
      <c r="H44" s="491"/>
      <c r="I44" s="640"/>
      <c r="J44" s="657"/>
      <c r="K44" s="657"/>
    </row>
    <row r="45" spans="1:13" ht="6.75" customHeight="1">
      <c r="A45" s="847"/>
      <c r="B45" s="677"/>
      <c r="C45" s="678"/>
      <c r="D45" s="678"/>
      <c r="E45" s="678"/>
      <c r="F45" s="848" t="str">
        <f t="shared" si="0"/>
        <v/>
      </c>
      <c r="G45" s="532"/>
      <c r="H45" s="679"/>
    </row>
    <row r="46" spans="1:13" s="476" customFormat="1" ht="12" customHeight="1">
      <c r="A46" s="819" t="s">
        <v>482</v>
      </c>
      <c r="B46" s="614"/>
      <c r="C46" s="843">
        <v>6949.9968899999994</v>
      </c>
      <c r="D46" s="599">
        <v>6576.9682299999977</v>
      </c>
      <c r="E46" s="599">
        <v>6876.2924399999993</v>
      </c>
      <c r="F46" s="849">
        <f>+IF(D46=0,"",C46/D46-1)</f>
        <v>5.6717418566578859E-2</v>
      </c>
      <c r="G46" s="287"/>
      <c r="H46" s="287"/>
      <c r="I46" s="287"/>
      <c r="J46" s="287"/>
      <c r="K46" s="287"/>
      <c r="L46" s="287"/>
      <c r="M46" s="287"/>
    </row>
    <row r="47" spans="1:13" s="476" customFormat="1" ht="12" customHeight="1">
      <c r="A47" s="850" t="s">
        <v>418</v>
      </c>
      <c r="B47" s="600"/>
      <c r="C47" s="599">
        <v>0</v>
      </c>
      <c r="D47" s="599">
        <v>0</v>
      </c>
      <c r="E47" s="602">
        <v>0</v>
      </c>
      <c r="F47" s="851">
        <v>0</v>
      </c>
      <c r="G47" s="287"/>
      <c r="H47" s="287"/>
      <c r="I47" s="287"/>
      <c r="J47" s="287"/>
      <c r="K47" s="287"/>
      <c r="L47" s="287"/>
      <c r="M47" s="287"/>
    </row>
    <row r="48" spans="1:13" s="476" customFormat="1" ht="12" customHeight="1">
      <c r="A48" s="852" t="s">
        <v>419</v>
      </c>
      <c r="B48" s="853"/>
      <c r="C48" s="854">
        <v>0</v>
      </c>
      <c r="D48" s="854">
        <v>0</v>
      </c>
      <c r="E48" s="855">
        <v>0</v>
      </c>
      <c r="F48" s="856">
        <v>0</v>
      </c>
      <c r="G48" s="287"/>
      <c r="H48" s="287"/>
      <c r="I48" s="287"/>
      <c r="J48" s="287"/>
      <c r="K48" s="287"/>
      <c r="L48" s="287"/>
      <c r="M48" s="287"/>
    </row>
    <row r="49" spans="1:1" ht="12" customHeight="1">
      <c r="A49" s="367"/>
    </row>
    <row r="50" spans="1:1" ht="12" customHeight="1">
      <c r="A50" s="367"/>
    </row>
    <row r="51" spans="1:1" ht="12" customHeight="1">
      <c r="A51" s="367"/>
    </row>
    <row r="52" spans="1:1" ht="12" customHeight="1">
      <c r="A52" s="367"/>
    </row>
    <row r="53" spans="1:1" ht="12" customHeight="1">
      <c r="A53" s="367"/>
    </row>
    <row r="54" spans="1:1" ht="12" customHeight="1">
      <c r="A54" s="367"/>
    </row>
    <row r="55" spans="1:1" ht="12" customHeight="1">
      <c r="A55" s="367"/>
    </row>
    <row r="56" spans="1:1" ht="12" customHeight="1">
      <c r="A56" s="367"/>
    </row>
    <row r="57" spans="1:1" ht="12" customHeight="1">
      <c r="A57" s="367"/>
    </row>
    <row r="58" spans="1:1" ht="12" customHeight="1">
      <c r="A58" s="367"/>
    </row>
    <row r="59" spans="1:1" ht="12" customHeight="1">
      <c r="A59" s="367"/>
    </row>
    <row r="60" spans="1:1" ht="12" customHeight="1">
      <c r="A60" s="367"/>
    </row>
    <row r="61" spans="1:1" ht="12" customHeight="1">
      <c r="A61" s="367"/>
    </row>
    <row r="62" spans="1:1" ht="12" customHeight="1">
      <c r="A62" s="367"/>
    </row>
    <row r="63" spans="1:1" ht="12" customHeight="1">
      <c r="A63" s="367"/>
    </row>
  </sheetData>
  <mergeCells count="3">
    <mergeCell ref="A1:A4"/>
    <mergeCell ref="B1:B4"/>
    <mergeCell ref="C1:F1"/>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M63"/>
  <sheetViews>
    <sheetView showGridLines="0" view="pageBreakPreview" topLeftCell="A4" zoomScale="145" zoomScaleNormal="100" zoomScaleSheetLayoutView="145" zoomScalePageLayoutView="145" workbookViewId="0">
      <selection activeCell="F26" sqref="F26"/>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97" t="s">
        <v>431</v>
      </c>
      <c r="B3" s="295"/>
    </row>
    <row r="4" spans="1:13" ht="11.25" customHeight="1">
      <c r="B4" s="295"/>
    </row>
    <row r="5" spans="1:13" ht="11.25" customHeight="1">
      <c r="A5" s="296" t="s">
        <v>497</v>
      </c>
      <c r="C5" s="845">
        <v>6949.9968900000003</v>
      </c>
    </row>
    <row r="6" spans="1:13" ht="11.25" customHeight="1">
      <c r="A6" s="296" t="s">
        <v>432</v>
      </c>
      <c r="C6" s="671" t="s">
        <v>695</v>
      </c>
    </row>
    <row r="7" spans="1:13" ht="11.25" customHeight="1">
      <c r="A7" s="296" t="s">
        <v>433</v>
      </c>
      <c r="C7" s="672" t="s">
        <v>526</v>
      </c>
    </row>
    <row r="8" spans="1:13" ht="11.25" customHeight="1"/>
    <row r="9" spans="1:13" ht="14.25" customHeight="1">
      <c r="A9" s="985" t="s">
        <v>424</v>
      </c>
      <c r="B9" s="986" t="s">
        <v>425</v>
      </c>
      <c r="C9" s="986"/>
      <c r="D9" s="986"/>
      <c r="E9" s="986"/>
      <c r="F9" s="986"/>
      <c r="G9" s="986" t="s">
        <v>426</v>
      </c>
      <c r="H9" s="986"/>
      <c r="I9" s="986"/>
      <c r="J9" s="986"/>
      <c r="K9" s="986"/>
    </row>
    <row r="10" spans="1:13" ht="26.25" customHeight="1">
      <c r="A10" s="985"/>
      <c r="B10" s="608" t="s">
        <v>427</v>
      </c>
      <c r="C10" s="608" t="s">
        <v>205</v>
      </c>
      <c r="D10" s="608" t="s">
        <v>418</v>
      </c>
      <c r="E10" s="608" t="s">
        <v>419</v>
      </c>
      <c r="F10" s="609" t="s">
        <v>430</v>
      </c>
      <c r="G10" s="608" t="s">
        <v>427</v>
      </c>
      <c r="H10" s="608" t="s">
        <v>205</v>
      </c>
      <c r="I10" s="608" t="s">
        <v>418</v>
      </c>
      <c r="J10" s="608" t="s">
        <v>419</v>
      </c>
      <c r="K10" s="609" t="s">
        <v>430</v>
      </c>
      <c r="L10" s="36"/>
      <c r="M10" s="46"/>
    </row>
    <row r="11" spans="1:13" ht="11.25" customHeight="1">
      <c r="A11" s="985"/>
      <c r="B11" s="608" t="s">
        <v>428</v>
      </c>
      <c r="C11" s="608" t="s">
        <v>429</v>
      </c>
      <c r="D11" s="608" t="s">
        <v>429</v>
      </c>
      <c r="E11" s="608" t="s">
        <v>429</v>
      </c>
      <c r="F11" s="608" t="s">
        <v>429</v>
      </c>
      <c r="G11" s="608" t="s">
        <v>428</v>
      </c>
      <c r="H11" s="608" t="s">
        <v>429</v>
      </c>
      <c r="I11" s="608" t="s">
        <v>429</v>
      </c>
      <c r="J11" s="608" t="s">
        <v>429</v>
      </c>
      <c r="K11" s="608" t="s">
        <v>429</v>
      </c>
      <c r="L11" s="36"/>
      <c r="M11" s="46"/>
    </row>
    <row r="12" spans="1:13" ht="11.25" customHeight="1">
      <c r="A12" s="376" t="s">
        <v>696</v>
      </c>
      <c r="B12" s="680" t="s">
        <v>487</v>
      </c>
      <c r="C12" s="292">
        <v>6986.6388299999999</v>
      </c>
      <c r="D12" s="292">
        <v>0</v>
      </c>
      <c r="E12" s="292">
        <v>0</v>
      </c>
      <c r="F12" s="292">
        <v>6986.6388299999999</v>
      </c>
      <c r="G12" s="680" t="s">
        <v>526</v>
      </c>
      <c r="H12" s="292">
        <v>6747.5673200000001</v>
      </c>
      <c r="I12" s="292">
        <v>0</v>
      </c>
      <c r="J12" s="292">
        <v>0</v>
      </c>
      <c r="K12" s="292">
        <v>6747.5673200000001</v>
      </c>
      <c r="L12" s="207"/>
      <c r="M12" s="46"/>
    </row>
    <row r="13" spans="1:13" ht="11.25" customHeight="1">
      <c r="A13" s="376" t="s">
        <v>697</v>
      </c>
      <c r="B13" s="681" t="s">
        <v>487</v>
      </c>
      <c r="C13" s="293">
        <v>6689.2942400000002</v>
      </c>
      <c r="D13" s="293">
        <v>0</v>
      </c>
      <c r="E13" s="293">
        <v>0</v>
      </c>
      <c r="F13" s="293">
        <v>6689.2942400000002</v>
      </c>
      <c r="G13" s="681" t="s">
        <v>525</v>
      </c>
      <c r="H13" s="293">
        <v>6717.9643999999998</v>
      </c>
      <c r="I13" s="293">
        <v>0</v>
      </c>
      <c r="J13" s="293">
        <v>0</v>
      </c>
      <c r="K13" s="293">
        <v>6717.9643999999998</v>
      </c>
      <c r="L13" s="5"/>
    </row>
    <row r="14" spans="1:13" ht="11.25" customHeight="1">
      <c r="A14" s="376" t="s">
        <v>698</v>
      </c>
      <c r="B14" s="681" t="s">
        <v>821</v>
      </c>
      <c r="C14" s="293">
        <v>5955.75936</v>
      </c>
      <c r="D14" s="293">
        <v>0</v>
      </c>
      <c r="E14" s="293">
        <v>0</v>
      </c>
      <c r="F14" s="293">
        <v>5955.75936</v>
      </c>
      <c r="G14" s="681" t="s">
        <v>502</v>
      </c>
      <c r="H14" s="293">
        <v>6571.7835500000001</v>
      </c>
      <c r="I14" s="293">
        <v>0</v>
      </c>
      <c r="J14" s="293">
        <v>0</v>
      </c>
      <c r="K14" s="293">
        <v>6571.7835500000001</v>
      </c>
      <c r="L14" s="15"/>
    </row>
    <row r="15" spans="1:13" ht="11.25" customHeight="1">
      <c r="A15" s="376" t="s">
        <v>695</v>
      </c>
      <c r="B15" s="681" t="s">
        <v>699</v>
      </c>
      <c r="C15" s="293">
        <v>6957.1511200000004</v>
      </c>
      <c r="D15" s="293">
        <v>0</v>
      </c>
      <c r="E15" s="293">
        <v>0</v>
      </c>
      <c r="F15" s="293">
        <v>6957.1511200000004</v>
      </c>
      <c r="G15" s="682" t="s">
        <v>526</v>
      </c>
      <c r="H15" s="294">
        <v>6949.9968900000003</v>
      </c>
      <c r="I15" s="294">
        <v>0</v>
      </c>
      <c r="J15" s="294">
        <v>0</v>
      </c>
      <c r="K15" s="844">
        <v>6949.9968900000003</v>
      </c>
      <c r="L15" s="12"/>
    </row>
    <row r="16" spans="1:13" ht="11.25" customHeight="1">
      <c r="A16" s="376" t="s">
        <v>700</v>
      </c>
      <c r="B16" s="682" t="s">
        <v>536</v>
      </c>
      <c r="C16" s="294">
        <v>7107.5502800000004</v>
      </c>
      <c r="D16" s="294">
        <v>0</v>
      </c>
      <c r="E16" s="294">
        <v>0</v>
      </c>
      <c r="F16" s="294">
        <v>7107.5502800000004</v>
      </c>
      <c r="G16" s="681" t="s">
        <v>526</v>
      </c>
      <c r="H16" s="293">
        <v>6941.8625099999999</v>
      </c>
      <c r="I16" s="293">
        <v>0</v>
      </c>
      <c r="J16" s="293">
        <v>0</v>
      </c>
      <c r="K16" s="293">
        <v>6941.8625099999999</v>
      </c>
      <c r="L16" s="22"/>
    </row>
    <row r="17" spans="1:12" ht="11.25" customHeight="1">
      <c r="A17" s="376" t="s">
        <v>701</v>
      </c>
      <c r="B17" s="681" t="s">
        <v>500</v>
      </c>
      <c r="C17" s="293">
        <v>7021.9458999999997</v>
      </c>
      <c r="D17" s="293">
        <v>0</v>
      </c>
      <c r="E17" s="293">
        <v>0</v>
      </c>
      <c r="F17" s="293">
        <v>7021.9458999999997</v>
      </c>
      <c r="G17" s="681" t="s">
        <v>484</v>
      </c>
      <c r="H17" s="293">
        <v>6852.3802900000001</v>
      </c>
      <c r="I17" s="293">
        <v>0</v>
      </c>
      <c r="J17" s="293">
        <v>0</v>
      </c>
      <c r="K17" s="293">
        <v>6852.3802900000001</v>
      </c>
      <c r="L17" s="22"/>
    </row>
    <row r="18" spans="1:12" ht="11.25" customHeight="1">
      <c r="A18" s="376" t="s">
        <v>702</v>
      </c>
      <c r="B18" s="681" t="s">
        <v>536</v>
      </c>
      <c r="C18" s="293">
        <v>7018.1464900000001</v>
      </c>
      <c r="D18" s="293">
        <v>0</v>
      </c>
      <c r="E18" s="293">
        <v>0</v>
      </c>
      <c r="F18" s="293">
        <v>7018.1464900000001</v>
      </c>
      <c r="G18" s="681" t="s">
        <v>484</v>
      </c>
      <c r="H18" s="293">
        <v>6899.5527099999999</v>
      </c>
      <c r="I18" s="293">
        <v>0</v>
      </c>
      <c r="J18" s="293">
        <v>0</v>
      </c>
      <c r="K18" s="293">
        <v>6899.5527099999999</v>
      </c>
      <c r="L18" s="22"/>
    </row>
    <row r="19" spans="1:12" ht="11.25" customHeight="1">
      <c r="A19" s="376" t="s">
        <v>703</v>
      </c>
      <c r="B19" s="681" t="s">
        <v>486</v>
      </c>
      <c r="C19" s="293">
        <v>6937.8221299999996</v>
      </c>
      <c r="D19" s="293">
        <v>0</v>
      </c>
      <c r="E19" s="293">
        <v>0</v>
      </c>
      <c r="F19" s="293">
        <v>6937.8221299999996</v>
      </c>
      <c r="G19" s="681" t="s">
        <v>485</v>
      </c>
      <c r="H19" s="293">
        <v>6697.6615300000003</v>
      </c>
      <c r="I19" s="293">
        <v>0</v>
      </c>
      <c r="J19" s="293">
        <v>0</v>
      </c>
      <c r="K19" s="293">
        <v>6697.6615300000003</v>
      </c>
      <c r="L19" s="22"/>
    </row>
    <row r="20" spans="1:12" ht="11.25" customHeight="1">
      <c r="A20" s="376" t="s">
        <v>704</v>
      </c>
      <c r="B20" s="681" t="s">
        <v>500</v>
      </c>
      <c r="C20" s="293">
        <v>6479.6219600000004</v>
      </c>
      <c r="D20" s="293">
        <v>0</v>
      </c>
      <c r="E20" s="293">
        <v>0</v>
      </c>
      <c r="F20" s="293">
        <v>6479.6219600000004</v>
      </c>
      <c r="G20" s="681" t="s">
        <v>518</v>
      </c>
      <c r="H20" s="293">
        <v>6563.2473900000005</v>
      </c>
      <c r="I20" s="293">
        <v>0</v>
      </c>
      <c r="J20" s="293">
        <v>0</v>
      </c>
      <c r="K20" s="293">
        <v>6563.2473900000005</v>
      </c>
      <c r="L20" s="24"/>
    </row>
    <row r="21" spans="1:12" ht="11.25" customHeight="1">
      <c r="A21" s="376" t="s">
        <v>705</v>
      </c>
      <c r="B21" s="681" t="s">
        <v>821</v>
      </c>
      <c r="C21" s="293">
        <v>5700.9244600000002</v>
      </c>
      <c r="D21" s="293">
        <v>0</v>
      </c>
      <c r="E21" s="293">
        <v>0</v>
      </c>
      <c r="F21" s="293">
        <v>5700.9244600000002</v>
      </c>
      <c r="G21" s="681" t="s">
        <v>518</v>
      </c>
      <c r="H21" s="293">
        <v>6388.6872700000004</v>
      </c>
      <c r="I21" s="293">
        <v>0</v>
      </c>
      <c r="J21" s="293">
        <v>0</v>
      </c>
      <c r="K21" s="293">
        <v>6388.6872700000004</v>
      </c>
      <c r="L21" s="22"/>
    </row>
    <row r="22" spans="1:12" ht="11.25" customHeight="1">
      <c r="A22" s="376" t="s">
        <v>706</v>
      </c>
      <c r="B22" s="681" t="s">
        <v>519</v>
      </c>
      <c r="C22" s="293">
        <v>6758.8611199999996</v>
      </c>
      <c r="D22" s="293">
        <v>0</v>
      </c>
      <c r="E22" s="293">
        <v>0</v>
      </c>
      <c r="F22" s="293">
        <v>6758.8611199999996</v>
      </c>
      <c r="G22" s="681" t="s">
        <v>485</v>
      </c>
      <c r="H22" s="293">
        <v>6742.12104</v>
      </c>
      <c r="I22" s="293">
        <v>0</v>
      </c>
      <c r="J22" s="293">
        <v>0</v>
      </c>
      <c r="K22" s="293">
        <v>6742.12104</v>
      </c>
      <c r="L22" s="22"/>
    </row>
    <row r="23" spans="1:12" ht="11.25" customHeight="1">
      <c r="A23" s="376" t="s">
        <v>707</v>
      </c>
      <c r="B23" s="681" t="s">
        <v>708</v>
      </c>
      <c r="C23" s="293">
        <v>6869.41968</v>
      </c>
      <c r="D23" s="293">
        <v>0</v>
      </c>
      <c r="E23" s="293">
        <v>0</v>
      </c>
      <c r="F23" s="293">
        <v>6869.41968</v>
      </c>
      <c r="G23" s="681" t="s">
        <v>526</v>
      </c>
      <c r="H23" s="293">
        <v>6806.3299399999996</v>
      </c>
      <c r="I23" s="293">
        <v>0</v>
      </c>
      <c r="J23" s="293">
        <v>0</v>
      </c>
      <c r="K23" s="293">
        <v>6806.3299399999996</v>
      </c>
      <c r="L23" s="22"/>
    </row>
    <row r="24" spans="1:12" ht="11.25" customHeight="1">
      <c r="A24" s="376" t="s">
        <v>709</v>
      </c>
      <c r="B24" s="681" t="s">
        <v>486</v>
      </c>
      <c r="C24" s="293">
        <v>6979.14876</v>
      </c>
      <c r="D24" s="293">
        <v>0</v>
      </c>
      <c r="E24" s="293">
        <v>0</v>
      </c>
      <c r="F24" s="293">
        <v>6979.14876</v>
      </c>
      <c r="G24" s="681" t="s">
        <v>484</v>
      </c>
      <c r="H24" s="293">
        <v>6874.5687099999996</v>
      </c>
      <c r="I24" s="293">
        <v>0</v>
      </c>
      <c r="J24" s="293">
        <v>0</v>
      </c>
      <c r="K24" s="293">
        <v>6874.5687099999996</v>
      </c>
      <c r="L24" s="22"/>
    </row>
    <row r="25" spans="1:12" ht="11.25" customHeight="1">
      <c r="A25" s="376" t="s">
        <v>710</v>
      </c>
      <c r="B25" s="681" t="s">
        <v>487</v>
      </c>
      <c r="C25" s="293">
        <v>6947.5979500000003</v>
      </c>
      <c r="D25" s="293">
        <v>0</v>
      </c>
      <c r="E25" s="293">
        <v>0</v>
      </c>
      <c r="F25" s="293">
        <v>6947.5979500000003</v>
      </c>
      <c r="G25" s="681" t="s">
        <v>822</v>
      </c>
      <c r="H25" s="293">
        <v>6651.9933600000004</v>
      </c>
      <c r="I25" s="293">
        <v>0</v>
      </c>
      <c r="J25" s="293">
        <v>0</v>
      </c>
      <c r="K25" s="293">
        <v>6651.9933600000004</v>
      </c>
      <c r="L25" s="22"/>
    </row>
    <row r="26" spans="1:12" ht="11.25" customHeight="1">
      <c r="A26" s="376" t="s">
        <v>711</v>
      </c>
      <c r="B26" s="681" t="s">
        <v>500</v>
      </c>
      <c r="C26" s="293">
        <v>6794.8288199999997</v>
      </c>
      <c r="D26" s="293">
        <v>0</v>
      </c>
      <c r="E26" s="293">
        <v>0</v>
      </c>
      <c r="F26" s="293">
        <v>6794.8288199999997</v>
      </c>
      <c r="G26" s="681" t="s">
        <v>484</v>
      </c>
      <c r="H26" s="293">
        <v>6784.5408299999999</v>
      </c>
      <c r="I26" s="293">
        <v>0</v>
      </c>
      <c r="J26" s="293">
        <v>0</v>
      </c>
      <c r="K26" s="293">
        <v>6784.5408299999999</v>
      </c>
      <c r="L26" s="22"/>
    </row>
    <row r="27" spans="1:12" ht="11.25" customHeight="1">
      <c r="A27" s="376" t="s">
        <v>712</v>
      </c>
      <c r="B27" s="681" t="s">
        <v>500</v>
      </c>
      <c r="C27" s="293">
        <v>6719.9506099999999</v>
      </c>
      <c r="D27" s="293">
        <v>0</v>
      </c>
      <c r="E27" s="293">
        <v>0</v>
      </c>
      <c r="F27" s="293">
        <v>6719.9506099999999</v>
      </c>
      <c r="G27" s="681" t="s">
        <v>502</v>
      </c>
      <c r="H27" s="293">
        <v>6704.4200499999997</v>
      </c>
      <c r="I27" s="293">
        <v>0</v>
      </c>
      <c r="J27" s="293">
        <v>0</v>
      </c>
      <c r="K27" s="293">
        <v>6704.4200499999997</v>
      </c>
      <c r="L27" s="22"/>
    </row>
    <row r="28" spans="1:12" ht="11.25" customHeight="1">
      <c r="A28" s="376" t="s">
        <v>713</v>
      </c>
      <c r="B28" s="681" t="s">
        <v>572</v>
      </c>
      <c r="C28" s="293">
        <v>5911.3708699999997</v>
      </c>
      <c r="D28" s="293">
        <v>0</v>
      </c>
      <c r="E28" s="293">
        <v>0</v>
      </c>
      <c r="F28" s="293">
        <v>5911.3708699999997</v>
      </c>
      <c r="G28" s="681" t="s">
        <v>518</v>
      </c>
      <c r="H28" s="293">
        <v>6499.2342900000003</v>
      </c>
      <c r="I28" s="293">
        <v>0</v>
      </c>
      <c r="J28" s="293">
        <v>0</v>
      </c>
      <c r="K28" s="293">
        <v>6499.2342900000003</v>
      </c>
      <c r="L28" s="30"/>
    </row>
    <row r="29" spans="1:12" ht="11.25" customHeight="1">
      <c r="A29" s="376" t="s">
        <v>714</v>
      </c>
      <c r="B29" s="681" t="s">
        <v>487</v>
      </c>
      <c r="C29" s="293">
        <v>6743.2016299999996</v>
      </c>
      <c r="D29" s="293">
        <v>0</v>
      </c>
      <c r="E29" s="293">
        <v>0</v>
      </c>
      <c r="F29" s="293">
        <v>6743.2016299999996</v>
      </c>
      <c r="G29" s="681" t="s">
        <v>484</v>
      </c>
      <c r="H29" s="293">
        <v>6706.8199000000004</v>
      </c>
      <c r="I29" s="293">
        <v>0</v>
      </c>
      <c r="J29" s="293">
        <v>0</v>
      </c>
      <c r="K29" s="293">
        <v>6706.8199000000004</v>
      </c>
      <c r="L29" s="22"/>
    </row>
    <row r="30" spans="1:12" ht="11.25" customHeight="1">
      <c r="A30" s="376" t="s">
        <v>715</v>
      </c>
      <c r="B30" s="681" t="s">
        <v>519</v>
      </c>
      <c r="C30" s="293">
        <v>6877.9722099999999</v>
      </c>
      <c r="D30" s="293">
        <v>0</v>
      </c>
      <c r="E30" s="293">
        <v>0</v>
      </c>
      <c r="F30" s="293">
        <v>6877.9722099999999</v>
      </c>
      <c r="G30" s="681" t="s">
        <v>716</v>
      </c>
      <c r="H30" s="293">
        <v>6677.2821000000004</v>
      </c>
      <c r="I30" s="293">
        <v>0</v>
      </c>
      <c r="J30" s="293">
        <v>0</v>
      </c>
      <c r="K30" s="293">
        <v>6677.2821000000004</v>
      </c>
      <c r="L30" s="22"/>
    </row>
    <row r="31" spans="1:12" ht="11.25" customHeight="1">
      <c r="A31" s="376" t="s">
        <v>717</v>
      </c>
      <c r="B31" s="681" t="s">
        <v>486</v>
      </c>
      <c r="C31" s="293">
        <v>7064.3422099999998</v>
      </c>
      <c r="D31" s="293">
        <v>0</v>
      </c>
      <c r="E31" s="293">
        <v>0</v>
      </c>
      <c r="F31" s="293">
        <v>7064.3422099999998</v>
      </c>
      <c r="G31" s="681" t="s">
        <v>485</v>
      </c>
      <c r="H31" s="293">
        <v>6729.43822</v>
      </c>
      <c r="I31" s="293">
        <v>0</v>
      </c>
      <c r="J31" s="293">
        <v>0</v>
      </c>
      <c r="K31" s="293">
        <v>6729.43822</v>
      </c>
      <c r="L31" s="15"/>
    </row>
    <row r="32" spans="1:12" ht="11.25" customHeight="1">
      <c r="A32" s="376" t="s">
        <v>718</v>
      </c>
      <c r="B32" s="681" t="s">
        <v>486</v>
      </c>
      <c r="C32" s="293">
        <v>6997.5093999999999</v>
      </c>
      <c r="D32" s="293">
        <v>0</v>
      </c>
      <c r="E32" s="293">
        <v>0</v>
      </c>
      <c r="F32" s="293">
        <v>6997.5093999999999</v>
      </c>
      <c r="G32" s="681" t="s">
        <v>484</v>
      </c>
      <c r="H32" s="293">
        <v>6883.1857799999998</v>
      </c>
      <c r="I32" s="293">
        <v>0</v>
      </c>
      <c r="J32" s="293">
        <v>0</v>
      </c>
      <c r="K32" s="293">
        <v>6883.1857799999998</v>
      </c>
      <c r="L32" s="16"/>
    </row>
    <row r="33" spans="1:12" ht="11.25" customHeight="1">
      <c r="A33" s="376" t="s">
        <v>719</v>
      </c>
      <c r="B33" s="681" t="s">
        <v>486</v>
      </c>
      <c r="C33" s="293">
        <v>7081.0113700000002</v>
      </c>
      <c r="D33" s="293">
        <v>0</v>
      </c>
      <c r="E33" s="293">
        <v>0</v>
      </c>
      <c r="F33" s="293">
        <v>7081.0113700000002</v>
      </c>
      <c r="G33" s="681" t="s">
        <v>720</v>
      </c>
      <c r="H33" s="293">
        <v>6861.7876100000003</v>
      </c>
      <c r="I33" s="293">
        <v>0</v>
      </c>
      <c r="J33" s="293">
        <v>0</v>
      </c>
      <c r="K33" s="293">
        <v>6861.7876100000003</v>
      </c>
      <c r="L33" s="15"/>
    </row>
    <row r="34" spans="1:12" ht="11.25" customHeight="1">
      <c r="A34" s="376" t="s">
        <v>721</v>
      </c>
      <c r="B34" s="681" t="s">
        <v>486</v>
      </c>
      <c r="C34" s="293">
        <v>6805.0335400000004</v>
      </c>
      <c r="D34" s="293">
        <v>0</v>
      </c>
      <c r="E34" s="293">
        <v>0</v>
      </c>
      <c r="F34" s="293">
        <v>6805.0335400000004</v>
      </c>
      <c r="G34" s="681" t="s">
        <v>484</v>
      </c>
      <c r="H34" s="293">
        <v>6837.0256099999997</v>
      </c>
      <c r="I34" s="293">
        <v>0</v>
      </c>
      <c r="J34" s="293">
        <v>0</v>
      </c>
      <c r="K34" s="293">
        <v>6837.0256099999997</v>
      </c>
      <c r="L34" s="15"/>
    </row>
    <row r="35" spans="1:12" ht="11.25" customHeight="1">
      <c r="A35" s="376" t="s">
        <v>722</v>
      </c>
      <c r="B35" s="681" t="s">
        <v>572</v>
      </c>
      <c r="C35" s="293">
        <v>5972.9146099999998</v>
      </c>
      <c r="D35" s="293">
        <v>0</v>
      </c>
      <c r="E35" s="293">
        <v>0</v>
      </c>
      <c r="F35" s="293">
        <v>5972.9146099999998</v>
      </c>
      <c r="G35" s="681" t="s">
        <v>502</v>
      </c>
      <c r="H35" s="293">
        <v>6567.7368299999998</v>
      </c>
      <c r="I35" s="293">
        <v>0</v>
      </c>
      <c r="J35" s="293">
        <v>0</v>
      </c>
      <c r="K35" s="293">
        <v>6567.7368299999998</v>
      </c>
      <c r="L35" s="22"/>
    </row>
    <row r="36" spans="1:12" ht="11.25" customHeight="1">
      <c r="A36" s="376" t="s">
        <v>723</v>
      </c>
      <c r="B36" s="681" t="s">
        <v>500</v>
      </c>
      <c r="C36" s="293">
        <v>6977.2275799999998</v>
      </c>
      <c r="D36" s="293">
        <v>0</v>
      </c>
      <c r="E36" s="293">
        <v>0</v>
      </c>
      <c r="F36" s="293">
        <v>6977.2275799999998</v>
      </c>
      <c r="G36" s="681" t="s">
        <v>484</v>
      </c>
      <c r="H36" s="293">
        <v>6875.3530799999999</v>
      </c>
      <c r="I36" s="293">
        <v>0</v>
      </c>
      <c r="J36" s="293">
        <v>0</v>
      </c>
      <c r="K36" s="293">
        <v>6875.3530799999999</v>
      </c>
      <c r="L36" s="22"/>
    </row>
    <row r="37" spans="1:12" ht="11.25" customHeight="1">
      <c r="A37" s="376" t="s">
        <v>724</v>
      </c>
      <c r="B37" s="681" t="s">
        <v>500</v>
      </c>
      <c r="C37" s="293">
        <v>7105.1008899999997</v>
      </c>
      <c r="D37" s="293">
        <v>0</v>
      </c>
      <c r="E37" s="293">
        <v>0</v>
      </c>
      <c r="F37" s="293">
        <v>7105.1008899999997</v>
      </c>
      <c r="G37" s="681" t="s">
        <v>822</v>
      </c>
      <c r="H37" s="293">
        <v>6927.2478099999998</v>
      </c>
      <c r="I37" s="293">
        <v>0</v>
      </c>
      <c r="J37" s="293">
        <v>0</v>
      </c>
      <c r="K37" s="293">
        <v>6927.2478099999998</v>
      </c>
      <c r="L37" s="22"/>
    </row>
    <row r="38" spans="1:12" ht="11.25" customHeight="1">
      <c r="A38" s="376" t="s">
        <v>725</v>
      </c>
      <c r="B38" s="681" t="s">
        <v>500</v>
      </c>
      <c r="C38" s="293">
        <v>7101.8526300000003</v>
      </c>
      <c r="D38" s="293">
        <v>0</v>
      </c>
      <c r="E38" s="293">
        <v>0</v>
      </c>
      <c r="F38" s="293">
        <v>7101.8526300000003</v>
      </c>
      <c r="G38" s="681" t="s">
        <v>484</v>
      </c>
      <c r="H38" s="293">
        <v>6948.4014800000004</v>
      </c>
      <c r="I38" s="293">
        <v>0</v>
      </c>
      <c r="J38" s="293">
        <v>0</v>
      </c>
      <c r="K38" s="293">
        <v>6948.4014800000004</v>
      </c>
      <c r="L38" s="22"/>
    </row>
    <row r="39" spans="1:12" ht="11.25" customHeight="1">
      <c r="A39" s="376" t="s">
        <v>726</v>
      </c>
      <c r="B39" s="681" t="s">
        <v>486</v>
      </c>
      <c r="C39" s="293">
        <v>7089.9653399999997</v>
      </c>
      <c r="D39" s="293">
        <v>0</v>
      </c>
      <c r="E39" s="293">
        <v>0</v>
      </c>
      <c r="F39" s="293">
        <v>7089.9653399999997</v>
      </c>
      <c r="G39" s="681" t="s">
        <v>485</v>
      </c>
      <c r="H39" s="293">
        <v>6881.5758400000004</v>
      </c>
      <c r="I39" s="293">
        <v>0</v>
      </c>
      <c r="J39" s="293">
        <v>0</v>
      </c>
      <c r="K39" s="293">
        <v>6881.5758400000004</v>
      </c>
      <c r="L39" s="22"/>
    </row>
    <row r="40" spans="1:12" ht="11.25" customHeight="1">
      <c r="A40" s="198"/>
      <c r="B40" s="198"/>
      <c r="C40" s="198"/>
      <c r="D40" s="198"/>
      <c r="E40" s="198"/>
      <c r="F40" s="198"/>
      <c r="G40" s="198"/>
      <c r="H40" s="198"/>
      <c r="I40" s="198"/>
      <c r="J40" s="198"/>
      <c r="K40" s="200"/>
      <c r="L40" s="22"/>
    </row>
    <row r="41" spans="1:12" ht="11.25" customHeight="1">
      <c r="A41" s="948"/>
      <c r="B41" s="948"/>
      <c r="C41" s="948"/>
      <c r="D41" s="948"/>
      <c r="E41" s="948"/>
      <c r="F41" s="948"/>
      <c r="G41" s="948"/>
      <c r="H41" s="948"/>
      <c r="I41" s="948"/>
      <c r="J41" s="948"/>
      <c r="K41" s="948"/>
      <c r="L41" s="22"/>
    </row>
    <row r="42" spans="1:12" ht="11.25" customHeight="1">
      <c r="A42" s="198"/>
      <c r="B42" s="198"/>
      <c r="C42" s="198"/>
      <c r="D42" s="198"/>
      <c r="E42" s="198"/>
      <c r="F42" s="198"/>
      <c r="G42" s="198"/>
      <c r="H42" s="198"/>
      <c r="I42" s="198"/>
      <c r="J42" s="198"/>
      <c r="K42" s="200"/>
      <c r="L42" s="22"/>
    </row>
    <row r="43" spans="1:12" ht="11.25" customHeight="1">
      <c r="A43" s="198"/>
      <c r="B43" s="198"/>
      <c r="C43" s="198"/>
      <c r="D43" s="198"/>
      <c r="E43" s="198"/>
      <c r="F43" s="198"/>
      <c r="G43" s="198"/>
      <c r="H43" s="198"/>
      <c r="I43" s="198"/>
      <c r="J43" s="198"/>
      <c r="K43" s="201"/>
      <c r="L43" s="11"/>
    </row>
    <row r="44" spans="1:12" ht="11.25" customHeight="1">
      <c r="A44" s="198"/>
      <c r="B44" s="198"/>
      <c r="C44" s="198"/>
      <c r="D44" s="198"/>
      <c r="E44" s="198"/>
      <c r="F44" s="198"/>
      <c r="G44" s="198"/>
      <c r="H44" s="198"/>
      <c r="I44" s="198"/>
      <c r="J44" s="198"/>
      <c r="K44" s="201"/>
      <c r="L44" s="11"/>
    </row>
    <row r="45" spans="1:12" ht="11.25" customHeight="1">
      <c r="A45" s="198"/>
      <c r="B45" s="198"/>
      <c r="C45" s="198"/>
      <c r="D45" s="198"/>
      <c r="E45" s="198"/>
      <c r="F45" s="198"/>
      <c r="G45" s="198"/>
      <c r="H45" s="198"/>
      <c r="I45" s="198"/>
      <c r="J45" s="198"/>
      <c r="K45" s="201"/>
      <c r="L45" s="11"/>
    </row>
    <row r="46" spans="1:12" ht="11.25" customHeight="1">
      <c r="A46" s="198"/>
      <c r="B46" s="198"/>
      <c r="C46" s="198"/>
      <c r="D46" s="198"/>
      <c r="E46" s="198"/>
      <c r="F46" s="198"/>
      <c r="G46" s="198"/>
      <c r="H46" s="198"/>
      <c r="I46" s="198"/>
      <c r="J46" s="198"/>
      <c r="K46" s="200"/>
    </row>
    <row r="47" spans="1:12" ht="11.25" customHeight="1">
      <c r="A47" s="198"/>
      <c r="B47" s="198"/>
      <c r="C47" s="198"/>
      <c r="D47" s="198"/>
      <c r="E47" s="198"/>
      <c r="F47" s="198"/>
      <c r="G47" s="198"/>
      <c r="H47" s="198"/>
      <c r="I47" s="198"/>
      <c r="J47" s="198"/>
      <c r="K47" s="200"/>
    </row>
    <row r="48" spans="1:12" ht="12.75">
      <c r="A48" s="198"/>
      <c r="B48" s="198"/>
      <c r="C48" s="198"/>
      <c r="D48" s="198"/>
      <c r="E48" s="198"/>
      <c r="F48" s="198"/>
      <c r="G48" s="198"/>
      <c r="H48" s="198"/>
      <c r="I48" s="198"/>
      <c r="J48" s="198"/>
      <c r="K48" s="200"/>
    </row>
    <row r="49" spans="1:11" ht="12.75">
      <c r="A49" s="198"/>
      <c r="B49" s="198"/>
      <c r="C49" s="198"/>
      <c r="D49" s="198"/>
      <c r="E49" s="198"/>
      <c r="F49" s="198"/>
      <c r="G49" s="198"/>
      <c r="H49" s="198"/>
      <c r="I49" s="198"/>
      <c r="J49" s="198"/>
      <c r="K49" s="200"/>
    </row>
    <row r="50" spans="1:11" ht="12.75">
      <c r="A50" s="198"/>
      <c r="B50" s="198"/>
      <c r="C50" s="198"/>
      <c r="D50" s="198"/>
      <c r="E50" s="198"/>
      <c r="F50" s="198"/>
      <c r="G50" s="198"/>
      <c r="H50" s="198"/>
      <c r="I50" s="198"/>
      <c r="J50" s="198"/>
      <c r="K50" s="200"/>
    </row>
    <row r="51" spans="1:11" ht="12.75">
      <c r="A51" s="198"/>
      <c r="B51" s="198"/>
      <c r="C51" s="198"/>
      <c r="D51" s="198"/>
      <c r="E51" s="198"/>
      <c r="F51" s="198"/>
      <c r="G51" s="198"/>
      <c r="H51" s="198"/>
      <c r="I51" s="198"/>
      <c r="J51" s="198"/>
      <c r="K51" s="200"/>
    </row>
    <row r="52" spans="1:11" ht="12.75">
      <c r="A52" s="198"/>
      <c r="B52" s="198"/>
      <c r="C52" s="198"/>
      <c r="D52" s="198"/>
      <c r="E52" s="198"/>
      <c r="F52" s="198"/>
      <c r="G52" s="198"/>
      <c r="H52" s="198"/>
      <c r="I52" s="198"/>
      <c r="J52" s="198"/>
      <c r="K52" s="200"/>
    </row>
    <row r="53" spans="1:11" ht="12.75">
      <c r="A53" s="198"/>
      <c r="B53" s="111"/>
      <c r="C53" s="111"/>
      <c r="D53" s="111"/>
      <c r="E53" s="111"/>
      <c r="F53" s="111"/>
      <c r="G53" s="111"/>
      <c r="H53" s="111"/>
      <c r="I53" s="111"/>
      <c r="J53" s="111"/>
      <c r="K53" s="200"/>
    </row>
    <row r="54" spans="1:11" ht="12.75">
      <c r="A54" s="198"/>
      <c r="B54" s="111"/>
      <c r="C54" s="111"/>
      <c r="D54" s="111"/>
      <c r="E54" s="111"/>
      <c r="F54" s="111"/>
      <c r="G54" s="111"/>
      <c r="H54" s="111"/>
      <c r="I54" s="111"/>
      <c r="J54" s="111"/>
      <c r="K54" s="200"/>
    </row>
    <row r="55" spans="1:11" ht="12.75">
      <c r="A55" s="198"/>
      <c r="B55" s="111"/>
      <c r="C55" s="111"/>
      <c r="D55" s="111"/>
      <c r="E55" s="111"/>
      <c r="F55" s="111"/>
      <c r="G55" s="111"/>
      <c r="H55" s="111"/>
      <c r="I55" s="111"/>
      <c r="J55" s="111"/>
      <c r="K55" s="200"/>
    </row>
    <row r="56" spans="1:11" ht="12.75">
      <c r="A56" s="198"/>
      <c r="B56" s="111"/>
      <c r="C56" s="111"/>
      <c r="D56" s="111"/>
      <c r="E56" s="111"/>
      <c r="F56" s="111"/>
      <c r="G56" s="111"/>
      <c r="H56" s="111"/>
      <c r="I56" s="111"/>
      <c r="J56" s="111"/>
      <c r="K56" s="200"/>
    </row>
    <row r="57" spans="1:11" ht="12.75">
      <c r="A57" s="198"/>
      <c r="B57" s="111"/>
      <c r="C57" s="111"/>
      <c r="D57" s="111"/>
      <c r="E57" s="111"/>
      <c r="F57" s="111"/>
      <c r="G57" s="111"/>
      <c r="H57" s="111"/>
      <c r="I57" s="111"/>
      <c r="J57" s="111"/>
      <c r="K57" s="200"/>
    </row>
    <row r="58" spans="1:11" ht="12.75">
      <c r="A58" s="198"/>
      <c r="B58" s="199"/>
      <c r="C58" s="199"/>
      <c r="D58" s="199"/>
      <c r="E58" s="199"/>
      <c r="F58" s="199"/>
      <c r="G58" s="199"/>
      <c r="H58" s="199"/>
      <c r="I58" s="199"/>
      <c r="J58" s="199"/>
      <c r="K58" s="200"/>
    </row>
    <row r="59" spans="1:11" ht="12.75">
      <c r="A59" s="198"/>
      <c r="B59" s="199"/>
      <c r="C59" s="199"/>
      <c r="D59" s="199"/>
      <c r="E59" s="199"/>
      <c r="F59" s="199"/>
      <c r="G59" s="199"/>
      <c r="H59" s="199"/>
      <c r="I59" s="199"/>
      <c r="J59" s="199"/>
      <c r="K59" s="200"/>
    </row>
    <row r="60" spans="1:11" ht="12.75">
      <c r="A60" s="198"/>
      <c r="B60" s="202"/>
      <c r="C60" s="200"/>
      <c r="D60" s="200"/>
      <c r="E60" s="200"/>
      <c r="F60" s="200"/>
      <c r="G60" s="199"/>
      <c r="H60" s="199"/>
      <c r="I60" s="199"/>
      <c r="J60" s="199"/>
      <c r="K60" s="200"/>
    </row>
    <row r="61" spans="1:11" ht="12.75">
      <c r="A61" s="203"/>
      <c r="B61" s="204"/>
      <c r="C61" s="204"/>
      <c r="D61" s="204"/>
      <c r="E61" s="204"/>
      <c r="F61" s="204"/>
      <c r="G61" s="204"/>
      <c r="H61" s="199"/>
      <c r="I61" s="199"/>
      <c r="J61" s="199"/>
      <c r="K61" s="200"/>
    </row>
    <row r="62" spans="1:11" ht="12.75">
      <c r="A62" s="203"/>
      <c r="B62" s="204"/>
      <c r="C62" s="204"/>
      <c r="D62" s="204"/>
      <c r="E62" s="204"/>
      <c r="F62" s="204"/>
      <c r="G62" s="204"/>
      <c r="H62" s="199"/>
      <c r="I62" s="199"/>
      <c r="J62" s="199"/>
      <c r="K62" s="199"/>
    </row>
    <row r="63" spans="1:11" ht="12.75">
      <c r="A63" s="203"/>
      <c r="B63" s="204"/>
      <c r="C63" s="204"/>
      <c r="D63" s="204"/>
      <c r="E63" s="204"/>
      <c r="F63" s="204"/>
      <c r="G63" s="204"/>
      <c r="H63" s="199"/>
      <c r="I63" s="199"/>
      <c r="J63" s="199"/>
      <c r="K63" s="199"/>
    </row>
  </sheetData>
  <mergeCells count="4">
    <mergeCell ref="A9:A11"/>
    <mergeCell ref="B9:F9"/>
    <mergeCell ref="G9:K9"/>
    <mergeCell ref="A41:K41"/>
  </mergeCells>
  <pageMargins left="0.70866141732283472" right="0.7086614173228347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I159"/>
  <sheetViews>
    <sheetView showGridLines="0" view="pageBreakPreview" zoomScale="160" zoomScaleNormal="100" zoomScaleSheetLayoutView="160" zoomScalePageLayoutView="130" workbookViewId="0">
      <selection activeCell="A3" sqref="A3"/>
    </sheetView>
  </sheetViews>
  <sheetFormatPr defaultColWidth="9.33203125" defaultRowHeight="9"/>
  <cols>
    <col min="1" max="1" width="16.1640625" style="300" customWidth="1"/>
    <col min="2" max="2" width="19.6640625" style="300" customWidth="1"/>
    <col min="3" max="3" width="12.16406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11.25" customHeight="1">
      <c r="A1" s="298" t="s">
        <v>434</v>
      </c>
      <c r="B1" s="299"/>
      <c r="C1" s="299"/>
      <c r="D1" s="299"/>
      <c r="E1" s="299"/>
      <c r="F1" s="299"/>
    </row>
    <row r="2" spans="1:9" ht="30" customHeight="1">
      <c r="A2" s="610" t="s">
        <v>269</v>
      </c>
      <c r="B2" s="611" t="s">
        <v>435</v>
      </c>
      <c r="C2" s="610" t="s">
        <v>424</v>
      </c>
      <c r="D2" s="612" t="s">
        <v>436</v>
      </c>
      <c r="E2" s="613" t="s">
        <v>437</v>
      </c>
      <c r="F2" s="613" t="s">
        <v>438</v>
      </c>
      <c r="G2" s="290"/>
      <c r="H2" s="301"/>
      <c r="I2" s="288"/>
    </row>
    <row r="3" spans="1:9" ht="57" customHeight="1">
      <c r="A3" s="715" t="s">
        <v>439</v>
      </c>
      <c r="B3" s="715" t="s">
        <v>544</v>
      </c>
      <c r="C3" s="401">
        <v>43497.271527777775</v>
      </c>
      <c r="D3" s="402" t="s">
        <v>581</v>
      </c>
      <c r="E3" s="403" t="s">
        <v>727</v>
      </c>
      <c r="F3" s="403"/>
      <c r="H3" s="290"/>
      <c r="I3" s="288"/>
    </row>
    <row r="4" spans="1:9" ht="57" customHeight="1">
      <c r="A4" s="715" t="s">
        <v>439</v>
      </c>
      <c r="B4" s="715" t="s">
        <v>544</v>
      </c>
      <c r="C4" s="401">
        <v>43497.298611111109</v>
      </c>
      <c r="D4" s="402" t="s">
        <v>582</v>
      </c>
      <c r="E4" s="403" t="s">
        <v>728</v>
      </c>
      <c r="F4" s="403"/>
      <c r="G4" s="289"/>
      <c r="H4" s="289"/>
      <c r="I4" s="302"/>
    </row>
    <row r="5" spans="1:9" ht="59.25" customHeight="1">
      <c r="A5" s="715" t="s">
        <v>439</v>
      </c>
      <c r="B5" s="715" t="s">
        <v>544</v>
      </c>
      <c r="C5" s="404">
        <v>43497.320138888892</v>
      </c>
      <c r="D5" s="405" t="s">
        <v>583</v>
      </c>
      <c r="E5" s="406" t="s">
        <v>729</v>
      </c>
      <c r="F5" s="406"/>
      <c r="G5" s="289"/>
      <c r="H5" s="289"/>
      <c r="I5" s="303"/>
    </row>
    <row r="6" spans="1:9" ht="59.25" customHeight="1">
      <c r="A6" s="715" t="s">
        <v>439</v>
      </c>
      <c r="B6" s="715" t="s">
        <v>544</v>
      </c>
      <c r="C6" s="404">
        <v>43497.325694444444</v>
      </c>
      <c r="D6" s="405" t="s">
        <v>584</v>
      </c>
      <c r="E6" s="406" t="s">
        <v>730</v>
      </c>
      <c r="F6" s="406"/>
      <c r="G6" s="289"/>
      <c r="H6" s="289"/>
      <c r="I6" s="304"/>
    </row>
    <row r="7" spans="1:9" ht="61.5" customHeight="1">
      <c r="A7" s="715" t="s">
        <v>515</v>
      </c>
      <c r="B7" s="715" t="s">
        <v>553</v>
      </c>
      <c r="C7" s="404">
        <v>43497.691666666666</v>
      </c>
      <c r="D7" s="405" t="s">
        <v>585</v>
      </c>
      <c r="E7" s="406" t="s">
        <v>731</v>
      </c>
      <c r="F7" s="406"/>
      <c r="G7" s="289"/>
      <c r="H7" s="289"/>
      <c r="I7" s="305"/>
    </row>
    <row r="8" spans="1:9" ht="75.75" customHeight="1">
      <c r="A8" s="715" t="s">
        <v>513</v>
      </c>
      <c r="B8" s="715" t="s">
        <v>550</v>
      </c>
      <c r="C8" s="404">
        <v>43498.585416666669</v>
      </c>
      <c r="D8" s="405" t="s">
        <v>586</v>
      </c>
      <c r="E8" s="406" t="s">
        <v>732</v>
      </c>
      <c r="F8" s="406"/>
      <c r="G8" s="289"/>
      <c r="H8" s="289"/>
      <c r="I8" s="304"/>
    </row>
    <row r="9" spans="1:9" ht="73.5" customHeight="1">
      <c r="A9" s="715" t="s">
        <v>514</v>
      </c>
      <c r="B9" s="715" t="s">
        <v>587</v>
      </c>
      <c r="C9" s="404">
        <v>43498.804166666669</v>
      </c>
      <c r="D9" s="405" t="s">
        <v>588</v>
      </c>
      <c r="E9" s="406"/>
      <c r="F9" s="406">
        <v>95</v>
      </c>
      <c r="G9" s="289"/>
      <c r="H9" s="289"/>
      <c r="I9" s="304"/>
    </row>
    <row r="10" spans="1:9" ht="54" customHeight="1">
      <c r="A10" s="715" t="s">
        <v>441</v>
      </c>
      <c r="B10" s="715" t="s">
        <v>589</v>
      </c>
      <c r="C10" s="404">
        <v>43499.288888888892</v>
      </c>
      <c r="D10" s="405" t="s">
        <v>590</v>
      </c>
      <c r="E10" s="406"/>
      <c r="F10" s="406" t="s">
        <v>591</v>
      </c>
    </row>
    <row r="11" spans="1:9" ht="86.25" customHeight="1">
      <c r="A11" s="715" t="s">
        <v>441</v>
      </c>
      <c r="B11" s="715" t="s">
        <v>592</v>
      </c>
      <c r="C11" s="404">
        <v>43499.772222222222</v>
      </c>
      <c r="D11" s="405" t="s">
        <v>593</v>
      </c>
      <c r="E11" s="406">
        <v>15</v>
      </c>
      <c r="F11" s="406"/>
    </row>
    <row r="12" spans="1:9" ht="102" customHeight="1">
      <c r="A12" s="715" t="s">
        <v>90</v>
      </c>
      <c r="B12" s="715" t="s">
        <v>594</v>
      </c>
      <c r="C12" s="404">
        <v>43500.370833333334</v>
      </c>
      <c r="D12" s="405" t="s">
        <v>595</v>
      </c>
      <c r="E12" s="406" t="s">
        <v>733</v>
      </c>
      <c r="F12" s="406"/>
    </row>
    <row r="13" spans="1:9">
      <c r="C13" s="658"/>
      <c r="E13" s="307"/>
      <c r="F13" s="307"/>
    </row>
    <row r="14" spans="1:9">
      <c r="C14" s="658"/>
      <c r="E14" s="307"/>
      <c r="F14" s="307"/>
    </row>
    <row r="15" spans="1:9">
      <c r="C15" s="658"/>
      <c r="E15" s="307"/>
      <c r="F15" s="307"/>
    </row>
    <row r="16" spans="1:9">
      <c r="C16" s="658"/>
      <c r="E16" s="307"/>
      <c r="F16" s="307"/>
    </row>
    <row r="17" spans="3:6">
      <c r="C17" s="658"/>
      <c r="E17" s="307"/>
      <c r="F17" s="307"/>
    </row>
    <row r="18" spans="3:6">
      <c r="C18" s="658"/>
      <c r="E18" s="307"/>
      <c r="F18" s="307"/>
    </row>
    <row r="19" spans="3:6">
      <c r="C19" s="658"/>
      <c r="E19" s="307"/>
      <c r="F19" s="307"/>
    </row>
    <row r="20" spans="3:6">
      <c r="C20" s="658"/>
      <c r="E20" s="307"/>
      <c r="F20" s="307"/>
    </row>
    <row r="21" spans="3:6">
      <c r="C21" s="658"/>
      <c r="E21" s="307"/>
      <c r="F21" s="307"/>
    </row>
    <row r="22" spans="3:6">
      <c r="C22" s="658"/>
      <c r="E22" s="307"/>
      <c r="F22" s="307"/>
    </row>
    <row r="23" spans="3:6">
      <c r="C23" s="658"/>
      <c r="E23" s="307"/>
      <c r="F23" s="307"/>
    </row>
    <row r="24" spans="3:6">
      <c r="C24" s="658"/>
      <c r="E24" s="307"/>
      <c r="F24" s="307"/>
    </row>
    <row r="25" spans="3:6">
      <c r="C25" s="658"/>
      <c r="E25" s="307"/>
      <c r="F25" s="307"/>
    </row>
    <row r="26" spans="3:6">
      <c r="C26" s="658"/>
      <c r="E26" s="307"/>
      <c r="F26" s="307"/>
    </row>
    <row r="27" spans="3:6">
      <c r="C27" s="658"/>
      <c r="E27" s="307"/>
      <c r="F27" s="307"/>
    </row>
    <row r="28" spans="3:6">
      <c r="C28" s="658"/>
      <c r="E28" s="307"/>
      <c r="F28" s="307"/>
    </row>
    <row r="29" spans="3:6">
      <c r="C29" s="658"/>
      <c r="E29" s="307"/>
      <c r="F29" s="307"/>
    </row>
    <row r="30" spans="3:6">
      <c r="C30" s="658"/>
      <c r="E30" s="307"/>
      <c r="F30" s="307"/>
    </row>
    <row r="31" spans="3:6">
      <c r="C31" s="658"/>
      <c r="E31" s="307"/>
      <c r="F31" s="307"/>
    </row>
    <row r="32" spans="3:6">
      <c r="C32" s="658"/>
      <c r="E32" s="307"/>
      <c r="F32" s="307"/>
    </row>
    <row r="33" spans="3:6">
      <c r="C33" s="658"/>
      <c r="E33" s="307"/>
      <c r="F33" s="307"/>
    </row>
    <row r="34" spans="3:6">
      <c r="C34" s="658"/>
      <c r="E34" s="307"/>
      <c r="F34" s="307"/>
    </row>
    <row r="35" spans="3:6">
      <c r="C35" s="658"/>
      <c r="E35" s="307"/>
      <c r="F35" s="307"/>
    </row>
    <row r="36" spans="3:6">
      <c r="C36" s="658"/>
      <c r="E36" s="307"/>
      <c r="F36" s="307"/>
    </row>
    <row r="37" spans="3:6">
      <c r="C37" s="658"/>
      <c r="E37" s="307"/>
      <c r="F37" s="307"/>
    </row>
    <row r="38" spans="3:6">
      <c r="C38" s="658"/>
      <c r="E38" s="307"/>
      <c r="F38" s="307"/>
    </row>
    <row r="39" spans="3:6">
      <c r="C39" s="658"/>
      <c r="E39" s="307"/>
      <c r="F39" s="307"/>
    </row>
    <row r="40" spans="3:6">
      <c r="C40" s="658"/>
      <c r="E40" s="307"/>
      <c r="F40" s="307"/>
    </row>
    <row r="41" spans="3:6">
      <c r="C41" s="658"/>
      <c r="E41" s="307"/>
      <c r="F41" s="307"/>
    </row>
    <row r="42" spans="3:6">
      <c r="C42" s="658"/>
      <c r="E42" s="307"/>
      <c r="F42" s="307"/>
    </row>
    <row r="43" spans="3:6">
      <c r="C43" s="658"/>
      <c r="E43" s="307"/>
      <c r="F43" s="307"/>
    </row>
    <row r="44" spans="3:6">
      <c r="C44" s="658"/>
      <c r="E44" s="307"/>
      <c r="F44" s="307"/>
    </row>
    <row r="45" spans="3:6">
      <c r="C45" s="658"/>
      <c r="E45" s="307"/>
      <c r="F45" s="307"/>
    </row>
    <row r="46" spans="3:6">
      <c r="C46" s="658"/>
      <c r="E46" s="307"/>
      <c r="F46" s="307"/>
    </row>
    <row r="47" spans="3:6">
      <c r="C47" s="658"/>
      <c r="E47" s="307"/>
      <c r="F47" s="307"/>
    </row>
    <row r="48" spans="3:6">
      <c r="C48" s="658"/>
      <c r="E48" s="307"/>
      <c r="F48" s="307"/>
    </row>
    <row r="49" spans="3:6">
      <c r="C49" s="658"/>
      <c r="E49" s="307"/>
      <c r="F49" s="307"/>
    </row>
    <row r="50" spans="3:6">
      <c r="C50" s="658"/>
      <c r="E50" s="307"/>
      <c r="F50" s="307"/>
    </row>
    <row r="51" spans="3:6">
      <c r="C51" s="658"/>
      <c r="E51" s="307"/>
      <c r="F51" s="307"/>
    </row>
    <row r="52" spans="3:6">
      <c r="C52" s="658"/>
      <c r="E52" s="307"/>
      <c r="F52" s="307"/>
    </row>
    <row r="53" spans="3:6">
      <c r="C53" s="658"/>
      <c r="E53" s="307"/>
      <c r="F53" s="307"/>
    </row>
    <row r="54" spans="3:6">
      <c r="C54" s="658"/>
      <c r="E54" s="307"/>
      <c r="F54" s="307"/>
    </row>
    <row r="55" spans="3:6">
      <c r="C55" s="658"/>
      <c r="E55" s="307"/>
      <c r="F55" s="307"/>
    </row>
    <row r="56" spans="3:6">
      <c r="C56" s="658"/>
      <c r="E56" s="307"/>
      <c r="F56" s="307"/>
    </row>
    <row r="57" spans="3:6">
      <c r="C57" s="658"/>
      <c r="E57" s="307"/>
      <c r="F57" s="307"/>
    </row>
    <row r="58" spans="3:6">
      <c r="C58" s="658"/>
      <c r="E58" s="307"/>
      <c r="F58" s="307"/>
    </row>
    <row r="59" spans="3:6">
      <c r="C59" s="658"/>
      <c r="E59" s="307"/>
      <c r="F59" s="307"/>
    </row>
    <row r="60" spans="3:6">
      <c r="C60" s="658"/>
      <c r="E60" s="307"/>
      <c r="F60" s="307"/>
    </row>
    <row r="61" spans="3:6">
      <c r="C61" s="658"/>
      <c r="E61" s="307"/>
      <c r="F61" s="307"/>
    </row>
    <row r="62" spans="3:6">
      <c r="C62" s="658"/>
      <c r="E62" s="307"/>
      <c r="F62" s="307"/>
    </row>
    <row r="63" spans="3:6">
      <c r="C63" s="658"/>
      <c r="E63" s="307"/>
      <c r="F63" s="307"/>
    </row>
    <row r="64" spans="3:6">
      <c r="C64" s="658"/>
      <c r="E64" s="307"/>
      <c r="F64" s="307"/>
    </row>
    <row r="65" spans="3:6">
      <c r="C65" s="658"/>
      <c r="E65" s="307"/>
      <c r="F65" s="307"/>
    </row>
    <row r="66" spans="3:6">
      <c r="C66" s="658"/>
      <c r="E66" s="307"/>
      <c r="F66" s="307"/>
    </row>
    <row r="67" spans="3:6">
      <c r="E67" s="307"/>
      <c r="F67" s="307"/>
    </row>
    <row r="68" spans="3:6">
      <c r="E68" s="307"/>
      <c r="F68" s="307"/>
    </row>
    <row r="69" spans="3:6">
      <c r="E69" s="307"/>
      <c r="F69" s="307"/>
    </row>
    <row r="70" spans="3:6">
      <c r="E70" s="307"/>
      <c r="F70" s="307"/>
    </row>
    <row r="71" spans="3:6">
      <c r="E71" s="307"/>
      <c r="F71" s="307"/>
    </row>
    <row r="72" spans="3:6">
      <c r="E72" s="307"/>
      <c r="F72" s="307"/>
    </row>
    <row r="73" spans="3:6">
      <c r="E73" s="307"/>
      <c r="F73" s="307"/>
    </row>
    <row r="74" spans="3:6">
      <c r="E74" s="307"/>
      <c r="F74" s="307"/>
    </row>
    <row r="75" spans="3:6">
      <c r="E75" s="307"/>
      <c r="F75" s="307"/>
    </row>
    <row r="76" spans="3:6">
      <c r="E76" s="307"/>
      <c r="F76" s="307"/>
    </row>
    <row r="77" spans="3:6">
      <c r="E77" s="307"/>
      <c r="F77" s="307"/>
    </row>
    <row r="78" spans="3:6">
      <c r="E78" s="307"/>
      <c r="F78" s="307"/>
    </row>
    <row r="79" spans="3:6">
      <c r="E79" s="307"/>
      <c r="F79" s="307"/>
    </row>
    <row r="80" spans="3: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row r="135" spans="5:6">
      <c r="E135" s="307"/>
      <c r="F135" s="307"/>
    </row>
    <row r="136" spans="5:6">
      <c r="E136" s="307"/>
      <c r="F136" s="307"/>
    </row>
    <row r="137" spans="5:6">
      <c r="E137" s="307"/>
      <c r="F137" s="307"/>
    </row>
    <row r="138" spans="5:6">
      <c r="E138" s="307"/>
      <c r="F138" s="307"/>
    </row>
    <row r="139" spans="5:6">
      <c r="E139" s="307"/>
      <c r="F139" s="307"/>
    </row>
    <row r="140" spans="5:6">
      <c r="E140" s="307"/>
      <c r="F140" s="307"/>
    </row>
    <row r="141" spans="5:6">
      <c r="E141" s="307"/>
      <c r="F141" s="307"/>
    </row>
    <row r="142" spans="5:6">
      <c r="E142" s="307"/>
      <c r="F142" s="307"/>
    </row>
    <row r="143" spans="5:6">
      <c r="E143" s="307"/>
      <c r="F143" s="307"/>
    </row>
    <row r="144" spans="5:6">
      <c r="E144" s="307"/>
      <c r="F144" s="307"/>
    </row>
    <row r="145" spans="5:6">
      <c r="E145" s="307"/>
      <c r="F145" s="307"/>
    </row>
    <row r="146" spans="5:6">
      <c r="E146" s="307"/>
      <c r="F146" s="307"/>
    </row>
    <row r="147" spans="5:6">
      <c r="E147" s="307"/>
      <c r="F147" s="307"/>
    </row>
    <row r="148" spans="5:6">
      <c r="E148" s="307"/>
      <c r="F148" s="307"/>
    </row>
    <row r="149" spans="5:6">
      <c r="E149" s="307"/>
      <c r="F149" s="307"/>
    </row>
    <row r="150" spans="5:6">
      <c r="E150" s="307"/>
      <c r="F150" s="307"/>
    </row>
    <row r="151" spans="5:6">
      <c r="E151" s="307"/>
      <c r="F151" s="307"/>
    </row>
    <row r="152" spans="5:6">
      <c r="E152" s="307"/>
      <c r="F152" s="307"/>
    </row>
    <row r="153" spans="5:6">
      <c r="E153" s="307"/>
      <c r="F153" s="307"/>
    </row>
    <row r="154" spans="5:6">
      <c r="E154" s="307"/>
      <c r="F154" s="307"/>
    </row>
    <row r="155" spans="5:6">
      <c r="E155" s="307"/>
      <c r="F155" s="307"/>
    </row>
    <row r="156" spans="5:6">
      <c r="E156" s="307"/>
      <c r="F156" s="307"/>
    </row>
    <row r="157" spans="5:6">
      <c r="E157" s="307"/>
      <c r="F157" s="307"/>
    </row>
    <row r="158" spans="5:6">
      <c r="E158" s="307"/>
      <c r="F158" s="307"/>
    </row>
    <row r="159" spans="5:6">
      <c r="E159" s="307"/>
      <c r="F159" s="307"/>
    </row>
  </sheetData>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I134"/>
  <sheetViews>
    <sheetView showGridLines="0" view="pageBreakPreview"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16406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46.5" customHeight="1">
      <c r="A2" s="308" t="s">
        <v>104</v>
      </c>
      <c r="B2" s="308" t="s">
        <v>549</v>
      </c>
      <c r="C2" s="309">
        <v>43500.497916666667</v>
      </c>
      <c r="D2" s="405" t="s">
        <v>596</v>
      </c>
      <c r="E2" s="310" t="s">
        <v>734</v>
      </c>
      <c r="F2" s="310"/>
      <c r="G2" s="289"/>
      <c r="H2" s="289"/>
      <c r="I2" s="304"/>
    </row>
    <row r="3" spans="1:9" ht="78" customHeight="1">
      <c r="A3" s="308" t="s">
        <v>441</v>
      </c>
      <c r="B3" s="308" t="s">
        <v>547</v>
      </c>
      <c r="C3" s="309">
        <v>43500.526388888888</v>
      </c>
      <c r="D3" s="405" t="s">
        <v>597</v>
      </c>
      <c r="E3" s="310"/>
      <c r="F3" s="310">
        <v>19</v>
      </c>
      <c r="G3" s="289"/>
      <c r="H3" s="289"/>
      <c r="I3" s="304"/>
    </row>
    <row r="4" spans="1:9" ht="45.75" customHeight="1">
      <c r="A4" s="308" t="s">
        <v>441</v>
      </c>
      <c r="B4" s="308" t="s">
        <v>598</v>
      </c>
      <c r="C4" s="309">
        <v>43501.211111111108</v>
      </c>
      <c r="D4" s="405" t="s">
        <v>599</v>
      </c>
      <c r="E4" s="310">
        <v>5</v>
      </c>
      <c r="F4" s="310"/>
      <c r="G4" s="289"/>
      <c r="H4" s="289"/>
      <c r="I4" s="304"/>
    </row>
    <row r="5" spans="1:9" ht="44.25" customHeight="1">
      <c r="A5" s="308" t="s">
        <v>441</v>
      </c>
      <c r="B5" s="308" t="s">
        <v>598</v>
      </c>
      <c r="C5" s="309">
        <v>43501.59652777778</v>
      </c>
      <c r="D5" s="405" t="s">
        <v>600</v>
      </c>
      <c r="E5" s="310">
        <v>3</v>
      </c>
      <c r="F5" s="310"/>
      <c r="G5" s="289"/>
      <c r="H5" s="289"/>
      <c r="I5" s="305"/>
    </row>
    <row r="6" spans="1:9" ht="64.5" customHeight="1">
      <c r="A6" s="308" t="s">
        <v>602</v>
      </c>
      <c r="B6" s="308" t="s">
        <v>603</v>
      </c>
      <c r="C6" s="309">
        <v>43501.70416666667</v>
      </c>
      <c r="D6" s="405" t="s">
        <v>604</v>
      </c>
      <c r="E6" s="310" t="s">
        <v>735</v>
      </c>
      <c r="F6" s="310"/>
      <c r="G6" s="289"/>
      <c r="H6" s="289"/>
      <c r="I6" s="304"/>
    </row>
    <row r="7" spans="1:9" ht="88.5" customHeight="1">
      <c r="A7" s="308" t="s">
        <v>441</v>
      </c>
      <c r="B7" s="308" t="s">
        <v>605</v>
      </c>
      <c r="C7" s="309">
        <v>43501.765277777777</v>
      </c>
      <c r="D7" s="405" t="s">
        <v>606</v>
      </c>
      <c r="E7" s="310"/>
      <c r="F7" s="310">
        <v>1</v>
      </c>
      <c r="G7" s="289"/>
      <c r="H7" s="289"/>
      <c r="I7" s="304"/>
    </row>
    <row r="8" spans="1:9" ht="52.5" customHeight="1">
      <c r="A8" s="308" t="s">
        <v>441</v>
      </c>
      <c r="B8" s="308" t="s">
        <v>607</v>
      </c>
      <c r="C8" s="309">
        <v>43502.35</v>
      </c>
      <c r="D8" s="405" t="s">
        <v>608</v>
      </c>
      <c r="E8" s="310" t="s">
        <v>736</v>
      </c>
      <c r="F8" s="310"/>
      <c r="G8" s="289"/>
      <c r="H8" s="289"/>
      <c r="I8" s="304"/>
    </row>
    <row r="9" spans="1:9" ht="55.5" customHeight="1">
      <c r="A9" s="308" t="s">
        <v>439</v>
      </c>
      <c r="B9" s="308" t="s">
        <v>544</v>
      </c>
      <c r="C9" s="309">
        <v>43502.655555555553</v>
      </c>
      <c r="D9" s="405" t="s">
        <v>609</v>
      </c>
      <c r="E9" s="310" t="s">
        <v>737</v>
      </c>
      <c r="F9" s="310"/>
    </row>
    <row r="10" spans="1:9" ht="65.25" customHeight="1">
      <c r="A10" s="308" t="s">
        <v>439</v>
      </c>
      <c r="B10" s="308" t="s">
        <v>544</v>
      </c>
      <c r="C10" s="309">
        <v>43502.673611111109</v>
      </c>
      <c r="D10" s="405" t="s">
        <v>610</v>
      </c>
      <c r="E10" s="310" t="s">
        <v>738</v>
      </c>
      <c r="F10" s="310"/>
    </row>
    <row r="11" spans="1:9" ht="42.75" customHeight="1">
      <c r="A11" s="308" t="s">
        <v>104</v>
      </c>
      <c r="B11" s="308" t="s">
        <v>549</v>
      </c>
      <c r="C11" s="309">
        <v>43503.282638888886</v>
      </c>
      <c r="D11" s="405" t="s">
        <v>611</v>
      </c>
      <c r="E11" s="310" t="s">
        <v>739</v>
      </c>
      <c r="F11" s="310"/>
    </row>
    <row r="12" spans="1:9">
      <c r="E12" s="307"/>
      <c r="F12" s="307"/>
    </row>
    <row r="13" spans="1:9">
      <c r="E13" s="307"/>
      <c r="F13" s="307"/>
    </row>
    <row r="14" spans="1:9">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sheetData>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I116"/>
  <sheetViews>
    <sheetView showGridLines="0" view="pageBreakPreview"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16406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51" customHeight="1">
      <c r="A2" s="308" t="s">
        <v>515</v>
      </c>
      <c r="B2" s="308" t="s">
        <v>551</v>
      </c>
      <c r="C2" s="309">
        <v>43503.311805555553</v>
      </c>
      <c r="D2" s="405" t="s">
        <v>612</v>
      </c>
      <c r="E2" s="310" t="s">
        <v>740</v>
      </c>
      <c r="F2" s="310"/>
      <c r="G2" s="289"/>
      <c r="H2" s="289"/>
      <c r="I2" s="304"/>
    </row>
    <row r="3" spans="1:9" ht="72" customHeight="1">
      <c r="A3" s="308" t="s">
        <v>613</v>
      </c>
      <c r="B3" s="308" t="s">
        <v>614</v>
      </c>
      <c r="C3" s="309">
        <v>43503.810416666667</v>
      </c>
      <c r="D3" s="405" t="s">
        <v>615</v>
      </c>
      <c r="E3" s="310">
        <v>170</v>
      </c>
      <c r="F3" s="310"/>
      <c r="G3" s="289"/>
      <c r="H3" s="289"/>
      <c r="I3" s="304"/>
    </row>
    <row r="4" spans="1:9" ht="76.5" customHeight="1">
      <c r="A4" s="308" t="s">
        <v>90</v>
      </c>
      <c r="B4" s="308" t="s">
        <v>616</v>
      </c>
      <c r="C4" s="309">
        <v>43504.621527777781</v>
      </c>
      <c r="D4" s="405" t="s">
        <v>617</v>
      </c>
      <c r="E4" s="310"/>
      <c r="F4" s="310" t="s">
        <v>618</v>
      </c>
      <c r="G4" s="289"/>
      <c r="H4" s="289"/>
      <c r="I4" s="304"/>
    </row>
    <row r="5" spans="1:9" ht="64.5" customHeight="1">
      <c r="A5" s="308" t="s">
        <v>104</v>
      </c>
      <c r="B5" s="308" t="s">
        <v>619</v>
      </c>
      <c r="C5" s="309">
        <v>43504.84652777778</v>
      </c>
      <c r="D5" s="405" t="s">
        <v>620</v>
      </c>
      <c r="E5" s="310" t="s">
        <v>741</v>
      </c>
      <c r="F5" s="310"/>
      <c r="G5" s="289"/>
      <c r="H5" s="289"/>
      <c r="I5" s="304"/>
    </row>
    <row r="6" spans="1:9" ht="53.25" customHeight="1">
      <c r="A6" s="308" t="s">
        <v>515</v>
      </c>
      <c r="B6" s="308" t="s">
        <v>551</v>
      </c>
      <c r="C6" s="309">
        <v>43505.370833333334</v>
      </c>
      <c r="D6" s="405" t="s">
        <v>621</v>
      </c>
      <c r="E6" s="310" t="s">
        <v>739</v>
      </c>
      <c r="F6" s="310"/>
      <c r="G6" s="289"/>
      <c r="H6" s="289"/>
      <c r="I6" s="306"/>
    </row>
    <row r="7" spans="1:9" ht="66" customHeight="1">
      <c r="A7" s="308" t="s">
        <v>602</v>
      </c>
      <c r="B7" s="308" t="s">
        <v>622</v>
      </c>
      <c r="C7" s="309">
        <v>43505.544444444444</v>
      </c>
      <c r="D7" s="405" t="s">
        <v>623</v>
      </c>
      <c r="E7" s="310" t="s">
        <v>742</v>
      </c>
      <c r="F7" s="310"/>
      <c r="G7" s="289"/>
      <c r="H7" s="289"/>
      <c r="I7" s="304"/>
    </row>
    <row r="8" spans="1:9" ht="87.75" customHeight="1">
      <c r="A8" s="308" t="s">
        <v>440</v>
      </c>
      <c r="B8" s="308" t="s">
        <v>624</v>
      </c>
      <c r="C8" s="309">
        <v>43506.597222222219</v>
      </c>
      <c r="D8" s="405" t="s">
        <v>625</v>
      </c>
      <c r="E8" s="310" t="s">
        <v>743</v>
      </c>
      <c r="F8" s="310"/>
    </row>
    <row r="9" spans="1:9" ht="68.25" customHeight="1">
      <c r="A9" s="308" t="s">
        <v>441</v>
      </c>
      <c r="B9" s="308" t="s">
        <v>626</v>
      </c>
      <c r="C9" s="309">
        <v>43507.137499999997</v>
      </c>
      <c r="D9" s="405" t="s">
        <v>627</v>
      </c>
      <c r="E9" s="310" t="s">
        <v>744</v>
      </c>
      <c r="F9" s="310"/>
    </row>
    <row r="10" spans="1:9" ht="75" customHeight="1">
      <c r="A10" s="308" t="s">
        <v>441</v>
      </c>
      <c r="B10" s="308" t="s">
        <v>626</v>
      </c>
      <c r="C10" s="309">
        <v>43507.381944444445</v>
      </c>
      <c r="D10" s="405" t="s">
        <v>628</v>
      </c>
      <c r="E10" s="310" t="s">
        <v>745</v>
      </c>
      <c r="F10" s="310"/>
    </row>
    <row r="11" spans="1:9" ht="59.25" customHeight="1">
      <c r="A11" s="308" t="s">
        <v>439</v>
      </c>
      <c r="B11" s="308" t="s">
        <v>544</v>
      </c>
      <c r="C11" s="309">
        <v>43507.723611111112</v>
      </c>
      <c r="D11" s="405" t="s">
        <v>629</v>
      </c>
      <c r="E11" s="310" t="s">
        <v>601</v>
      </c>
      <c r="F11" s="310"/>
    </row>
    <row r="12" spans="1:9">
      <c r="E12" s="307"/>
      <c r="F12" s="307"/>
    </row>
    <row r="13" spans="1:9">
      <c r="E13" s="307"/>
      <c r="F13" s="307"/>
    </row>
    <row r="14" spans="1:9">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sheetData>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W67"/>
  <sheetViews>
    <sheetView showGridLines="0" view="pageBreakPreview" zoomScale="115" zoomScaleNormal="100" zoomScaleSheetLayoutView="115" zoomScalePageLayoutView="145" workbookViewId="0">
      <selection activeCell="A3" sqref="A3"/>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13"/>
    <col min="15" max="16" width="10.1640625" style="340" bestFit="1" customWidth="1"/>
    <col min="17" max="17" width="11.5" style="340" customWidth="1"/>
    <col min="18" max="23" width="9.33203125" style="340"/>
    <col min="24" max="16384" width="9.33203125" style="46"/>
  </cols>
  <sheetData>
    <row r="1" spans="1:17" ht="27.75" customHeight="1">
      <c r="A1" s="861" t="s">
        <v>22</v>
      </c>
      <c r="B1" s="861"/>
      <c r="C1" s="861"/>
      <c r="D1" s="861"/>
      <c r="E1" s="861"/>
      <c r="F1" s="861"/>
      <c r="G1" s="861"/>
      <c r="H1" s="861"/>
      <c r="I1" s="861"/>
      <c r="J1" s="861"/>
      <c r="K1" s="861"/>
      <c r="L1" s="861"/>
      <c r="M1" s="861"/>
      <c r="N1" s="312"/>
      <c r="O1" s="339"/>
      <c r="P1" s="339"/>
      <c r="Q1" s="339"/>
    </row>
    <row r="2" spans="1:17" ht="11.25" customHeight="1">
      <c r="A2" s="41"/>
      <c r="B2" s="40"/>
      <c r="C2" s="65"/>
      <c r="D2" s="65"/>
      <c r="E2" s="65"/>
      <c r="F2" s="65"/>
      <c r="G2" s="65"/>
      <c r="H2" s="65"/>
      <c r="I2" s="65"/>
      <c r="J2" s="65"/>
      <c r="K2" s="40"/>
      <c r="L2" s="40"/>
      <c r="M2" s="40"/>
      <c r="N2" s="312"/>
      <c r="O2" s="339"/>
      <c r="P2" s="339"/>
      <c r="Q2" s="339"/>
    </row>
    <row r="3" spans="1:17" ht="21.75" customHeight="1">
      <c r="A3" s="40"/>
      <c r="B3" s="42"/>
      <c r="C3" s="868" t="str">
        <f>+UPPER(Q4)&amp;" "&amp;Q5</f>
        <v>FEBRERO 2019</v>
      </c>
      <c r="D3" s="861"/>
      <c r="E3" s="861"/>
      <c r="F3" s="861"/>
      <c r="G3" s="861"/>
      <c r="H3" s="861"/>
      <c r="I3" s="861"/>
      <c r="J3" s="861"/>
      <c r="K3" s="40"/>
      <c r="L3" s="40"/>
      <c r="M3" s="40"/>
      <c r="N3" s="312"/>
      <c r="O3" s="339"/>
      <c r="P3" s="339"/>
      <c r="Q3" s="339"/>
    </row>
    <row r="4" spans="1:17" ht="11.25" customHeight="1">
      <c r="A4" s="40"/>
      <c r="B4" s="42"/>
      <c r="C4" s="40"/>
      <c r="D4" s="40"/>
      <c r="E4" s="40"/>
      <c r="F4" s="40"/>
      <c r="G4" s="40"/>
      <c r="H4" s="40"/>
      <c r="I4" s="40"/>
      <c r="J4" s="40"/>
      <c r="K4" s="40"/>
      <c r="L4" s="40"/>
      <c r="M4" s="40"/>
      <c r="N4" s="314"/>
      <c r="O4" s="341"/>
      <c r="P4" s="339" t="s">
        <v>218</v>
      </c>
      <c r="Q4" s="342" t="s">
        <v>781</v>
      </c>
    </row>
    <row r="5" spans="1:17" ht="11.25" customHeight="1">
      <c r="A5" s="47"/>
      <c r="B5" s="48"/>
      <c r="C5" s="49"/>
      <c r="D5" s="49"/>
      <c r="E5" s="49"/>
      <c r="F5" s="49"/>
      <c r="G5" s="49"/>
      <c r="H5" s="49"/>
      <c r="I5" s="49"/>
      <c r="J5" s="49"/>
      <c r="K5" s="49"/>
      <c r="L5" s="49"/>
      <c r="M5" s="40"/>
      <c r="N5" s="314"/>
      <c r="O5" s="341"/>
      <c r="P5" s="339" t="s">
        <v>219</v>
      </c>
      <c r="Q5" s="341">
        <v>2019</v>
      </c>
    </row>
    <row r="6" spans="1:17" ht="17.25" customHeight="1">
      <c r="A6" s="60" t="s">
        <v>477</v>
      </c>
      <c r="B6" s="40"/>
      <c r="C6" s="40"/>
      <c r="D6" s="40"/>
      <c r="E6" s="40"/>
      <c r="F6" s="40"/>
      <c r="G6" s="40"/>
      <c r="H6" s="40"/>
      <c r="I6" s="40"/>
      <c r="J6" s="40"/>
      <c r="K6" s="40"/>
      <c r="L6" s="40"/>
      <c r="M6" s="40"/>
      <c r="N6" s="312"/>
      <c r="O6" s="339"/>
      <c r="P6" s="339"/>
      <c r="Q6" s="350">
        <v>43497</v>
      </c>
    </row>
    <row r="7" spans="1:17" ht="11.25" customHeight="1">
      <c r="A7" s="40"/>
      <c r="B7" s="40"/>
      <c r="C7" s="40"/>
      <c r="D7" s="40"/>
      <c r="E7" s="40"/>
      <c r="F7" s="40"/>
      <c r="G7" s="40"/>
      <c r="H7" s="40"/>
      <c r="I7" s="40"/>
      <c r="J7" s="40"/>
      <c r="K7" s="40"/>
      <c r="L7" s="40"/>
      <c r="M7" s="40"/>
      <c r="N7" s="312"/>
      <c r="O7" s="339"/>
      <c r="P7" s="339"/>
      <c r="Q7" s="339">
        <v>28</v>
      </c>
    </row>
    <row r="8" spans="1:17" ht="11.25" customHeight="1">
      <c r="A8" s="43"/>
      <c r="B8" s="43"/>
      <c r="C8" s="43"/>
      <c r="D8" s="43"/>
      <c r="E8" s="43"/>
      <c r="F8" s="43"/>
      <c r="G8" s="43"/>
      <c r="H8" s="43"/>
      <c r="I8" s="43"/>
      <c r="J8" s="43"/>
      <c r="K8" s="43"/>
      <c r="L8" s="43"/>
      <c r="M8" s="43"/>
      <c r="N8" s="315"/>
      <c r="O8" s="343"/>
      <c r="P8" s="343"/>
      <c r="Q8" s="343"/>
    </row>
    <row r="9" spans="1:17" ht="11.25" customHeight="1">
      <c r="A9" s="40" t="str">
        <f>"1.1. Producción de energía eléctrica en "&amp;LOWER(Q4)&amp;" "&amp;Q5&amp;" en comparación al mismo mes del año anterior"</f>
        <v>1.1. Producción de energía eléctrica en febrero 2019 en comparación al mismo mes del año anterior</v>
      </c>
      <c r="B9" s="40"/>
      <c r="C9" s="40"/>
      <c r="D9" s="40"/>
      <c r="E9" s="40"/>
      <c r="F9" s="40"/>
      <c r="G9" s="40"/>
      <c r="H9" s="40"/>
      <c r="I9" s="40"/>
      <c r="J9" s="40"/>
      <c r="K9" s="40"/>
      <c r="L9" s="40"/>
      <c r="M9" s="40"/>
      <c r="N9" s="312"/>
      <c r="O9" s="339"/>
      <c r="P9" s="339"/>
      <c r="Q9" s="339"/>
    </row>
    <row r="10" spans="1:17" ht="11.25" customHeight="1">
      <c r="A10" s="47"/>
      <c r="B10" s="44"/>
      <c r="C10" s="44"/>
      <c r="D10" s="44"/>
      <c r="E10" s="44"/>
      <c r="F10" s="44"/>
      <c r="G10" s="44"/>
      <c r="H10" s="44"/>
      <c r="I10" s="44"/>
      <c r="J10" s="44"/>
      <c r="K10" s="44"/>
      <c r="L10" s="44"/>
      <c r="M10" s="44"/>
      <c r="N10" s="314"/>
      <c r="O10" s="341"/>
      <c r="P10" s="341"/>
      <c r="Q10" s="341"/>
    </row>
    <row r="11" spans="1:17" ht="11.25" customHeight="1">
      <c r="A11" s="50"/>
      <c r="B11" s="50"/>
      <c r="C11" s="50"/>
      <c r="D11" s="50"/>
      <c r="E11" s="50"/>
      <c r="F11" s="50"/>
      <c r="G11" s="50"/>
      <c r="H11" s="50"/>
      <c r="I11" s="50"/>
      <c r="J11" s="50"/>
      <c r="K11" s="50"/>
      <c r="L11" s="50"/>
      <c r="M11" s="50"/>
      <c r="N11" s="316"/>
      <c r="O11" s="344"/>
      <c r="P11" s="344"/>
      <c r="Q11" s="344"/>
    </row>
    <row r="12" spans="1:17" ht="26.25" customHeight="1">
      <c r="A12" s="62" t="s">
        <v>23</v>
      </c>
      <c r="B12" s="867" t="s">
        <v>777</v>
      </c>
      <c r="C12" s="867"/>
      <c r="D12" s="867"/>
      <c r="E12" s="867"/>
      <c r="F12" s="867"/>
      <c r="G12" s="867"/>
      <c r="H12" s="867"/>
      <c r="I12" s="867"/>
      <c r="J12" s="867"/>
      <c r="K12" s="867"/>
      <c r="L12" s="867"/>
      <c r="M12" s="867"/>
      <c r="N12" s="314"/>
      <c r="O12" s="341"/>
      <c r="P12" s="341"/>
      <c r="Q12" s="341"/>
    </row>
    <row r="13" spans="1:17" ht="12.75" customHeight="1">
      <c r="A13" s="40"/>
      <c r="B13" s="64"/>
      <c r="C13" s="64"/>
      <c r="D13" s="64"/>
      <c r="E13" s="64"/>
      <c r="F13" s="64"/>
      <c r="G13" s="64"/>
      <c r="H13" s="64"/>
      <c r="I13" s="64"/>
      <c r="J13" s="64"/>
      <c r="K13" s="64"/>
      <c r="L13" s="64"/>
      <c r="M13" s="44"/>
      <c r="N13" s="314"/>
      <c r="O13" s="341"/>
      <c r="P13" s="341"/>
      <c r="Q13" s="341"/>
    </row>
    <row r="14" spans="1:17" ht="28.5" customHeight="1">
      <c r="A14" s="62" t="s">
        <v>23</v>
      </c>
      <c r="B14" s="867" t="s">
        <v>778</v>
      </c>
      <c r="C14" s="867"/>
      <c r="D14" s="867"/>
      <c r="E14" s="867"/>
      <c r="F14" s="867"/>
      <c r="G14" s="867"/>
      <c r="H14" s="867"/>
      <c r="I14" s="867"/>
      <c r="J14" s="867"/>
      <c r="K14" s="867"/>
      <c r="L14" s="867"/>
      <c r="M14" s="867"/>
      <c r="N14" s="314"/>
      <c r="O14" s="341"/>
      <c r="P14" s="341"/>
      <c r="Q14" s="341"/>
    </row>
    <row r="15" spans="1:17" ht="15" customHeight="1">
      <c r="A15" s="63"/>
      <c r="B15" s="64"/>
      <c r="C15" s="64"/>
      <c r="D15" s="64"/>
      <c r="E15" s="64"/>
      <c r="F15" s="64"/>
      <c r="G15" s="64"/>
      <c r="H15" s="64"/>
      <c r="I15" s="64"/>
      <c r="J15" s="64"/>
      <c r="K15" s="64"/>
      <c r="L15" s="64"/>
      <c r="M15" s="44"/>
      <c r="N15" s="314"/>
      <c r="O15" s="341"/>
      <c r="P15" s="341"/>
      <c r="Q15" s="341"/>
    </row>
    <row r="16" spans="1:17" ht="59.25" customHeight="1">
      <c r="A16" s="62" t="s">
        <v>23</v>
      </c>
      <c r="B16" s="867" t="s">
        <v>779</v>
      </c>
      <c r="C16" s="867"/>
      <c r="D16" s="867"/>
      <c r="E16" s="867"/>
      <c r="F16" s="867"/>
      <c r="G16" s="867"/>
      <c r="H16" s="867"/>
      <c r="I16" s="867"/>
      <c r="J16" s="867"/>
      <c r="K16" s="867"/>
      <c r="L16" s="867"/>
      <c r="M16" s="867"/>
      <c r="N16" s="314"/>
      <c r="O16" s="341"/>
      <c r="P16" s="341"/>
      <c r="Q16" s="341"/>
    </row>
    <row r="17" spans="1:18" ht="17.25" customHeight="1">
      <c r="A17" s="44"/>
      <c r="B17" s="44"/>
      <c r="C17" s="44"/>
      <c r="D17" s="44"/>
      <c r="E17" s="44"/>
      <c r="F17" s="44"/>
      <c r="G17" s="44"/>
      <c r="H17" s="44"/>
      <c r="I17" s="44"/>
      <c r="J17" s="44"/>
      <c r="K17" s="44"/>
      <c r="L17" s="44"/>
      <c r="M17" s="44"/>
      <c r="N17" s="314"/>
      <c r="O17" s="341"/>
      <c r="P17" s="341"/>
      <c r="Q17" s="341"/>
    </row>
    <row r="18" spans="1:18" ht="25.5" customHeight="1">
      <c r="A18" s="61" t="s">
        <v>23</v>
      </c>
      <c r="B18" s="866" t="s">
        <v>780</v>
      </c>
      <c r="C18" s="866"/>
      <c r="D18" s="866"/>
      <c r="E18" s="866"/>
      <c r="F18" s="866"/>
      <c r="G18" s="866"/>
      <c r="H18" s="866"/>
      <c r="I18" s="866"/>
      <c r="J18" s="866"/>
      <c r="K18" s="866"/>
      <c r="L18" s="866"/>
      <c r="M18" s="866"/>
      <c r="N18" s="314"/>
      <c r="O18" s="341"/>
      <c r="P18" s="341"/>
      <c r="Q18" s="341"/>
    </row>
    <row r="19" spans="1:18" ht="11.25" customHeight="1">
      <c r="A19" s="44"/>
      <c r="B19" s="44"/>
      <c r="C19" s="44"/>
      <c r="D19" s="44"/>
      <c r="E19" s="44"/>
      <c r="F19" s="44"/>
      <c r="G19" s="44"/>
      <c r="H19" s="44"/>
      <c r="I19" s="44"/>
      <c r="J19" s="44"/>
      <c r="K19" s="44"/>
      <c r="L19" s="44"/>
      <c r="M19" s="44"/>
      <c r="N19" s="314"/>
      <c r="O19" s="341"/>
      <c r="P19" s="341"/>
      <c r="Q19" s="341"/>
    </row>
    <row r="20" spans="1:18" ht="15.75" customHeight="1">
      <c r="A20" s="44"/>
      <c r="B20" s="44"/>
      <c r="C20" s="865" t="str">
        <f>+UPPER(Q4)&amp;" "&amp;Q5</f>
        <v>FEBRERO 2019</v>
      </c>
      <c r="D20" s="865"/>
      <c r="E20" s="865"/>
      <c r="F20" s="40"/>
      <c r="G20" s="40"/>
      <c r="H20" s="40"/>
      <c r="I20" s="865" t="str">
        <f>+UPPER(Q4)&amp;" "&amp;Q5-1</f>
        <v>FEBRERO 2018</v>
      </c>
      <c r="J20" s="865"/>
      <c r="K20" s="865"/>
      <c r="L20" s="44"/>
      <c r="M20" s="44"/>
      <c r="Q20" s="341"/>
    </row>
    <row r="21" spans="1:18" ht="11.25" customHeight="1">
      <c r="A21" s="44"/>
      <c r="B21" s="44"/>
      <c r="C21" s="44"/>
      <c r="D21" s="44"/>
      <c r="E21" s="44"/>
      <c r="F21" s="44"/>
      <c r="G21" s="44"/>
      <c r="H21" s="44"/>
      <c r="I21" s="44"/>
      <c r="J21" s="44"/>
      <c r="K21" s="44"/>
      <c r="L21" s="44"/>
      <c r="M21" s="44"/>
      <c r="Q21" s="341"/>
    </row>
    <row r="22" spans="1:18" ht="11.25" customHeight="1">
      <c r="A22" s="51"/>
      <c r="B22" s="52"/>
      <c r="C22" s="52"/>
      <c r="D22" s="52"/>
      <c r="E22" s="52"/>
      <c r="F22" s="52"/>
      <c r="G22" s="52"/>
      <c r="H22" s="52"/>
      <c r="I22" s="52"/>
      <c r="J22" s="52"/>
      <c r="K22" s="52"/>
      <c r="L22" s="52"/>
      <c r="M22" s="52"/>
      <c r="N22" s="377" t="s">
        <v>31</v>
      </c>
      <c r="O22" s="345">
        <v>43282</v>
      </c>
      <c r="P22" s="345">
        <v>42917</v>
      </c>
    </row>
    <row r="23" spans="1:18" ht="11.25" customHeight="1">
      <c r="A23" s="51"/>
      <c r="B23" s="52"/>
      <c r="C23" s="52"/>
      <c r="D23" s="52"/>
      <c r="E23" s="52"/>
      <c r="F23" s="52"/>
      <c r="G23" s="52"/>
      <c r="H23" s="52"/>
      <c r="I23" s="52"/>
      <c r="J23" s="52"/>
      <c r="K23" s="52"/>
      <c r="L23" s="52"/>
      <c r="M23" s="52"/>
      <c r="N23" s="377" t="s">
        <v>24</v>
      </c>
      <c r="O23" s="346">
        <v>2818.4740673550014</v>
      </c>
      <c r="P23" s="346">
        <v>2764.6728744499997</v>
      </c>
      <c r="Q23" s="347"/>
    </row>
    <row r="24" spans="1:18" ht="11.25" customHeight="1">
      <c r="A24" s="44"/>
      <c r="B24" s="44"/>
      <c r="C24" s="44"/>
      <c r="D24" s="44"/>
      <c r="E24" s="43"/>
      <c r="F24" s="44"/>
      <c r="G24" s="44"/>
      <c r="H24" s="44"/>
      <c r="I24" s="44"/>
      <c r="J24" s="44"/>
      <c r="K24" s="44"/>
      <c r="L24" s="44"/>
      <c r="M24" s="43"/>
      <c r="N24" s="378" t="s">
        <v>25</v>
      </c>
      <c r="O24" s="348">
        <v>1117.4008187420311</v>
      </c>
      <c r="P24" s="348">
        <v>971.89974104249984</v>
      </c>
      <c r="Q24" s="346"/>
      <c r="R24" s="346"/>
    </row>
    <row r="25" spans="1:18" ht="11.25" customHeight="1">
      <c r="A25" s="44"/>
      <c r="B25" s="44"/>
      <c r="C25" s="44"/>
      <c r="D25" s="44"/>
      <c r="E25" s="44"/>
      <c r="F25" s="44"/>
      <c r="G25" s="44"/>
      <c r="H25" s="44"/>
      <c r="I25" s="44"/>
      <c r="J25" s="53"/>
      <c r="K25" s="53"/>
      <c r="L25" s="44"/>
      <c r="M25" s="44"/>
      <c r="N25" s="378" t="s">
        <v>26</v>
      </c>
      <c r="O25" s="348">
        <v>14.210985769999999</v>
      </c>
      <c r="P25" s="348">
        <v>20.235010845000001</v>
      </c>
      <c r="Q25" s="349"/>
    </row>
    <row r="26" spans="1:18" ht="11.25" customHeight="1">
      <c r="A26" s="44"/>
      <c r="B26" s="44"/>
      <c r="C26" s="44"/>
      <c r="D26" s="44"/>
      <c r="E26" s="44"/>
      <c r="F26" s="44"/>
      <c r="G26" s="44"/>
      <c r="H26" s="44"/>
      <c r="I26" s="44"/>
      <c r="J26" s="53"/>
      <c r="K26" s="53"/>
      <c r="L26" s="44"/>
      <c r="M26" s="44"/>
      <c r="N26" s="377" t="s">
        <v>27</v>
      </c>
      <c r="O26" s="346">
        <v>34.239523405468752</v>
      </c>
      <c r="P26" s="346">
        <v>43.589716535000001</v>
      </c>
      <c r="Q26" s="349"/>
    </row>
    <row r="27" spans="1:18" ht="11.25" customHeight="1">
      <c r="A27" s="44"/>
      <c r="B27" s="44"/>
      <c r="C27" s="44"/>
      <c r="D27" s="44"/>
      <c r="E27" s="44"/>
      <c r="F27" s="44"/>
      <c r="G27" s="44"/>
      <c r="H27" s="44"/>
      <c r="I27" s="44"/>
      <c r="J27" s="53"/>
      <c r="K27" s="44"/>
      <c r="L27" s="44"/>
      <c r="M27" s="44"/>
      <c r="N27" s="377" t="s">
        <v>28</v>
      </c>
      <c r="O27" s="346">
        <v>14.048983830000001</v>
      </c>
      <c r="P27" s="346">
        <v>10.4942919425</v>
      </c>
      <c r="Q27" s="349"/>
    </row>
    <row r="28" spans="1:18" ht="11.25" customHeight="1">
      <c r="A28" s="44"/>
      <c r="B28" s="44"/>
      <c r="C28" s="53"/>
      <c r="D28" s="53"/>
      <c r="E28" s="53"/>
      <c r="F28" s="53"/>
      <c r="G28" s="53"/>
      <c r="H28" s="53"/>
      <c r="I28" s="53"/>
      <c r="J28" s="53"/>
      <c r="K28" s="53"/>
      <c r="L28" s="44"/>
      <c r="M28" s="44"/>
      <c r="N28" s="377" t="s">
        <v>29</v>
      </c>
      <c r="O28" s="346">
        <v>92.624653935000012</v>
      </c>
      <c r="P28" s="346">
        <v>62.462496864999999</v>
      </c>
      <c r="Q28" s="349"/>
    </row>
    <row r="29" spans="1:18" ht="11.25" customHeight="1">
      <c r="A29" s="44"/>
      <c r="B29" s="44"/>
      <c r="C29" s="53"/>
      <c r="D29" s="53"/>
      <c r="E29" s="53"/>
      <c r="F29" s="53"/>
      <c r="G29" s="53"/>
      <c r="H29" s="53"/>
      <c r="I29" s="53"/>
      <c r="J29" s="53"/>
      <c r="K29" s="53"/>
      <c r="L29" s="44"/>
      <c r="M29" s="44"/>
      <c r="N29" s="377" t="s">
        <v>30</v>
      </c>
      <c r="O29" s="346">
        <v>49.242465800000005</v>
      </c>
      <c r="P29" s="346">
        <v>46.187362507500005</v>
      </c>
      <c r="Q29" s="349"/>
    </row>
    <row r="30" spans="1:18" ht="11.25" customHeight="1">
      <c r="A30" s="44"/>
      <c r="B30" s="44"/>
      <c r="C30" s="53"/>
      <c r="D30" s="53"/>
      <c r="E30" s="53"/>
      <c r="F30" s="53"/>
      <c r="G30" s="53"/>
      <c r="H30" s="53"/>
      <c r="I30" s="53"/>
      <c r="J30" s="53"/>
      <c r="K30" s="53"/>
      <c r="L30" s="44"/>
      <c r="M30" s="44"/>
      <c r="N30" s="377"/>
      <c r="O30" s="349"/>
      <c r="P30" s="349"/>
      <c r="Q30" s="349"/>
    </row>
    <row r="31" spans="1:18" ht="11.25" customHeight="1">
      <c r="A31" s="44"/>
      <c r="B31" s="44"/>
      <c r="C31" s="53"/>
      <c r="D31" s="53"/>
      <c r="E31" s="53"/>
      <c r="F31" s="53"/>
      <c r="G31" s="53"/>
      <c r="H31" s="53"/>
      <c r="I31" s="53"/>
      <c r="J31" s="53"/>
      <c r="K31" s="53"/>
      <c r="L31" s="44"/>
      <c r="M31" s="44"/>
      <c r="O31" s="399"/>
      <c r="P31" s="399"/>
      <c r="Q31" s="400"/>
    </row>
    <row r="32" spans="1:18" ht="11.25" customHeight="1">
      <c r="A32" s="44"/>
      <c r="B32" s="44"/>
      <c r="C32" s="53"/>
      <c r="D32" s="53"/>
      <c r="E32" s="53"/>
      <c r="F32" s="53"/>
      <c r="G32" s="53"/>
      <c r="H32" s="53"/>
      <c r="I32" s="53"/>
      <c r="J32" s="53"/>
      <c r="K32" s="53"/>
      <c r="L32" s="44"/>
      <c r="M32" s="44"/>
      <c r="Q32" s="341"/>
    </row>
    <row r="33" spans="1:17" ht="11.25" customHeight="1">
      <c r="A33" s="44"/>
      <c r="B33" s="44"/>
      <c r="C33" s="53"/>
      <c r="D33" s="53"/>
      <c r="E33" s="53"/>
      <c r="F33" s="53"/>
      <c r="G33" s="53"/>
      <c r="H33" s="53"/>
      <c r="I33" s="53"/>
      <c r="J33" s="53"/>
      <c r="K33" s="53"/>
      <c r="L33" s="44"/>
      <c r="M33" s="44"/>
      <c r="Q33" s="341"/>
    </row>
    <row r="34" spans="1:17" ht="11.25" customHeight="1">
      <c r="A34" s="44"/>
      <c r="B34" s="44"/>
      <c r="C34" s="53"/>
      <c r="D34" s="53"/>
      <c r="E34" s="53"/>
      <c r="F34" s="53"/>
      <c r="G34" s="53"/>
      <c r="H34" s="53"/>
      <c r="I34" s="53"/>
      <c r="J34" s="53"/>
      <c r="K34" s="53"/>
      <c r="L34" s="44"/>
      <c r="M34" s="44"/>
      <c r="Q34" s="341"/>
    </row>
    <row r="35" spans="1:17" ht="11.25" customHeight="1">
      <c r="A35" s="54"/>
      <c r="B35" s="54"/>
      <c r="C35" s="55"/>
      <c r="D35" s="55"/>
      <c r="E35" s="55"/>
      <c r="F35" s="55"/>
      <c r="G35" s="55"/>
      <c r="H35" s="55"/>
      <c r="I35" s="55"/>
      <c r="J35" s="54"/>
      <c r="K35" s="54"/>
      <c r="L35" s="54"/>
      <c r="M35" s="54"/>
      <c r="Q35" s="341"/>
    </row>
    <row r="36" spans="1:17" ht="11.25" customHeight="1">
      <c r="A36" s="54"/>
      <c r="B36" s="54"/>
      <c r="C36" s="55"/>
      <c r="D36" s="55"/>
      <c r="E36" s="55"/>
      <c r="F36" s="55"/>
      <c r="G36" s="55"/>
      <c r="H36" s="55"/>
      <c r="I36" s="55"/>
      <c r="J36" s="54"/>
      <c r="K36" s="54"/>
      <c r="L36" s="54"/>
      <c r="M36" s="54"/>
      <c r="Q36" s="341"/>
    </row>
    <row r="37" spans="1:17" ht="11.25" customHeight="1">
      <c r="A37" s="54"/>
      <c r="B37" s="54"/>
      <c r="C37" s="55"/>
      <c r="D37" s="55"/>
      <c r="E37" s="55"/>
      <c r="F37" s="55"/>
      <c r="G37" s="55"/>
      <c r="H37" s="55"/>
      <c r="I37" s="55"/>
      <c r="J37" s="54"/>
      <c r="K37" s="54"/>
      <c r="L37" s="54"/>
      <c r="M37" s="54"/>
      <c r="N37" s="314"/>
      <c r="O37" s="341"/>
      <c r="P37" s="341"/>
      <c r="Q37" s="341"/>
    </row>
    <row r="38" spans="1:17" ht="11.25" customHeight="1">
      <c r="A38" s="54"/>
      <c r="B38" s="54"/>
      <c r="C38" s="55"/>
      <c r="D38" s="55"/>
      <c r="E38" s="55"/>
      <c r="F38" s="55"/>
      <c r="G38" s="55"/>
      <c r="H38" s="55"/>
      <c r="I38" s="55"/>
      <c r="J38" s="54"/>
      <c r="K38" s="54"/>
      <c r="L38" s="54"/>
      <c r="M38" s="54"/>
      <c r="N38" s="314"/>
      <c r="O38" s="341"/>
      <c r="P38" s="341"/>
      <c r="Q38" s="341"/>
    </row>
    <row r="39" spans="1:17" ht="11.25" customHeight="1">
      <c r="A39" s="54"/>
      <c r="B39" s="54"/>
      <c r="C39" s="55"/>
      <c r="D39" s="55"/>
      <c r="E39" s="55"/>
      <c r="F39" s="55"/>
      <c r="G39" s="55"/>
      <c r="H39" s="55"/>
      <c r="I39" s="55"/>
      <c r="J39" s="54"/>
      <c r="K39" s="54"/>
      <c r="L39" s="54"/>
      <c r="M39" s="54"/>
      <c r="N39" s="314"/>
      <c r="O39" s="341"/>
      <c r="P39" s="341"/>
      <c r="Q39" s="341"/>
    </row>
    <row r="40" spans="1:17" ht="11.25" customHeight="1">
      <c r="A40" s="54"/>
      <c r="B40" s="54"/>
      <c r="C40" s="55"/>
      <c r="D40" s="55"/>
      <c r="E40" s="55"/>
      <c r="F40" s="55"/>
      <c r="G40" s="55"/>
      <c r="H40" s="55"/>
      <c r="I40" s="55"/>
      <c r="J40" s="54"/>
      <c r="K40" s="54"/>
      <c r="L40" s="54"/>
      <c r="M40" s="54"/>
      <c r="N40" s="314"/>
      <c r="O40" s="341"/>
      <c r="P40" s="341"/>
      <c r="Q40" s="341"/>
    </row>
    <row r="41" spans="1:17" ht="11.25" customHeight="1">
      <c r="A41" s="54"/>
      <c r="B41" s="54"/>
      <c r="C41" s="54"/>
      <c r="D41" s="55"/>
      <c r="E41" s="55"/>
      <c r="F41" s="55"/>
      <c r="G41" s="55"/>
      <c r="H41" s="54"/>
      <c r="I41" s="54"/>
      <c r="J41" s="54"/>
      <c r="K41" s="54"/>
      <c r="L41" s="54"/>
      <c r="M41" s="54"/>
      <c r="N41" s="314"/>
      <c r="O41" s="341"/>
      <c r="P41" s="341"/>
      <c r="Q41" s="341"/>
    </row>
    <row r="42" spans="1:17" ht="11.25" customHeight="1">
      <c r="A42" s="54"/>
      <c r="B42" s="54"/>
      <c r="C42" s="55"/>
      <c r="D42" s="55"/>
      <c r="E42" s="55"/>
      <c r="F42" s="55"/>
      <c r="G42" s="55"/>
      <c r="H42" s="55"/>
      <c r="I42" s="55"/>
      <c r="J42" s="54"/>
      <c r="K42" s="54"/>
      <c r="L42" s="54"/>
      <c r="M42" s="54"/>
      <c r="N42" s="314"/>
      <c r="O42" s="341"/>
      <c r="P42" s="341"/>
      <c r="Q42" s="341"/>
    </row>
    <row r="43" spans="1:17" ht="11.25" customHeight="1">
      <c r="A43" s="54"/>
      <c r="B43" s="54"/>
      <c r="C43" s="55"/>
      <c r="D43" s="55"/>
      <c r="E43" s="55"/>
      <c r="F43" s="55"/>
      <c r="G43" s="55"/>
      <c r="H43" s="55"/>
      <c r="I43" s="55"/>
      <c r="J43" s="54"/>
      <c r="K43" s="54"/>
      <c r="L43" s="54"/>
      <c r="M43" s="54"/>
      <c r="N43" s="314"/>
      <c r="O43" s="341"/>
      <c r="P43" s="341"/>
      <c r="Q43" s="341"/>
    </row>
    <row r="44" spans="1:17" ht="11.25" customHeight="1">
      <c r="A44" s="54"/>
      <c r="B44" s="54"/>
      <c r="C44" s="55"/>
      <c r="D44" s="55"/>
      <c r="E44" s="55"/>
      <c r="F44" s="55"/>
      <c r="G44" s="55"/>
      <c r="H44" s="55"/>
      <c r="I44" s="55"/>
      <c r="J44" s="54"/>
      <c r="K44" s="54"/>
      <c r="L44" s="54"/>
      <c r="M44" s="54"/>
      <c r="N44" s="314"/>
      <c r="O44" s="341"/>
      <c r="P44" s="341"/>
      <c r="Q44" s="341"/>
    </row>
    <row r="45" spans="1:17" ht="11.25" customHeight="1">
      <c r="A45" s="54"/>
      <c r="B45" s="54"/>
      <c r="C45" s="55"/>
      <c r="D45" s="55"/>
      <c r="E45" s="55"/>
      <c r="F45" s="55"/>
      <c r="G45" s="55"/>
      <c r="H45" s="55"/>
      <c r="I45" s="55"/>
      <c r="J45" s="54"/>
      <c r="K45" s="54"/>
      <c r="L45" s="54"/>
      <c r="M45" s="54"/>
      <c r="N45" s="314"/>
      <c r="O45" s="341"/>
      <c r="P45" s="341"/>
      <c r="Q45" s="341"/>
    </row>
    <row r="46" spans="1:17" ht="11.25" customHeight="1">
      <c r="A46" s="54"/>
      <c r="B46" s="54"/>
      <c r="C46" s="54"/>
      <c r="D46" s="54"/>
      <c r="E46" s="54"/>
      <c r="F46" s="54"/>
      <c r="G46" s="54"/>
      <c r="H46" s="54"/>
      <c r="I46" s="54"/>
      <c r="J46" s="54"/>
      <c r="K46" s="54"/>
      <c r="L46" s="54"/>
      <c r="M46" s="54"/>
      <c r="N46" s="314"/>
      <c r="O46" s="341"/>
      <c r="P46" s="341"/>
      <c r="Q46" s="341"/>
    </row>
    <row r="47" spans="1:17" ht="16.5" customHeight="1">
      <c r="A47" s="54"/>
      <c r="B47" s="864" t="str">
        <f>"Total = "&amp;TEXT(ROUND(SUM(O23:O29),2),"0 000,00")&amp;" GWh"</f>
        <v>Total = 4 140,24 GWh</v>
      </c>
      <c r="C47" s="864"/>
      <c r="D47" s="864"/>
      <c r="E47" s="864"/>
      <c r="F47" s="54"/>
      <c r="G47" s="54"/>
      <c r="H47" s="863" t="str">
        <f>"Total = "&amp;TEXT(ROUND(SUM(P23:P29),2),"0 000,00")&amp;" GWh"</f>
        <v>Total = 3 919,54 GWh</v>
      </c>
      <c r="I47" s="863"/>
      <c r="J47" s="863"/>
      <c r="K47" s="863"/>
      <c r="L47" s="54"/>
      <c r="M47" s="54"/>
      <c r="N47" s="314"/>
      <c r="O47" s="341"/>
      <c r="P47" s="341"/>
      <c r="Q47" s="341"/>
    </row>
    <row r="48" spans="1:17" ht="11.25" customHeight="1">
      <c r="H48" s="54"/>
      <c r="I48" s="54"/>
      <c r="J48" s="54"/>
      <c r="K48" s="54"/>
      <c r="L48" s="54"/>
      <c r="M48" s="54"/>
      <c r="N48" s="314"/>
      <c r="O48" s="341"/>
      <c r="P48" s="341"/>
      <c r="Q48" s="341"/>
    </row>
    <row r="49" spans="1:17" ht="11.25" customHeight="1">
      <c r="B49" s="862" t="str">
        <f>"Gráfico 1: Comparación de producción mensual de electricidad en "&amp;Q4&amp;" por tipo de recurso energético."</f>
        <v>Gráfico 1: Comparación de producción mensual de electricidad en febrero por tipo de recurso energético.</v>
      </c>
      <c r="C49" s="862"/>
      <c r="D49" s="862"/>
      <c r="E49" s="862"/>
      <c r="F49" s="862"/>
      <c r="G49" s="862"/>
      <c r="H49" s="862"/>
      <c r="I49" s="862"/>
      <c r="J49" s="862"/>
      <c r="K49" s="862"/>
      <c r="L49" s="862"/>
      <c r="M49" s="240"/>
      <c r="N49" s="317"/>
      <c r="O49" s="341"/>
      <c r="P49" s="341"/>
      <c r="Q49" s="341"/>
    </row>
    <row r="50" spans="1:17" ht="11.25" customHeight="1">
      <c r="A50" s="54"/>
      <c r="B50" s="54"/>
      <c r="C50" s="45"/>
      <c r="D50" s="45"/>
      <c r="E50" s="54"/>
      <c r="F50" s="54"/>
      <c r="G50" s="54"/>
      <c r="H50" s="54"/>
      <c r="I50" s="54"/>
      <c r="J50" s="54"/>
      <c r="K50" s="54"/>
      <c r="L50" s="54"/>
      <c r="M50" s="54"/>
      <c r="N50" s="314"/>
      <c r="O50" s="341"/>
      <c r="P50" s="341"/>
      <c r="Q50" s="341"/>
    </row>
    <row r="51" spans="1:17" ht="11.25" customHeight="1">
      <c r="A51" s="54"/>
      <c r="B51" s="54"/>
      <c r="C51" s="54"/>
      <c r="D51" s="54"/>
      <c r="E51" s="54"/>
      <c r="F51" s="54"/>
      <c r="G51" s="54"/>
      <c r="H51" s="54"/>
      <c r="I51" s="54"/>
      <c r="J51" s="54"/>
      <c r="K51" s="54"/>
      <c r="L51" s="54"/>
      <c r="M51" s="54"/>
      <c r="N51" s="314"/>
      <c r="O51" s="341"/>
      <c r="P51" s="341"/>
      <c r="Q51" s="341"/>
    </row>
    <row r="52" spans="1:17" ht="11.25" customHeight="1">
      <c r="A52" s="54"/>
      <c r="B52" s="54"/>
      <c r="C52" s="54"/>
      <c r="D52" s="54"/>
      <c r="E52" s="54"/>
      <c r="F52" s="54"/>
      <c r="G52" s="54"/>
      <c r="H52" s="54"/>
      <c r="I52" s="54"/>
      <c r="J52" s="54"/>
      <c r="K52" s="54"/>
      <c r="L52" s="54"/>
      <c r="M52" s="54"/>
      <c r="N52" s="314"/>
      <c r="O52" s="341"/>
      <c r="P52" s="341"/>
      <c r="Q52" s="341"/>
    </row>
    <row r="53" spans="1:17" ht="11.25" customHeight="1">
      <c r="A53" s="54"/>
      <c r="B53" s="54"/>
      <c r="C53" s="54"/>
      <c r="D53" s="54"/>
      <c r="E53" s="54"/>
      <c r="F53" s="54"/>
      <c r="G53" s="54"/>
      <c r="H53" s="54"/>
      <c r="I53" s="54"/>
      <c r="J53" s="54"/>
      <c r="K53" s="54"/>
      <c r="L53" s="54"/>
      <c r="M53" s="54"/>
      <c r="N53" s="314"/>
      <c r="O53" s="341"/>
      <c r="P53" s="341"/>
      <c r="Q53" s="341"/>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0.82677165354330717" bottom="0.62992125984251968" header="0.31496062992125984" footer="0.31496062992125984"/>
  <pageSetup orientation="portrait" r:id="rId1"/>
  <headerFooter>
    <oddHeader>&amp;R&amp;7Informe de la Operación Mensual - Febrero 2019
INFSGI-MES-02-2019
11/03/2019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139"/>
  <sheetViews>
    <sheetView showGridLines="0" view="pageBreakPreview" topLeftCell="A2"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16406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82.5" customHeight="1">
      <c r="A2" s="308" t="s">
        <v>501</v>
      </c>
      <c r="B2" s="308" t="s">
        <v>630</v>
      </c>
      <c r="C2" s="309">
        <v>43507.824999999997</v>
      </c>
      <c r="D2" s="405" t="s">
        <v>631</v>
      </c>
      <c r="E2" s="310" t="s">
        <v>746</v>
      </c>
      <c r="F2" s="310"/>
      <c r="G2" s="289"/>
      <c r="H2" s="289"/>
      <c r="I2" s="306"/>
    </row>
    <row r="3" spans="1:9" ht="48.75" customHeight="1">
      <c r="A3" s="308" t="s">
        <v>501</v>
      </c>
      <c r="B3" s="308" t="s">
        <v>632</v>
      </c>
      <c r="C3" s="309">
        <v>43510.690972222219</v>
      </c>
      <c r="D3" s="405" t="s">
        <v>633</v>
      </c>
      <c r="E3" s="310" t="s">
        <v>747</v>
      </c>
      <c r="F3" s="310"/>
      <c r="G3" s="289"/>
      <c r="H3" s="289"/>
      <c r="I3" s="304"/>
    </row>
    <row r="4" spans="1:9" ht="54.75" customHeight="1">
      <c r="A4" s="308" t="s">
        <v>439</v>
      </c>
      <c r="B4" s="308" t="s">
        <v>634</v>
      </c>
      <c r="C4" s="309">
        <v>43510.695833333331</v>
      </c>
      <c r="D4" s="405" t="s">
        <v>635</v>
      </c>
      <c r="E4" s="310" t="s">
        <v>748</v>
      </c>
      <c r="F4" s="310"/>
      <c r="G4" s="289"/>
      <c r="H4" s="289"/>
      <c r="I4" s="304"/>
    </row>
    <row r="5" spans="1:9" ht="61.5" customHeight="1">
      <c r="A5" s="308" t="s">
        <v>441</v>
      </c>
      <c r="B5" s="308" t="s">
        <v>626</v>
      </c>
      <c r="C5" s="309">
        <v>43510.720833333333</v>
      </c>
      <c r="D5" s="405" t="s">
        <v>636</v>
      </c>
      <c r="E5" s="310" t="s">
        <v>671</v>
      </c>
      <c r="F5" s="310"/>
      <c r="G5" s="289"/>
      <c r="H5" s="289"/>
      <c r="I5" s="304"/>
    </row>
    <row r="6" spans="1:9" ht="66.75" customHeight="1">
      <c r="A6" s="308" t="s">
        <v>637</v>
      </c>
      <c r="B6" s="308" t="s">
        <v>638</v>
      </c>
      <c r="C6" s="309">
        <v>43511.711805555555</v>
      </c>
      <c r="D6" s="405" t="s">
        <v>639</v>
      </c>
      <c r="E6" s="310">
        <v>5</v>
      </c>
      <c r="F6" s="310"/>
      <c r="G6" s="289"/>
      <c r="H6" s="289"/>
      <c r="I6" s="304"/>
    </row>
    <row r="7" spans="1:9" ht="69" customHeight="1">
      <c r="A7" s="308" t="s">
        <v>441</v>
      </c>
      <c r="B7" s="308" t="s">
        <v>626</v>
      </c>
      <c r="C7" s="309">
        <v>43512.404861111114</v>
      </c>
      <c r="D7" s="405" t="s">
        <v>640</v>
      </c>
      <c r="E7" s="310" t="s">
        <v>749</v>
      </c>
      <c r="F7" s="310"/>
      <c r="G7" s="289"/>
      <c r="H7" s="291"/>
      <c r="I7" s="304"/>
    </row>
    <row r="8" spans="1:9" ht="54" customHeight="1">
      <c r="A8" s="308" t="s">
        <v>513</v>
      </c>
      <c r="B8" s="308" t="s">
        <v>550</v>
      </c>
      <c r="C8" s="309">
        <v>43513.649305555555</v>
      </c>
      <c r="D8" s="405" t="s">
        <v>641</v>
      </c>
      <c r="E8" s="310" t="s">
        <v>750</v>
      </c>
      <c r="F8" s="310"/>
    </row>
    <row r="9" spans="1:9" ht="84.75" customHeight="1">
      <c r="A9" s="308" t="s">
        <v>514</v>
      </c>
      <c r="B9" s="308" t="s">
        <v>642</v>
      </c>
      <c r="C9" s="309">
        <v>43513.838888888888</v>
      </c>
      <c r="D9" s="405" t="s">
        <v>643</v>
      </c>
      <c r="E9" s="310"/>
      <c r="F9" s="310" t="s">
        <v>644</v>
      </c>
    </row>
    <row r="10" spans="1:9" ht="55.5" customHeight="1">
      <c r="A10" s="308" t="s">
        <v>645</v>
      </c>
      <c r="B10" s="308" t="s">
        <v>646</v>
      </c>
      <c r="C10" s="309">
        <v>43514.602777777778</v>
      </c>
      <c r="D10" s="405" t="s">
        <v>647</v>
      </c>
      <c r="E10" s="310"/>
      <c r="F10" s="310" t="s">
        <v>648</v>
      </c>
    </row>
    <row r="11" spans="1:9" ht="70.5" customHeight="1">
      <c r="A11" s="308" t="s">
        <v>524</v>
      </c>
      <c r="B11" s="308" t="s">
        <v>546</v>
      </c>
      <c r="C11" s="309">
        <v>43514.640277777777</v>
      </c>
      <c r="D11" s="405" t="s">
        <v>649</v>
      </c>
      <c r="E11" s="310" t="s">
        <v>751</v>
      </c>
      <c r="F11" s="310"/>
    </row>
    <row r="12" spans="1:9" ht="12" customHeight="1">
      <c r="E12" s="307"/>
      <c r="F12" s="307"/>
    </row>
    <row r="13" spans="1:9" ht="12" customHeight="1">
      <c r="E13" s="307"/>
      <c r="F13" s="307"/>
    </row>
    <row r="14" spans="1:9" ht="12" customHeight="1">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row r="135" spans="5:6">
      <c r="E135" s="307"/>
      <c r="F135" s="307"/>
    </row>
    <row r="136" spans="5:6">
      <c r="E136" s="307"/>
      <c r="F136" s="307"/>
    </row>
    <row r="137" spans="5:6">
      <c r="E137" s="307"/>
      <c r="F137" s="307"/>
    </row>
    <row r="138" spans="5:6">
      <c r="E138" s="307"/>
      <c r="F138" s="307"/>
    </row>
    <row r="139" spans="5:6">
      <c r="E139" s="307"/>
      <c r="F139" s="307"/>
    </row>
  </sheetData>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I149"/>
  <sheetViews>
    <sheetView showGridLines="0" view="pageBreakPreview" topLeftCell="A2"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16406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71.25" customHeight="1">
      <c r="A2" s="308" t="s">
        <v>552</v>
      </c>
      <c r="B2" s="308" t="s">
        <v>650</v>
      </c>
      <c r="C2" s="309">
        <v>43515.800694444442</v>
      </c>
      <c r="D2" s="405" t="s">
        <v>651</v>
      </c>
      <c r="E2" s="310" t="s">
        <v>752</v>
      </c>
      <c r="F2" s="310"/>
      <c r="G2" s="289"/>
      <c r="H2" s="291"/>
      <c r="I2" s="304"/>
    </row>
    <row r="3" spans="1:9" ht="68.25" customHeight="1">
      <c r="A3" s="308" t="s">
        <v>440</v>
      </c>
      <c r="B3" s="308" t="s">
        <v>545</v>
      </c>
      <c r="C3" s="309">
        <v>43515.824305555558</v>
      </c>
      <c r="D3" s="405" t="s">
        <v>652</v>
      </c>
      <c r="E3" s="310" t="s">
        <v>753</v>
      </c>
      <c r="F3" s="310"/>
      <c r="G3" s="289"/>
      <c r="H3" s="291"/>
      <c r="I3" s="304"/>
    </row>
    <row r="4" spans="1:9" ht="65.25" customHeight="1">
      <c r="A4" s="308" t="s">
        <v>515</v>
      </c>
      <c r="B4" s="308" t="s">
        <v>551</v>
      </c>
      <c r="C4" s="309">
        <v>43516.652083333334</v>
      </c>
      <c r="D4" s="405" t="s">
        <v>653</v>
      </c>
      <c r="E4" s="310" t="s">
        <v>754</v>
      </c>
      <c r="F4" s="310"/>
      <c r="G4" s="289"/>
      <c r="H4" s="291"/>
      <c r="I4" s="304"/>
    </row>
    <row r="5" spans="1:9" ht="66.75" customHeight="1">
      <c r="A5" s="308" t="s">
        <v>515</v>
      </c>
      <c r="B5" s="308" t="s">
        <v>548</v>
      </c>
      <c r="C5" s="309">
        <v>43517.752083333333</v>
      </c>
      <c r="D5" s="405" t="s">
        <v>654</v>
      </c>
      <c r="E5" s="310" t="s">
        <v>755</v>
      </c>
      <c r="F5" s="310"/>
      <c r="G5" s="289"/>
      <c r="H5" s="291"/>
      <c r="I5" s="304"/>
    </row>
    <row r="6" spans="1:9" ht="108.75" customHeight="1">
      <c r="A6" s="308" t="s">
        <v>645</v>
      </c>
      <c r="B6" s="308" t="s">
        <v>655</v>
      </c>
      <c r="C6" s="309">
        <v>43518.435416666667</v>
      </c>
      <c r="D6" s="405" t="s">
        <v>656</v>
      </c>
      <c r="E6" s="310" t="s">
        <v>756</v>
      </c>
      <c r="F6" s="310"/>
      <c r="G6" s="289"/>
      <c r="H6" s="291"/>
      <c r="I6" s="307"/>
    </row>
    <row r="7" spans="1:9" ht="57.75" customHeight="1">
      <c r="A7" s="659" t="s">
        <v>439</v>
      </c>
      <c r="B7" s="659" t="s">
        <v>544</v>
      </c>
      <c r="C7" s="660">
        <v>43518.614583333336</v>
      </c>
      <c r="D7" s="661" t="s">
        <v>657</v>
      </c>
      <c r="E7" s="662" t="s">
        <v>757</v>
      </c>
      <c r="F7" s="662"/>
      <c r="G7" s="289"/>
      <c r="H7" s="291"/>
      <c r="I7" s="304"/>
    </row>
    <row r="8" spans="1:9" ht="58.5" customHeight="1">
      <c r="A8" s="667" t="s">
        <v>658</v>
      </c>
      <c r="B8" s="667" t="s">
        <v>659</v>
      </c>
      <c r="C8" s="668">
        <v>43518.744444444441</v>
      </c>
      <c r="D8" s="669" t="s">
        <v>660</v>
      </c>
      <c r="E8" s="670" t="s">
        <v>758</v>
      </c>
      <c r="F8" s="670"/>
    </row>
    <row r="9" spans="1:9" ht="64.5" customHeight="1">
      <c r="A9" s="308" t="s">
        <v>441</v>
      </c>
      <c r="B9" s="308" t="s">
        <v>661</v>
      </c>
      <c r="C9" s="309">
        <v>43518.802777777775</v>
      </c>
      <c r="D9" s="405" t="s">
        <v>662</v>
      </c>
      <c r="E9" s="310" t="s">
        <v>759</v>
      </c>
      <c r="F9" s="310"/>
    </row>
    <row r="10" spans="1:9" ht="77.25" customHeight="1">
      <c r="A10" s="308" t="s">
        <v>441</v>
      </c>
      <c r="B10" s="308" t="s">
        <v>626</v>
      </c>
      <c r="C10" s="309">
        <v>43519.962500000001</v>
      </c>
      <c r="D10" s="405" t="s">
        <v>663</v>
      </c>
      <c r="E10" s="310" t="s">
        <v>760</v>
      </c>
      <c r="F10" s="310"/>
    </row>
    <row r="11" spans="1:9" ht="59.25" customHeight="1">
      <c r="A11" s="663" t="s">
        <v>441</v>
      </c>
      <c r="B11" s="663" t="s">
        <v>626</v>
      </c>
      <c r="C11" s="664">
        <v>43520.56527777778</v>
      </c>
      <c r="D11" s="665" t="s">
        <v>664</v>
      </c>
      <c r="E11" s="666">
        <v>16</v>
      </c>
      <c r="F11" s="666"/>
    </row>
    <row r="12" spans="1:9" ht="13.5" customHeight="1">
      <c r="E12" s="307"/>
      <c r="F12" s="307"/>
    </row>
    <row r="13" spans="1:9" ht="13.5" customHeight="1">
      <c r="E13" s="307"/>
      <c r="F13" s="307"/>
    </row>
    <row r="14" spans="1:9">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row r="135" spans="5:6">
      <c r="E135" s="307"/>
      <c r="F135" s="307"/>
    </row>
    <row r="136" spans="5:6">
      <c r="E136" s="307"/>
      <c r="F136" s="307"/>
    </row>
    <row r="137" spans="5:6">
      <c r="E137" s="307"/>
      <c r="F137" s="307"/>
    </row>
    <row r="138" spans="5:6">
      <c r="E138" s="307"/>
      <c r="F138" s="307"/>
    </row>
    <row r="139" spans="5:6">
      <c r="E139" s="307"/>
      <c r="F139" s="307"/>
    </row>
    <row r="140" spans="5:6">
      <c r="E140" s="307"/>
      <c r="F140" s="307"/>
    </row>
    <row r="141" spans="5:6">
      <c r="E141" s="307"/>
      <c r="F141" s="307"/>
    </row>
    <row r="142" spans="5:6">
      <c r="E142" s="307"/>
      <c r="F142" s="307"/>
    </row>
    <row r="143" spans="5:6">
      <c r="E143" s="307"/>
      <c r="F143" s="307"/>
    </row>
    <row r="144" spans="5:6">
      <c r="E144" s="307"/>
      <c r="F144" s="307"/>
    </row>
    <row r="145" spans="5:6">
      <c r="E145" s="307"/>
      <c r="F145" s="307"/>
    </row>
    <row r="146" spans="5:6">
      <c r="E146" s="307"/>
      <c r="F146" s="307"/>
    </row>
    <row r="147" spans="5:6">
      <c r="E147" s="307"/>
      <c r="F147" s="307"/>
    </row>
    <row r="148" spans="5:6">
      <c r="E148" s="307"/>
      <c r="F148" s="307"/>
    </row>
    <row r="149" spans="5:6">
      <c r="E149" s="307"/>
      <c r="F149" s="307"/>
    </row>
  </sheetData>
  <pageMargins left="0.70866141732283472" right="0.51181102362204722" top="0.86614173228346458" bottom="0.62992125984251968" header="0.31496062992125984" footer="0.31496062992125984"/>
  <pageSetup scale="97" orientation="portrait" r:id="rId1"/>
  <headerFooter>
    <oddHeader>&amp;R&amp;7Informe de la Operación Mensual - Febrero 2019
INFSGI-MES-02-2019
11/03/2019
Versión: 01</oddHeader>
    <oddFooter>&amp;L&amp;7COES, 2019&amp;C29&amp;R&amp;7Dirección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I145"/>
  <sheetViews>
    <sheetView showGridLines="0" view="pageBreakPreview" topLeftCell="A2"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57.75" customHeight="1">
      <c r="A2" s="308" t="s">
        <v>501</v>
      </c>
      <c r="B2" s="308" t="s">
        <v>630</v>
      </c>
      <c r="C2" s="309">
        <v>43520.584722222222</v>
      </c>
      <c r="D2" s="405" t="s">
        <v>665</v>
      </c>
      <c r="E2" s="310" t="s">
        <v>761</v>
      </c>
      <c r="F2" s="310"/>
      <c r="G2" s="289"/>
      <c r="H2" s="291"/>
      <c r="I2" s="304"/>
    </row>
    <row r="3" spans="1:9" ht="60.75" customHeight="1">
      <c r="A3" s="308" t="s">
        <v>440</v>
      </c>
      <c r="B3" s="308" t="s">
        <v>624</v>
      </c>
      <c r="C3" s="309">
        <v>43520.631249999999</v>
      </c>
      <c r="D3" s="405" t="s">
        <v>666</v>
      </c>
      <c r="E3" s="310" t="s">
        <v>762</v>
      </c>
      <c r="F3" s="310"/>
      <c r="G3" s="289"/>
      <c r="H3" s="291"/>
      <c r="I3" s="304"/>
    </row>
    <row r="4" spans="1:9" ht="66.75" customHeight="1">
      <c r="A4" s="308" t="s">
        <v>514</v>
      </c>
      <c r="B4" s="308" t="s">
        <v>587</v>
      </c>
      <c r="C4" s="309">
        <v>43520.757638888892</v>
      </c>
      <c r="D4" s="405" t="s">
        <v>667</v>
      </c>
      <c r="E4" s="310"/>
      <c r="F4" s="310">
        <v>30</v>
      </c>
      <c r="G4" s="289"/>
      <c r="H4" s="291"/>
      <c r="I4" s="304"/>
    </row>
    <row r="5" spans="1:9" ht="67.5" customHeight="1">
      <c r="A5" s="308" t="s">
        <v>501</v>
      </c>
      <c r="B5" s="308" t="s">
        <v>668</v>
      </c>
      <c r="C5" s="309">
        <v>43521.156944444447</v>
      </c>
      <c r="D5" s="405" t="s">
        <v>669</v>
      </c>
      <c r="E5" s="310" t="s">
        <v>763</v>
      </c>
      <c r="F5" s="310"/>
      <c r="G5" s="289"/>
      <c r="H5" s="291"/>
    </row>
    <row r="6" spans="1:9" ht="73.5" customHeight="1">
      <c r="A6" s="308" t="s">
        <v>441</v>
      </c>
      <c r="B6" s="308" t="s">
        <v>626</v>
      </c>
      <c r="C6" s="309">
        <v>43521.426388888889</v>
      </c>
      <c r="D6" s="405" t="s">
        <v>670</v>
      </c>
      <c r="E6" s="310" t="s">
        <v>764</v>
      </c>
      <c r="F6" s="310"/>
      <c r="G6" s="289"/>
      <c r="H6" s="291"/>
    </row>
    <row r="7" spans="1:9" ht="98.25" customHeight="1">
      <c r="A7" s="308" t="s">
        <v>672</v>
      </c>
      <c r="B7" s="308" t="s">
        <v>673</v>
      </c>
      <c r="C7" s="309">
        <v>43521.51458333333</v>
      </c>
      <c r="D7" s="405" t="s">
        <v>674</v>
      </c>
      <c r="E7" s="310">
        <v>14</v>
      </c>
      <c r="F7" s="310">
        <v>126</v>
      </c>
      <c r="G7" s="289"/>
      <c r="H7" s="291"/>
    </row>
    <row r="8" spans="1:9" ht="57" customHeight="1">
      <c r="A8" s="308" t="s">
        <v>440</v>
      </c>
      <c r="B8" s="308" t="s">
        <v>675</v>
      </c>
      <c r="C8" s="309">
        <v>43521.555555555555</v>
      </c>
      <c r="D8" s="405" t="s">
        <v>676</v>
      </c>
      <c r="E8" s="310" t="s">
        <v>765</v>
      </c>
      <c r="F8" s="310"/>
    </row>
    <row r="9" spans="1:9" ht="60.75" customHeight="1">
      <c r="A9" s="308" t="s">
        <v>524</v>
      </c>
      <c r="B9" s="308" t="s">
        <v>677</v>
      </c>
      <c r="C9" s="309">
        <v>43521.636111111111</v>
      </c>
      <c r="D9" s="405" t="s">
        <v>678</v>
      </c>
      <c r="E9" s="310" t="s">
        <v>766</v>
      </c>
      <c r="F9" s="310"/>
    </row>
    <row r="10" spans="1:9" ht="83.25" customHeight="1">
      <c r="A10" s="308" t="s">
        <v>552</v>
      </c>
      <c r="B10" s="308" t="s">
        <v>650</v>
      </c>
      <c r="C10" s="309">
        <v>43521.652083333334</v>
      </c>
      <c r="D10" s="405" t="s">
        <v>679</v>
      </c>
      <c r="E10" s="310">
        <v>145</v>
      </c>
      <c r="F10" s="310"/>
    </row>
    <row r="11" spans="1:9" ht="67.5" customHeight="1">
      <c r="A11" s="308" t="s">
        <v>680</v>
      </c>
      <c r="B11" s="308" t="s">
        <v>681</v>
      </c>
      <c r="C11" s="309">
        <v>43521.724305555559</v>
      </c>
      <c r="D11" s="405" t="s">
        <v>682</v>
      </c>
      <c r="E11" s="310" t="s">
        <v>767</v>
      </c>
      <c r="F11" s="310"/>
    </row>
    <row r="12" spans="1:9">
      <c r="A12" s="456"/>
      <c r="B12" s="456"/>
      <c r="C12" s="457"/>
      <c r="D12" s="458"/>
      <c r="E12" s="459"/>
      <c r="F12" s="459"/>
    </row>
    <row r="13" spans="1:9">
      <c r="E13" s="307"/>
      <c r="F13" s="307"/>
    </row>
    <row r="14" spans="1:9">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row r="135" spans="5:6">
      <c r="E135" s="307"/>
      <c r="F135" s="307"/>
    </row>
    <row r="136" spans="5:6">
      <c r="E136" s="307"/>
      <c r="F136" s="307"/>
    </row>
    <row r="137" spans="5:6">
      <c r="E137" s="307"/>
      <c r="F137" s="307"/>
    </row>
    <row r="138" spans="5:6">
      <c r="E138" s="307"/>
      <c r="F138" s="307"/>
    </row>
    <row r="139" spans="5:6">
      <c r="E139" s="307"/>
      <c r="F139" s="307"/>
    </row>
    <row r="140" spans="5:6">
      <c r="E140" s="307"/>
      <c r="F140" s="307"/>
    </row>
    <row r="141" spans="5:6">
      <c r="E141" s="307"/>
      <c r="F141" s="307"/>
    </row>
    <row r="142" spans="5:6">
      <c r="E142" s="307"/>
      <c r="F142" s="307"/>
    </row>
    <row r="143" spans="5:6">
      <c r="E143" s="307"/>
      <c r="F143" s="307"/>
    </row>
    <row r="144" spans="5:6">
      <c r="E144" s="307"/>
      <c r="F144" s="307"/>
    </row>
    <row r="145" spans="5:6">
      <c r="E145" s="307"/>
      <c r="F145" s="307"/>
    </row>
  </sheetData>
  <pageMargins left="0.70866141732283472" right="0.51181102362204722" top="0.86614173228346458" bottom="0.62992125984251968" header="0.31496062992125984" footer="0.31496062992125984"/>
  <pageSetup scale="93" orientation="portrait" r:id="rId1"/>
  <headerFooter>
    <oddHeader>&amp;R&amp;7Informe de la Operación Mensual - Febrero 2019
INFSGI-MES-02-2019
11/03/2019
Versión: 01</oddHeader>
    <oddFooter>&amp;L&amp;7COES SINAC, 2019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I153"/>
  <sheetViews>
    <sheetView showGridLines="0" view="pageBreakPreview" zoomScale="145" zoomScaleNormal="100" zoomScaleSheetLayoutView="145" zoomScalePageLayoutView="145" workbookViewId="0">
      <selection activeCell="A3" sqref="A3"/>
    </sheetView>
  </sheetViews>
  <sheetFormatPr defaultColWidth="9.33203125" defaultRowHeight="9"/>
  <cols>
    <col min="1" max="1" width="16.1640625" style="300" customWidth="1"/>
    <col min="2" max="2" width="19.6640625" style="300" customWidth="1"/>
    <col min="3" max="3" width="12.5" style="300" bestFit="1" customWidth="1"/>
    <col min="4" max="4" width="47.1640625" style="300" customWidth="1"/>
    <col min="5" max="5" width="11.5" style="300" customWidth="1"/>
    <col min="6" max="6" width="10.5" style="300" customWidth="1"/>
    <col min="7" max="8" width="9.33203125" style="300" customWidth="1"/>
    <col min="9" max="16384" width="9.33203125" style="300"/>
  </cols>
  <sheetData>
    <row r="1" spans="1:9" ht="30" customHeight="1">
      <c r="A1" s="610" t="s">
        <v>269</v>
      </c>
      <c r="B1" s="611" t="s">
        <v>435</v>
      </c>
      <c r="C1" s="610" t="s">
        <v>424</v>
      </c>
      <c r="D1" s="612" t="s">
        <v>436</v>
      </c>
      <c r="E1" s="613" t="s">
        <v>437</v>
      </c>
      <c r="F1" s="613" t="s">
        <v>438</v>
      </c>
      <c r="G1" s="290"/>
      <c r="H1" s="301"/>
      <c r="I1" s="288"/>
    </row>
    <row r="2" spans="1:9" ht="59.25" customHeight="1">
      <c r="A2" s="308" t="s">
        <v>439</v>
      </c>
      <c r="B2" s="308" t="s">
        <v>544</v>
      </c>
      <c r="C2" s="309">
        <v>43522.590277777781</v>
      </c>
      <c r="D2" s="405" t="s">
        <v>683</v>
      </c>
      <c r="E2" s="310" t="s">
        <v>768</v>
      </c>
      <c r="F2" s="310"/>
      <c r="G2" s="289"/>
      <c r="H2" s="291"/>
    </row>
    <row r="3" spans="1:9" ht="59.25" customHeight="1">
      <c r="A3" s="308" t="s">
        <v>441</v>
      </c>
      <c r="B3" s="308" t="s">
        <v>684</v>
      </c>
      <c r="C3" s="309">
        <v>43522.593055555553</v>
      </c>
      <c r="D3" s="405" t="s">
        <v>685</v>
      </c>
      <c r="E3" s="310" t="s">
        <v>769</v>
      </c>
      <c r="F3" s="310"/>
      <c r="G3" s="289"/>
      <c r="H3" s="291"/>
    </row>
    <row r="4" spans="1:9" ht="57.75" customHeight="1">
      <c r="A4" s="308" t="s">
        <v>439</v>
      </c>
      <c r="B4" s="308" t="s">
        <v>544</v>
      </c>
      <c r="C4" s="309">
        <v>43523.570138888892</v>
      </c>
      <c r="D4" s="405" t="s">
        <v>686</v>
      </c>
      <c r="E4" s="310" t="s">
        <v>770</v>
      </c>
      <c r="F4" s="310"/>
      <c r="G4" s="289"/>
      <c r="H4" s="291"/>
    </row>
    <row r="5" spans="1:9" ht="57" customHeight="1">
      <c r="A5" s="308" t="s">
        <v>680</v>
      </c>
      <c r="B5" s="308" t="s">
        <v>687</v>
      </c>
      <c r="C5" s="309">
        <v>43523.801388888889</v>
      </c>
      <c r="D5" s="405" t="s">
        <v>688</v>
      </c>
      <c r="E5" s="310" t="s">
        <v>771</v>
      </c>
      <c r="F5" s="310"/>
    </row>
    <row r="6" spans="1:9" ht="57.75" customHeight="1">
      <c r="A6" s="659" t="s">
        <v>515</v>
      </c>
      <c r="B6" s="659" t="s">
        <v>689</v>
      </c>
      <c r="C6" s="660">
        <v>43524.560416666667</v>
      </c>
      <c r="D6" s="661" t="s">
        <v>690</v>
      </c>
      <c r="E6" s="662" t="s">
        <v>772</v>
      </c>
      <c r="F6" s="662"/>
    </row>
    <row r="7" spans="1:9" ht="96.75" customHeight="1">
      <c r="A7" s="716" t="s">
        <v>691</v>
      </c>
      <c r="B7" s="717" t="s">
        <v>692</v>
      </c>
      <c r="C7" s="718">
        <v>43524.679166666669</v>
      </c>
      <c r="D7" s="719" t="s">
        <v>693</v>
      </c>
      <c r="E7" s="720" t="s">
        <v>773</v>
      </c>
      <c r="F7" s="721" t="s">
        <v>694</v>
      </c>
    </row>
    <row r="8" spans="1:9" ht="58.5" customHeight="1">
      <c r="A8" s="456"/>
      <c r="B8" s="456"/>
      <c r="C8" s="457"/>
      <c r="D8" s="458"/>
      <c r="E8" s="459"/>
      <c r="F8" s="459"/>
    </row>
    <row r="9" spans="1:9" ht="84.75" customHeight="1">
      <c r="A9" s="456"/>
      <c r="B9" s="456"/>
      <c r="C9" s="457"/>
      <c r="D9" s="458"/>
      <c r="E9" s="459"/>
      <c r="F9" s="459"/>
    </row>
    <row r="10" spans="1:9">
      <c r="E10" s="307"/>
      <c r="F10" s="307"/>
    </row>
    <row r="11" spans="1:9">
      <c r="E11" s="307"/>
      <c r="F11" s="307"/>
    </row>
    <row r="12" spans="1:9">
      <c r="E12" s="307"/>
      <c r="F12" s="307"/>
    </row>
    <row r="13" spans="1:9">
      <c r="E13" s="307"/>
      <c r="F13" s="307"/>
    </row>
    <row r="14" spans="1:9">
      <c r="E14" s="307"/>
      <c r="F14" s="307"/>
    </row>
    <row r="15" spans="1:9">
      <c r="E15" s="307"/>
      <c r="F15" s="307"/>
    </row>
    <row r="16" spans="1:9">
      <c r="E16" s="307"/>
      <c r="F16" s="307"/>
    </row>
    <row r="17" spans="5:6">
      <c r="E17" s="307"/>
      <c r="F17" s="307"/>
    </row>
    <row r="18" spans="5:6">
      <c r="E18" s="307"/>
      <c r="F18" s="307"/>
    </row>
    <row r="19" spans="5:6">
      <c r="E19" s="307"/>
      <c r="F19" s="307"/>
    </row>
    <row r="20" spans="5:6">
      <c r="E20" s="307"/>
      <c r="F20" s="307"/>
    </row>
    <row r="21" spans="5:6">
      <c r="E21" s="307"/>
      <c r="F21" s="307"/>
    </row>
    <row r="22" spans="5:6">
      <c r="E22" s="307"/>
      <c r="F22" s="307"/>
    </row>
    <row r="23" spans="5:6">
      <c r="E23" s="307"/>
      <c r="F23" s="307"/>
    </row>
    <row r="24" spans="5:6">
      <c r="E24" s="307"/>
      <c r="F24" s="307"/>
    </row>
    <row r="25" spans="5:6">
      <c r="E25" s="307"/>
      <c r="F25" s="307"/>
    </row>
    <row r="26" spans="5:6">
      <c r="E26" s="307"/>
      <c r="F26" s="307"/>
    </row>
    <row r="27" spans="5:6">
      <c r="E27" s="307"/>
      <c r="F27" s="307"/>
    </row>
    <row r="28" spans="5:6">
      <c r="E28" s="307"/>
      <c r="F28" s="307"/>
    </row>
    <row r="29" spans="5:6">
      <c r="E29" s="307"/>
      <c r="F29" s="307"/>
    </row>
    <row r="30" spans="5:6">
      <c r="E30" s="307"/>
      <c r="F30" s="307"/>
    </row>
    <row r="31" spans="5:6">
      <c r="E31" s="307"/>
      <c r="F31" s="307"/>
    </row>
    <row r="32" spans="5:6">
      <c r="E32" s="307"/>
      <c r="F32" s="307"/>
    </row>
    <row r="33" spans="5:6">
      <c r="E33" s="307"/>
      <c r="F33" s="307"/>
    </row>
    <row r="34" spans="5:6">
      <c r="E34" s="307"/>
      <c r="F34" s="307"/>
    </row>
    <row r="35" spans="5:6">
      <c r="E35" s="307"/>
      <c r="F35" s="307"/>
    </row>
    <row r="36" spans="5:6">
      <c r="E36" s="307"/>
      <c r="F36" s="307"/>
    </row>
    <row r="37" spans="5:6">
      <c r="E37" s="307"/>
      <c r="F37" s="307"/>
    </row>
    <row r="38" spans="5:6">
      <c r="E38" s="307"/>
      <c r="F38" s="307"/>
    </row>
    <row r="39" spans="5:6">
      <c r="E39" s="307"/>
      <c r="F39" s="307"/>
    </row>
    <row r="40" spans="5:6">
      <c r="E40" s="307"/>
      <c r="F40" s="307"/>
    </row>
    <row r="41" spans="5:6">
      <c r="E41" s="307"/>
      <c r="F41" s="307"/>
    </row>
    <row r="42" spans="5:6">
      <c r="E42" s="307"/>
      <c r="F42" s="307"/>
    </row>
    <row r="43" spans="5:6">
      <c r="E43" s="307"/>
      <c r="F43" s="307"/>
    </row>
    <row r="44" spans="5:6">
      <c r="E44" s="307"/>
      <c r="F44" s="307"/>
    </row>
    <row r="45" spans="5:6">
      <c r="E45" s="307"/>
      <c r="F45" s="307"/>
    </row>
    <row r="46" spans="5:6">
      <c r="E46" s="307"/>
      <c r="F46" s="307"/>
    </row>
    <row r="47" spans="5:6">
      <c r="E47" s="307"/>
      <c r="F47" s="307"/>
    </row>
    <row r="48" spans="5:6">
      <c r="E48" s="307"/>
      <c r="F48" s="307"/>
    </row>
    <row r="49" spans="5:6">
      <c r="E49" s="307"/>
      <c r="F49" s="307"/>
    </row>
    <row r="50" spans="5:6">
      <c r="E50" s="307"/>
      <c r="F50" s="307"/>
    </row>
    <row r="51" spans="5:6">
      <c r="E51" s="307"/>
      <c r="F51" s="307"/>
    </row>
    <row r="52" spans="5:6">
      <c r="E52" s="307"/>
      <c r="F52" s="307"/>
    </row>
    <row r="53" spans="5:6">
      <c r="E53" s="307"/>
      <c r="F53" s="307"/>
    </row>
    <row r="54" spans="5:6">
      <c r="E54" s="307"/>
      <c r="F54" s="307"/>
    </row>
    <row r="55" spans="5:6">
      <c r="E55" s="307"/>
      <c r="F55" s="307"/>
    </row>
    <row r="56" spans="5:6">
      <c r="E56" s="307"/>
      <c r="F56" s="307"/>
    </row>
    <row r="57" spans="5:6">
      <c r="E57" s="307"/>
      <c r="F57" s="307"/>
    </row>
    <row r="58" spans="5:6">
      <c r="E58" s="307"/>
      <c r="F58" s="307"/>
    </row>
    <row r="59" spans="5:6">
      <c r="E59" s="307"/>
      <c r="F59" s="307"/>
    </row>
    <row r="60" spans="5:6">
      <c r="E60" s="307"/>
      <c r="F60" s="307"/>
    </row>
    <row r="61" spans="5:6">
      <c r="E61" s="307"/>
      <c r="F61" s="307"/>
    </row>
    <row r="62" spans="5:6">
      <c r="E62" s="307"/>
      <c r="F62" s="307"/>
    </row>
    <row r="63" spans="5:6">
      <c r="E63" s="307"/>
      <c r="F63" s="307"/>
    </row>
    <row r="64" spans="5:6">
      <c r="E64" s="307"/>
      <c r="F64" s="307"/>
    </row>
    <row r="65" spans="5:6">
      <c r="E65" s="307"/>
      <c r="F65" s="307"/>
    </row>
    <row r="66" spans="5:6">
      <c r="E66" s="307"/>
      <c r="F66" s="307"/>
    </row>
    <row r="67" spans="5:6">
      <c r="E67" s="307"/>
      <c r="F67" s="307"/>
    </row>
    <row r="68" spans="5:6">
      <c r="E68" s="307"/>
      <c r="F68" s="307"/>
    </row>
    <row r="69" spans="5:6">
      <c r="E69" s="307"/>
      <c r="F69" s="307"/>
    </row>
    <row r="70" spans="5:6">
      <c r="E70" s="307"/>
      <c r="F70" s="307"/>
    </row>
    <row r="71" spans="5:6">
      <c r="E71" s="307"/>
      <c r="F71" s="307"/>
    </row>
    <row r="72" spans="5:6">
      <c r="E72" s="307"/>
      <c r="F72" s="307"/>
    </row>
    <row r="73" spans="5:6">
      <c r="E73" s="307"/>
      <c r="F73" s="307"/>
    </row>
    <row r="74" spans="5:6">
      <c r="E74" s="307"/>
      <c r="F74" s="307"/>
    </row>
    <row r="75" spans="5:6">
      <c r="E75" s="307"/>
      <c r="F75" s="307"/>
    </row>
    <row r="76" spans="5:6">
      <c r="E76" s="307"/>
      <c r="F76" s="307"/>
    </row>
    <row r="77" spans="5:6">
      <c r="E77" s="307"/>
      <c r="F77" s="307"/>
    </row>
    <row r="78" spans="5:6">
      <c r="E78" s="307"/>
      <c r="F78" s="307"/>
    </row>
    <row r="79" spans="5:6">
      <c r="E79" s="307"/>
      <c r="F79" s="307"/>
    </row>
    <row r="80" spans="5:6">
      <c r="E80" s="307"/>
      <c r="F80" s="307"/>
    </row>
    <row r="81" spans="5:6">
      <c r="E81" s="307"/>
      <c r="F81" s="307"/>
    </row>
    <row r="82" spans="5:6">
      <c r="E82" s="307"/>
      <c r="F82" s="307"/>
    </row>
    <row r="83" spans="5:6">
      <c r="E83" s="307"/>
      <c r="F83" s="307"/>
    </row>
    <row r="84" spans="5:6">
      <c r="E84" s="307"/>
      <c r="F84" s="307"/>
    </row>
    <row r="85" spans="5:6">
      <c r="E85" s="307"/>
      <c r="F85" s="307"/>
    </row>
    <row r="86" spans="5:6">
      <c r="E86" s="307"/>
      <c r="F86" s="307"/>
    </row>
    <row r="87" spans="5:6">
      <c r="E87" s="307"/>
      <c r="F87" s="307"/>
    </row>
    <row r="88" spans="5:6">
      <c r="E88" s="307"/>
      <c r="F88" s="307"/>
    </row>
    <row r="89" spans="5:6">
      <c r="E89" s="307"/>
      <c r="F89" s="307"/>
    </row>
    <row r="90" spans="5:6">
      <c r="E90" s="307"/>
      <c r="F90" s="307"/>
    </row>
    <row r="91" spans="5:6">
      <c r="E91" s="307"/>
      <c r="F91" s="307"/>
    </row>
    <row r="92" spans="5:6">
      <c r="E92" s="307"/>
      <c r="F92" s="307"/>
    </row>
    <row r="93" spans="5:6">
      <c r="E93" s="307"/>
      <c r="F93" s="307"/>
    </row>
    <row r="94" spans="5:6">
      <c r="E94" s="307"/>
      <c r="F94" s="307"/>
    </row>
    <row r="95" spans="5:6">
      <c r="E95" s="307"/>
      <c r="F95" s="307"/>
    </row>
    <row r="96" spans="5:6">
      <c r="E96" s="307"/>
      <c r="F96" s="307"/>
    </row>
    <row r="97" spans="5:6">
      <c r="E97" s="307"/>
      <c r="F97" s="307"/>
    </row>
    <row r="98" spans="5:6">
      <c r="E98" s="307"/>
      <c r="F98" s="307"/>
    </row>
    <row r="99" spans="5:6">
      <c r="E99" s="307"/>
      <c r="F99" s="307"/>
    </row>
    <row r="100" spans="5:6">
      <c r="E100" s="307"/>
      <c r="F100" s="307"/>
    </row>
    <row r="101" spans="5:6">
      <c r="E101" s="307"/>
      <c r="F101" s="307"/>
    </row>
    <row r="102" spans="5:6">
      <c r="E102" s="307"/>
      <c r="F102" s="307"/>
    </row>
    <row r="103" spans="5:6">
      <c r="E103" s="307"/>
      <c r="F103" s="307"/>
    </row>
    <row r="104" spans="5:6">
      <c r="E104" s="307"/>
      <c r="F104" s="307"/>
    </row>
    <row r="105" spans="5:6">
      <c r="E105" s="307"/>
      <c r="F105" s="307"/>
    </row>
    <row r="106" spans="5:6">
      <c r="E106" s="307"/>
      <c r="F106" s="307"/>
    </row>
    <row r="107" spans="5:6">
      <c r="E107" s="307"/>
      <c r="F107" s="307"/>
    </row>
    <row r="108" spans="5:6">
      <c r="E108" s="307"/>
      <c r="F108" s="307"/>
    </row>
    <row r="109" spans="5:6">
      <c r="E109" s="307"/>
      <c r="F109" s="307"/>
    </row>
    <row r="110" spans="5:6">
      <c r="E110" s="307"/>
      <c r="F110" s="307"/>
    </row>
    <row r="111" spans="5:6">
      <c r="E111" s="307"/>
      <c r="F111" s="307"/>
    </row>
    <row r="112" spans="5:6">
      <c r="E112" s="307"/>
      <c r="F112" s="307"/>
    </row>
    <row r="113" spans="5:6">
      <c r="E113" s="307"/>
      <c r="F113" s="307"/>
    </row>
    <row r="114" spans="5:6">
      <c r="E114" s="307"/>
      <c r="F114" s="307"/>
    </row>
    <row r="115" spans="5:6">
      <c r="E115" s="307"/>
      <c r="F115" s="307"/>
    </row>
    <row r="116" spans="5:6">
      <c r="E116" s="307"/>
      <c r="F116" s="307"/>
    </row>
    <row r="117" spans="5:6">
      <c r="E117" s="307"/>
      <c r="F117" s="307"/>
    </row>
    <row r="118" spans="5:6">
      <c r="E118" s="307"/>
      <c r="F118" s="307"/>
    </row>
    <row r="119" spans="5:6">
      <c r="E119" s="307"/>
      <c r="F119" s="307"/>
    </row>
    <row r="120" spans="5:6">
      <c r="E120" s="307"/>
      <c r="F120" s="307"/>
    </row>
    <row r="121" spans="5:6">
      <c r="E121" s="307"/>
      <c r="F121" s="307"/>
    </row>
    <row r="122" spans="5:6">
      <c r="E122" s="307"/>
      <c r="F122" s="307"/>
    </row>
    <row r="123" spans="5:6">
      <c r="E123" s="307"/>
      <c r="F123" s="307"/>
    </row>
    <row r="124" spans="5:6">
      <c r="E124" s="307"/>
      <c r="F124" s="307"/>
    </row>
    <row r="125" spans="5:6">
      <c r="E125" s="307"/>
      <c r="F125" s="307"/>
    </row>
    <row r="126" spans="5:6">
      <c r="E126" s="307"/>
      <c r="F126" s="307"/>
    </row>
    <row r="127" spans="5:6">
      <c r="E127" s="307"/>
      <c r="F127" s="307"/>
    </row>
    <row r="128" spans="5:6">
      <c r="E128" s="307"/>
      <c r="F128" s="307"/>
    </row>
    <row r="129" spans="5:6">
      <c r="E129" s="307"/>
      <c r="F129" s="307"/>
    </row>
    <row r="130" spans="5:6">
      <c r="E130" s="307"/>
      <c r="F130" s="307"/>
    </row>
    <row r="131" spans="5:6">
      <c r="E131" s="307"/>
      <c r="F131" s="307"/>
    </row>
    <row r="132" spans="5:6">
      <c r="E132" s="307"/>
      <c r="F132" s="307"/>
    </row>
    <row r="133" spans="5:6">
      <c r="E133" s="307"/>
      <c r="F133" s="307"/>
    </row>
    <row r="134" spans="5:6">
      <c r="E134" s="307"/>
      <c r="F134" s="307"/>
    </row>
    <row r="135" spans="5:6">
      <c r="E135" s="307"/>
      <c r="F135" s="307"/>
    </row>
    <row r="136" spans="5:6">
      <c r="E136" s="307"/>
      <c r="F136" s="307"/>
    </row>
    <row r="137" spans="5:6">
      <c r="E137" s="307"/>
      <c r="F137" s="307"/>
    </row>
    <row r="138" spans="5:6">
      <c r="E138" s="307"/>
      <c r="F138" s="307"/>
    </row>
    <row r="139" spans="5:6">
      <c r="E139" s="307"/>
      <c r="F139" s="307"/>
    </row>
    <row r="140" spans="5:6">
      <c r="E140" s="307"/>
      <c r="F140" s="307"/>
    </row>
    <row r="141" spans="5:6">
      <c r="E141" s="307"/>
      <c r="F141" s="307"/>
    </row>
    <row r="142" spans="5:6">
      <c r="E142" s="307"/>
      <c r="F142" s="307"/>
    </row>
    <row r="143" spans="5:6">
      <c r="E143" s="307"/>
      <c r="F143" s="307"/>
    </row>
    <row r="144" spans="5:6">
      <c r="E144" s="307"/>
      <c r="F144" s="307"/>
    </row>
    <row r="145" spans="5:6">
      <c r="E145" s="307"/>
      <c r="F145" s="307"/>
    </row>
    <row r="146" spans="5:6">
      <c r="E146" s="307"/>
      <c r="F146" s="307"/>
    </row>
    <row r="147" spans="5:6">
      <c r="E147" s="307"/>
      <c r="F147" s="307"/>
    </row>
    <row r="148" spans="5:6">
      <c r="E148" s="307"/>
      <c r="F148" s="307"/>
    </row>
    <row r="149" spans="5:6">
      <c r="E149" s="307"/>
      <c r="F149" s="307"/>
    </row>
    <row r="150" spans="5:6">
      <c r="E150" s="307"/>
      <c r="F150" s="307"/>
    </row>
    <row r="151" spans="5:6">
      <c r="E151" s="307"/>
      <c r="F151" s="307"/>
    </row>
    <row r="152" spans="5:6">
      <c r="E152" s="307"/>
      <c r="F152" s="307"/>
    </row>
    <row r="153" spans="5:6">
      <c r="E153" s="307"/>
      <c r="F153" s="307"/>
    </row>
  </sheetData>
  <pageMargins left="0.70866141732283472" right="0.51181102362204722"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SINAC, 2019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B4:O65"/>
  <sheetViews>
    <sheetView showGridLines="0" view="pageBreakPreview" zoomScale="130" zoomScaleNormal="100" zoomScaleSheetLayoutView="130" workbookViewId="0">
      <selection activeCell="A3" sqref="A3"/>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2"/>
      <c r="C7" s="25"/>
      <c r="D7" s="25"/>
      <c r="E7" s="25"/>
      <c r="F7" s="25"/>
      <c r="G7" s="25"/>
      <c r="H7" s="25"/>
      <c r="I7" s="25"/>
      <c r="J7" s="25"/>
      <c r="K7" s="25"/>
      <c r="L7" s="25"/>
      <c r="M7" s="25"/>
      <c r="N7" s="25"/>
      <c r="O7" s="25"/>
    </row>
    <row r="8" spans="2:15">
      <c r="B8" s="222"/>
      <c r="C8" s="25"/>
      <c r="D8" s="25"/>
      <c r="E8" s="25"/>
      <c r="F8" s="25"/>
      <c r="G8" s="25"/>
      <c r="H8" s="25"/>
      <c r="I8" s="25"/>
      <c r="J8" s="25"/>
      <c r="K8" s="25"/>
      <c r="L8" s="25"/>
      <c r="M8" s="25"/>
      <c r="N8" s="25"/>
      <c r="O8" s="25"/>
    </row>
    <row r="9" spans="2:15">
      <c r="B9" s="222"/>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11"/>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2:O52"/>
  <sheetViews>
    <sheetView showGridLines="0" view="pageBreakPreview" topLeftCell="A4" zoomScale="130" zoomScaleNormal="100" zoomScaleSheetLayoutView="130" zoomScalePageLayoutView="160" workbookViewId="0">
      <selection activeCell="A3" sqref="A3"/>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74" t="s">
        <v>573</v>
      </c>
      <c r="B2" s="874"/>
      <c r="C2" s="874"/>
      <c r="D2" s="874"/>
      <c r="E2" s="874"/>
      <c r="F2" s="874"/>
      <c r="G2" s="874"/>
      <c r="H2" s="874"/>
      <c r="I2" s="874"/>
      <c r="J2" s="874"/>
      <c r="K2" s="650"/>
    </row>
    <row r="3" spans="1:13" ht="12" customHeight="1">
      <c r="A3" s="137"/>
      <c r="B3" s="212"/>
      <c r="C3" s="223"/>
      <c r="D3" s="224"/>
      <c r="E3" s="224"/>
      <c r="F3" s="225"/>
      <c r="G3" s="226"/>
      <c r="H3" s="226"/>
      <c r="I3" s="173"/>
      <c r="J3" s="225"/>
    </row>
    <row r="4" spans="1:13" ht="11.25" customHeight="1">
      <c r="A4" s="188" t="s">
        <v>226</v>
      </c>
      <c r="B4" s="212"/>
      <c r="C4" s="223"/>
      <c r="D4" s="224"/>
      <c r="E4" s="224"/>
      <c r="F4" s="225"/>
      <c r="G4" s="226"/>
      <c r="H4" s="226"/>
      <c r="I4" s="173"/>
      <c r="J4" s="225"/>
      <c r="K4" s="365"/>
    </row>
    <row r="5" spans="1:13" ht="11.25" customHeight="1">
      <c r="A5" s="188"/>
      <c r="B5" s="212"/>
      <c r="C5" s="223"/>
      <c r="D5" s="224"/>
      <c r="E5" s="224"/>
      <c r="F5" s="225"/>
      <c r="G5" s="226"/>
      <c r="H5" s="226"/>
      <c r="I5" s="173"/>
      <c r="J5" s="225"/>
      <c r="K5" s="365"/>
    </row>
    <row r="6" spans="1:13" ht="15" hidden="1" customHeight="1">
      <c r="A6" s="137"/>
      <c r="B6" s="212"/>
      <c r="C6" s="223"/>
      <c r="D6" s="224"/>
      <c r="E6" s="224"/>
      <c r="F6" s="225"/>
      <c r="G6" s="226"/>
      <c r="H6" s="226"/>
      <c r="I6" s="173"/>
      <c r="J6" s="225"/>
      <c r="K6" s="365"/>
    </row>
    <row r="7" spans="1:13" ht="20.25" customHeight="1">
      <c r="A7" s="558" t="s">
        <v>220</v>
      </c>
      <c r="B7" s="559" t="s">
        <v>221</v>
      </c>
      <c r="C7" s="559" t="s">
        <v>222</v>
      </c>
      <c r="D7" s="559" t="s">
        <v>223</v>
      </c>
      <c r="E7" s="559" t="s">
        <v>224</v>
      </c>
      <c r="F7" s="560" t="s">
        <v>225</v>
      </c>
      <c r="G7" s="561" t="s">
        <v>230</v>
      </c>
      <c r="H7" s="560" t="s">
        <v>234</v>
      </c>
      <c r="I7" s="561" t="s">
        <v>494</v>
      </c>
      <c r="J7" s="562" t="s">
        <v>231</v>
      </c>
      <c r="K7" s="651"/>
    </row>
    <row r="8" spans="1:13" s="227" customFormat="1" ht="14.25" customHeight="1">
      <c r="A8" s="536" t="s">
        <v>533</v>
      </c>
      <c r="B8" s="537" t="s">
        <v>37</v>
      </c>
      <c r="C8" s="537" t="s">
        <v>46</v>
      </c>
      <c r="D8" s="537" t="s">
        <v>527</v>
      </c>
      <c r="E8" s="537" t="s">
        <v>537</v>
      </c>
      <c r="F8" s="538" t="s">
        <v>489</v>
      </c>
      <c r="G8" s="539">
        <v>6.9</v>
      </c>
      <c r="H8" s="540">
        <v>7.5</v>
      </c>
      <c r="I8" s="540">
        <v>6.6</v>
      </c>
      <c r="J8" s="541" t="s">
        <v>820</v>
      </c>
      <c r="K8" s="652"/>
      <c r="L8" s="227">
        <v>6.6</v>
      </c>
    </row>
    <row r="9" spans="1:13" ht="11.25" customHeight="1">
      <c r="A9" s="563" t="s">
        <v>44</v>
      </c>
      <c r="B9" s="564"/>
      <c r="C9" s="564"/>
      <c r="D9" s="564"/>
      <c r="E9" s="565"/>
      <c r="F9" s="566"/>
      <c r="G9" s="567"/>
      <c r="H9" s="568">
        <f>+H8</f>
        <v>7.5</v>
      </c>
      <c r="I9" s="568">
        <f>+I8</f>
        <v>6.6</v>
      </c>
      <c r="J9" s="569"/>
      <c r="K9" s="653"/>
      <c r="L9" s="654"/>
    </row>
    <row r="10" spans="1:13" ht="15" hidden="1" customHeight="1">
      <c r="A10" s="284"/>
      <c r="B10" s="132"/>
      <c r="C10" s="132"/>
      <c r="D10" s="132"/>
      <c r="E10" s="132"/>
      <c r="F10" s="132"/>
      <c r="G10" s="132"/>
      <c r="H10" s="132"/>
      <c r="I10" s="132"/>
      <c r="J10" s="132"/>
      <c r="K10" s="653"/>
    </row>
    <row r="11" spans="1:13" ht="11.25" hidden="1" customHeight="1">
      <c r="A11" s="883"/>
      <c r="B11" s="883"/>
      <c r="C11" s="883"/>
      <c r="D11" s="883"/>
      <c r="E11" s="883"/>
      <c r="F11" s="883"/>
      <c r="G11" s="883"/>
      <c r="H11" s="883"/>
      <c r="I11" s="883"/>
      <c r="J11" s="883"/>
      <c r="K11" s="653"/>
    </row>
    <row r="12" spans="1:13" ht="11.25" hidden="1" customHeight="1">
      <c r="A12" s="462"/>
      <c r="B12" s="462"/>
      <c r="C12" s="462"/>
      <c r="D12" s="462"/>
      <c r="E12" s="462"/>
      <c r="F12" s="462"/>
      <c r="G12" s="462"/>
      <c r="H12" s="462"/>
      <c r="I12" s="462"/>
      <c r="J12" s="462"/>
      <c r="K12" s="653"/>
      <c r="L12" s="46" t="s">
        <v>232</v>
      </c>
      <c r="M12" s="654"/>
    </row>
    <row r="13" spans="1:13" ht="20.25" customHeight="1">
      <c r="A13" s="884"/>
      <c r="B13" s="884"/>
      <c r="C13" s="884"/>
      <c r="D13" s="884"/>
      <c r="E13" s="884"/>
      <c r="F13" s="884"/>
      <c r="G13" s="884"/>
      <c r="H13" s="884"/>
      <c r="I13" s="884"/>
      <c r="J13" s="884"/>
      <c r="K13" s="653"/>
      <c r="L13" s="46" t="s">
        <v>490</v>
      </c>
      <c r="M13" s="654">
        <f>+I8</f>
        <v>6.6</v>
      </c>
    </row>
    <row r="14" spans="1:13" ht="11.25" customHeight="1">
      <c r="A14" s="884"/>
      <c r="B14" s="884"/>
      <c r="C14" s="884"/>
      <c r="D14" s="884"/>
      <c r="E14" s="884"/>
      <c r="F14" s="884"/>
      <c r="G14" s="884"/>
      <c r="H14" s="884"/>
      <c r="I14" s="884"/>
      <c r="J14" s="884"/>
      <c r="K14" s="653"/>
      <c r="L14" s="46" t="s">
        <v>512</v>
      </c>
      <c r="M14" s="654">
        <v>0</v>
      </c>
    </row>
    <row r="15" spans="1:13" ht="15" customHeight="1">
      <c r="A15" s="232"/>
      <c r="B15" s="228"/>
      <c r="C15" s="228"/>
      <c r="D15" s="228"/>
      <c r="E15" s="228"/>
      <c r="F15" s="228"/>
      <c r="G15" s="228"/>
      <c r="H15" s="233"/>
      <c r="I15" s="233"/>
      <c r="J15" s="233"/>
      <c r="K15" s="653"/>
      <c r="L15" s="46" t="s">
        <v>496</v>
      </c>
      <c r="M15" s="46">
        <v>0</v>
      </c>
    </row>
    <row r="16" spans="1:13" ht="11.25" customHeight="1">
      <c r="A16" s="232"/>
      <c r="B16" s="228"/>
      <c r="C16" s="228"/>
      <c r="D16" s="228"/>
      <c r="E16" s="228"/>
      <c r="F16" s="228"/>
      <c r="G16" s="228"/>
      <c r="H16" s="231"/>
      <c r="I16" s="231" t="s">
        <v>8</v>
      </c>
      <c r="J16" s="231"/>
      <c r="K16" s="653"/>
      <c r="L16" s="46" t="s">
        <v>511</v>
      </c>
      <c r="M16" s="46">
        <v>0</v>
      </c>
    </row>
    <row r="17" spans="1:11" ht="11.25" customHeight="1">
      <c r="A17" s="232"/>
      <c r="B17" s="228"/>
      <c r="C17" s="228"/>
      <c r="D17" s="228"/>
      <c r="E17" s="228"/>
      <c r="F17" s="228"/>
      <c r="G17" s="228"/>
      <c r="H17" s="231"/>
      <c r="I17" s="231"/>
      <c r="J17" s="231"/>
      <c r="K17" s="653"/>
    </row>
    <row r="18" spans="1:11" ht="11.25" customHeight="1">
      <c r="A18" s="232"/>
      <c r="B18" s="228"/>
      <c r="C18" s="228"/>
      <c r="D18" s="228"/>
      <c r="E18" s="228"/>
      <c r="F18" s="228"/>
      <c r="G18" s="228"/>
      <c r="H18" s="231"/>
      <c r="I18" s="231"/>
      <c r="J18" s="231"/>
      <c r="K18" s="653"/>
    </row>
    <row r="19" spans="1:11" ht="9" customHeight="1">
      <c r="A19" s="234"/>
      <c r="B19" s="153"/>
      <c r="C19" s="153"/>
      <c r="D19" s="153"/>
      <c r="E19" s="153"/>
      <c r="F19" s="153"/>
      <c r="G19" s="153"/>
      <c r="H19" s="235"/>
      <c r="I19" s="235"/>
      <c r="J19" s="235"/>
      <c r="K19" s="653"/>
    </row>
    <row r="20" spans="1:11" ht="9" customHeight="1">
      <c r="A20" s="236"/>
      <c r="B20" s="176"/>
      <c r="C20" s="176"/>
      <c r="D20" s="138"/>
      <c r="E20" s="138"/>
      <c r="F20" s="138"/>
      <c r="G20" s="138"/>
      <c r="H20" s="228"/>
      <c r="I20" s="228"/>
      <c r="J20" s="228"/>
      <c r="K20" s="653"/>
    </row>
    <row r="21" spans="1:11" ht="9" customHeight="1">
      <c r="A21" s="217"/>
      <c r="B21" s="138"/>
      <c r="C21" s="138"/>
      <c r="D21" s="138"/>
      <c r="E21" s="138"/>
      <c r="F21" s="138"/>
      <c r="G21" s="138"/>
      <c r="H21" s="228"/>
      <c r="I21" s="228"/>
      <c r="J21" s="228"/>
      <c r="K21" s="653"/>
    </row>
    <row r="22" spans="1:11" ht="11.25" customHeight="1">
      <c r="A22" s="217"/>
      <c r="B22" s="138"/>
      <c r="C22" s="138"/>
      <c r="D22" s="138"/>
      <c r="E22" s="138"/>
      <c r="F22" s="138"/>
      <c r="G22" s="138"/>
      <c r="H22" s="228"/>
      <c r="I22" s="228"/>
      <c r="J22" s="228"/>
      <c r="K22" s="653"/>
    </row>
    <row r="23" spans="1:11" ht="11.25" customHeight="1">
      <c r="A23" s="217"/>
      <c r="B23" s="138"/>
      <c r="C23" s="138"/>
      <c r="D23" s="138"/>
      <c r="E23" s="138"/>
      <c r="F23" s="138"/>
      <c r="G23" s="138"/>
      <c r="H23" s="154"/>
      <c r="I23" s="154"/>
      <c r="J23" s="154"/>
      <c r="K23" s="653"/>
    </row>
    <row r="24" spans="1:11" ht="11.25" customHeight="1">
      <c r="A24" s="229"/>
      <c r="B24" s="159"/>
      <c r="C24" s="159"/>
      <c r="D24" s="159"/>
      <c r="E24" s="159"/>
      <c r="F24" s="159"/>
      <c r="G24" s="159"/>
      <c r="H24" s="159"/>
      <c r="I24" s="159"/>
      <c r="J24" s="159"/>
      <c r="K24" s="653"/>
    </row>
    <row r="25" spans="1:11" ht="11.25" customHeight="1">
      <c r="A25" s="228"/>
      <c r="B25" s="138"/>
      <c r="C25" s="138"/>
      <c r="D25" s="138"/>
      <c r="E25" s="138"/>
      <c r="F25" s="138"/>
      <c r="G25" s="138"/>
      <c r="H25" s="138"/>
      <c r="I25" s="138"/>
      <c r="J25" s="138"/>
      <c r="K25" s="653"/>
    </row>
    <row r="26" spans="1:11" ht="11.25" customHeight="1">
      <c r="A26" s="17"/>
      <c r="B26" s="873" t="str">
        <f>"Gráfico 2: Ingreso de Potencia Efectiva por tipo de Recurso Energético y Tecnología en "&amp;'1. Resumen'!Q4&amp;" "&amp;'1. Resumen'!Q5&amp;" (MW)"</f>
        <v>Gráfico 2: Ingreso de Potencia Efectiva por tipo de Recurso Energético y Tecnología en febrero 2019 (MW)</v>
      </c>
      <c r="C26" s="873"/>
      <c r="D26" s="873"/>
      <c r="E26" s="873"/>
      <c r="F26" s="873"/>
      <c r="G26" s="873"/>
      <c r="H26" s="873"/>
      <c r="I26" s="873"/>
      <c r="J26" s="873"/>
      <c r="K26" s="873"/>
    </row>
    <row r="27" spans="1:11" ht="27" hidden="1" customHeight="1">
      <c r="B27" s="885"/>
      <c r="C27" s="885"/>
      <c r="D27" s="885"/>
      <c r="E27" s="885"/>
      <c r="F27" s="885"/>
      <c r="G27" s="885"/>
      <c r="H27" s="885"/>
    </row>
    <row r="28" spans="1:11" ht="22.5" customHeight="1">
      <c r="A28" s="17"/>
      <c r="B28" s="17"/>
      <c r="C28" s="17"/>
      <c r="D28" s="17"/>
      <c r="E28" s="17"/>
      <c r="F28" s="17"/>
      <c r="G28" s="17"/>
      <c r="H28" s="17"/>
      <c r="I28" s="17"/>
      <c r="J28" s="17"/>
      <c r="K28" s="653"/>
    </row>
    <row r="29" spans="1:11" ht="11.25" customHeight="1">
      <c r="A29" s="177" t="s">
        <v>454</v>
      </c>
      <c r="B29" s="132"/>
      <c r="C29" s="230"/>
      <c r="D29" s="132"/>
      <c r="E29" s="132"/>
      <c r="F29" s="132"/>
      <c r="G29" s="132"/>
      <c r="H29" s="132"/>
      <c r="I29" s="132"/>
      <c r="J29" s="132"/>
      <c r="K29" s="653"/>
    </row>
    <row r="30" spans="1:11" ht="11.25" customHeight="1">
      <c r="B30" s="132"/>
      <c r="C30" s="230"/>
      <c r="D30" s="132"/>
      <c r="E30" s="132"/>
      <c r="F30" s="132"/>
      <c r="G30" s="132"/>
      <c r="H30" s="132"/>
      <c r="I30" s="132"/>
      <c r="J30" s="132"/>
      <c r="K30" s="653"/>
    </row>
    <row r="31" spans="1:11" ht="21" customHeight="1">
      <c r="B31" s="871" t="s">
        <v>233</v>
      </c>
      <c r="C31" s="872"/>
      <c r="D31" s="570" t="str">
        <f>UPPER('1. Resumen'!Q4)&amp;" "&amp;'1. Resumen'!Q5</f>
        <v>FEBRERO 2019</v>
      </c>
      <c r="E31" s="570" t="str">
        <f>UPPER('1. Resumen'!Q4)&amp;" "&amp;'1. Resumen'!Q5-1</f>
        <v>FEBRERO 2018</v>
      </c>
      <c r="F31" s="571" t="s">
        <v>235</v>
      </c>
      <c r="G31" s="237"/>
      <c r="H31" s="237"/>
      <c r="I31" s="132"/>
      <c r="J31" s="132"/>
    </row>
    <row r="32" spans="1:11" ht="9.75" customHeight="1">
      <c r="B32" s="875" t="s">
        <v>227</v>
      </c>
      <c r="C32" s="876"/>
      <c r="D32" s="542">
        <v>4995.1492474999995</v>
      </c>
      <c r="E32" s="543">
        <v>4882.6042474999995</v>
      </c>
      <c r="F32" s="544">
        <f>+D32/E32-1</f>
        <v>2.3050199093572976E-2</v>
      </c>
      <c r="G32" s="237"/>
      <c r="H32" s="237"/>
      <c r="I32" s="132"/>
      <c r="J32" s="132"/>
      <c r="K32" s="653"/>
    </row>
    <row r="33" spans="1:15" ht="9.75" customHeight="1">
      <c r="B33" s="877" t="s">
        <v>228</v>
      </c>
      <c r="C33" s="878"/>
      <c r="D33" s="545">
        <v>7395.9645</v>
      </c>
      <c r="E33" s="546">
        <v>7286.2885000000006</v>
      </c>
      <c r="F33" s="547">
        <f>+D33/E33-1</f>
        <v>1.5052382293124777E-2</v>
      </c>
      <c r="G33" s="238"/>
      <c r="H33" s="238"/>
      <c r="M33" s="655"/>
      <c r="N33" s="655"/>
      <c r="O33" s="656"/>
    </row>
    <row r="34" spans="1:15" ht="9.75" customHeight="1">
      <c r="B34" s="879" t="s">
        <v>229</v>
      </c>
      <c r="C34" s="880"/>
      <c r="D34" s="548">
        <v>375.46</v>
      </c>
      <c r="E34" s="549">
        <v>243.16</v>
      </c>
      <c r="F34" s="550">
        <f>+D34/E34-1</f>
        <v>0.54408619838789263</v>
      </c>
      <c r="G34" s="238"/>
      <c r="H34" s="238"/>
    </row>
    <row r="35" spans="1:15" ht="9.75" customHeight="1">
      <c r="B35" s="881" t="s">
        <v>83</v>
      </c>
      <c r="C35" s="882"/>
      <c r="D35" s="551">
        <v>285.02</v>
      </c>
      <c r="E35" s="552">
        <v>240.48400000000001</v>
      </c>
      <c r="F35" s="553">
        <f>+D35/E35-1</f>
        <v>0.18519319372598586</v>
      </c>
      <c r="G35" s="238"/>
      <c r="H35" s="238"/>
    </row>
    <row r="36" spans="1:15" ht="10.5" customHeight="1">
      <c r="B36" s="869" t="s">
        <v>205</v>
      </c>
      <c r="C36" s="870"/>
      <c r="D36" s="554">
        <f>+D32+D33+D34+D35</f>
        <v>13051.593747499999</v>
      </c>
      <c r="E36" s="555">
        <f>+E32+E33+E34+E35</f>
        <v>12652.5367475</v>
      </c>
      <c r="F36" s="556">
        <f>+D36/E36-1</f>
        <v>3.1539683145267228E-2</v>
      </c>
      <c r="G36" s="461"/>
      <c r="H36" s="238"/>
    </row>
    <row r="37" spans="1:15" ht="11.25" customHeight="1">
      <c r="B37" s="284" t="str">
        <f>"Cuadro N° 2: Comparación de la potencia instalada en el SEIN al término de "&amp;'1. Resumen'!Q4&amp;" "&amp;'1. Resumen'!Q5-1&amp;" y "&amp;'1. Resumen'!Q4&amp;" "&amp;'1. Resumen'!Q5</f>
        <v>Cuadro N° 2: Comparación de la potencia instalada en el SEIN al término de febrero 2018 y febrero 2019</v>
      </c>
      <c r="C37" s="237"/>
      <c r="D37" s="237"/>
      <c r="E37" s="237"/>
      <c r="F37" s="237"/>
      <c r="G37" s="237"/>
      <c r="H37" s="237"/>
      <c r="I37" s="132"/>
      <c r="J37" s="132"/>
      <c r="K37" s="653"/>
    </row>
    <row r="38" spans="1:15" ht="42.75" customHeight="1">
      <c r="B38" s="284"/>
      <c r="C38" s="237"/>
      <c r="D38" s="237"/>
      <c r="E38" s="237"/>
      <c r="F38" s="237"/>
      <c r="G38" s="237"/>
      <c r="H38" s="237"/>
      <c r="I38" s="132"/>
      <c r="J38" s="132"/>
      <c r="K38" s="653"/>
    </row>
    <row r="39" spans="1:15" ht="20.25" customHeight="1">
      <c r="B39" s="284"/>
      <c r="C39" s="237"/>
      <c r="D39" s="237"/>
      <c r="E39" s="237"/>
      <c r="F39" s="237"/>
      <c r="G39" s="237"/>
      <c r="H39" s="237"/>
      <c r="I39" s="132"/>
      <c r="J39" s="132"/>
      <c r="K39" s="653"/>
    </row>
    <row r="40" spans="1:15" ht="25.5" customHeight="1">
      <c r="B40" s="284"/>
      <c r="C40" s="237"/>
      <c r="D40" s="237"/>
      <c r="E40" s="237"/>
      <c r="F40" s="237"/>
      <c r="G40" s="237"/>
      <c r="H40" s="237"/>
      <c r="I40" s="132"/>
      <c r="J40" s="132"/>
      <c r="K40" s="653"/>
    </row>
    <row r="41" spans="1:15" ht="11.25" customHeight="1">
      <c r="B41" s="284"/>
      <c r="C41" s="237"/>
      <c r="D41" s="237"/>
      <c r="E41" s="237"/>
      <c r="F41" s="237"/>
      <c r="G41" s="237"/>
      <c r="H41" s="237"/>
      <c r="I41" s="132"/>
      <c r="J41" s="132"/>
      <c r="K41" s="653"/>
    </row>
    <row r="42" spans="1:15" ht="11.25" customHeight="1">
      <c r="A42" s="132"/>
      <c r="C42" s="238"/>
      <c r="D42" s="237"/>
      <c r="E42" s="237"/>
      <c r="F42" s="237"/>
      <c r="G42" s="237"/>
      <c r="H42" s="237"/>
      <c r="I42" s="132"/>
      <c r="J42" s="132"/>
      <c r="K42" s="653"/>
    </row>
    <row r="43" spans="1:15" ht="11.25" customHeight="1">
      <c r="A43" s="132"/>
      <c r="B43" s="132"/>
      <c r="C43" s="132"/>
      <c r="D43" s="132"/>
      <c r="E43" s="132"/>
      <c r="F43" s="132"/>
      <c r="G43" s="132"/>
      <c r="H43" s="132"/>
      <c r="I43" s="132"/>
      <c r="J43" s="132"/>
      <c r="K43" s="653"/>
    </row>
    <row r="44" spans="1:15" ht="11.25" customHeight="1">
      <c r="A44" s="132"/>
      <c r="B44" s="132"/>
      <c r="C44" s="132"/>
      <c r="D44" s="132"/>
      <c r="E44" s="132"/>
      <c r="F44" s="132"/>
      <c r="G44" s="132"/>
      <c r="H44" s="132"/>
      <c r="I44" s="132"/>
      <c r="J44" s="132"/>
      <c r="K44" s="653"/>
    </row>
    <row r="45" spans="1:15">
      <c r="A45" s="137"/>
      <c r="B45" s="132"/>
      <c r="C45" s="132"/>
      <c r="D45" s="132"/>
      <c r="E45" s="132"/>
      <c r="F45" s="132"/>
      <c r="G45" s="132"/>
      <c r="H45" s="132"/>
      <c r="I45" s="132"/>
      <c r="J45" s="132"/>
    </row>
    <row r="46" spans="1:15">
      <c r="A46" s="132"/>
      <c r="B46" s="132"/>
      <c r="C46" s="132"/>
      <c r="D46" s="132"/>
      <c r="E46" s="132"/>
      <c r="F46" s="132"/>
      <c r="G46" s="132"/>
      <c r="H46" s="132"/>
      <c r="I46" s="132"/>
      <c r="J46" s="132"/>
    </row>
    <row r="47" spans="1:15">
      <c r="A47" s="132"/>
      <c r="B47" s="132"/>
      <c r="C47" s="132"/>
      <c r="D47" s="132"/>
      <c r="E47" s="132"/>
      <c r="F47" s="132"/>
      <c r="G47" s="132"/>
      <c r="H47" s="132"/>
      <c r="I47" s="132"/>
      <c r="J47" s="132"/>
    </row>
    <row r="48" spans="1:15">
      <c r="A48" s="132"/>
      <c r="B48" s="132"/>
      <c r="C48" s="132"/>
      <c r="D48" s="132"/>
      <c r="E48" s="132"/>
      <c r="F48" s="132"/>
      <c r="G48" s="132"/>
      <c r="H48" s="132"/>
      <c r="I48" s="132"/>
      <c r="J48" s="132"/>
    </row>
    <row r="49" spans="1:10">
      <c r="A49" s="132"/>
      <c r="B49" s="132"/>
      <c r="C49" s="132"/>
      <c r="D49" s="132"/>
      <c r="E49" s="132"/>
      <c r="F49" s="132"/>
      <c r="G49" s="132"/>
      <c r="H49" s="132"/>
      <c r="I49" s="132"/>
      <c r="J49" s="132"/>
    </row>
    <row r="50" spans="1:10" ht="24.75" customHeight="1">
      <c r="A50" s="132"/>
      <c r="B50" s="132"/>
      <c r="C50" s="132"/>
      <c r="D50" s="132"/>
      <c r="E50" s="132"/>
      <c r="F50" s="132"/>
      <c r="G50" s="132"/>
      <c r="H50" s="132"/>
      <c r="I50" s="132"/>
      <c r="J50" s="132"/>
    </row>
    <row r="51" spans="1:10" ht="46.5" customHeight="1">
      <c r="A51" s="132"/>
      <c r="B51" s="132"/>
      <c r="C51" s="132"/>
      <c r="D51" s="132"/>
      <c r="E51" s="132"/>
      <c r="F51" s="132"/>
      <c r="G51" s="132"/>
      <c r="H51" s="132"/>
      <c r="I51" s="132"/>
      <c r="J51" s="132"/>
    </row>
    <row r="52" spans="1:10" ht="35.25" customHeight="1">
      <c r="A52" s="460" t="str">
        <f>"Gráfico N° 3: Comparación de la potencia instalada en el SEIN al término de "&amp;'1. Resumen'!Q4&amp;" "&amp;'1. Resumen'!Q5-1&amp;" y "&amp;'1. Resumen'!Q4&amp;" "&amp;'1. Resumen'!Q5</f>
        <v>Gráfico N° 3: Comparación de la potencia instalada en el SEIN al término de febrero 2018 y febrero 2019</v>
      </c>
      <c r="C52" s="132"/>
      <c r="D52" s="132"/>
      <c r="E52" s="132"/>
      <c r="F52" s="132"/>
      <c r="G52" s="132"/>
      <c r="H52" s="132"/>
      <c r="I52" s="132"/>
      <c r="J52" s="132"/>
    </row>
  </sheetData>
  <mergeCells count="12">
    <mergeCell ref="B36:C36"/>
    <mergeCell ref="B31:C31"/>
    <mergeCell ref="B26:K26"/>
    <mergeCell ref="A2:J2"/>
    <mergeCell ref="B32:C32"/>
    <mergeCell ref="B33:C33"/>
    <mergeCell ref="B34:C34"/>
    <mergeCell ref="B35:C35"/>
    <mergeCell ref="A11:J11"/>
    <mergeCell ref="A13:J13"/>
    <mergeCell ref="B27:H27"/>
    <mergeCell ref="A14:J14"/>
  </mergeCells>
  <conditionalFormatting sqref="A17:A19">
    <cfRule type="containsText" dxfId="6" priority="5" stopIfTrue="1" operator="containsText" text=" 0%">
      <formula>NOT(ISERROR(SEARCH(" 0%",A17)))</formula>
    </cfRule>
    <cfRule type="containsText" dxfId="5" priority="6" stopIfTrue="1" operator="containsText" text="0.0%">
      <formula>NOT(ISERROR(SEARCH("0.0%",A17)))</formula>
    </cfRule>
  </conditionalFormatting>
  <conditionalFormatting sqref="A15">
    <cfRule type="containsText" dxfId="4" priority="3" stopIfTrue="1" operator="containsText" text=" 0%">
      <formula>NOT(ISERROR(SEARCH(" 0%",A15)))</formula>
    </cfRule>
    <cfRule type="containsText" dxfId="3" priority="4" stopIfTrue="1" operator="containsText" text="0.0%">
      <formula>NOT(ISERROR(SEARCH("0.0%",A15)))</formula>
    </cfRule>
  </conditionalFormatting>
  <conditionalFormatting sqref="A16">
    <cfRule type="containsText" dxfId="2" priority="1" stopIfTrue="1" operator="containsText" text=" 0%">
      <formula>NOT(ISERROR(SEARCH(" 0%",A16)))</formula>
    </cfRule>
    <cfRule type="containsText" dxfId="1" priority="2" stopIfTrue="1" operator="containsText" text="0.0%">
      <formula>NOT(ISERROR(SEARCH("0.0%",A16)))</formula>
    </cfRule>
  </conditionalFormatting>
  <pageMargins left="0.70866141732283472" right="0.59055118110236227"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K69"/>
  <sheetViews>
    <sheetView showGridLines="0" view="pageBreakPreview" zoomScale="115" zoomScaleNormal="100" zoomScaleSheetLayoutView="115" zoomScalePageLayoutView="145" workbookViewId="0">
      <selection activeCell="A3" sqref="A3"/>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90" t="s">
        <v>238</v>
      </c>
      <c r="B2" s="890"/>
      <c r="C2" s="890"/>
      <c r="D2" s="890"/>
      <c r="E2" s="890"/>
      <c r="F2" s="890"/>
      <c r="G2" s="890"/>
      <c r="H2" s="890"/>
      <c r="I2" s="890"/>
      <c r="J2" s="890"/>
      <c r="K2" s="890"/>
    </row>
    <row r="3" spans="1:11" ht="11.25" customHeight="1">
      <c r="A3" s="83"/>
      <c r="B3" s="84"/>
      <c r="C3" s="85"/>
      <c r="D3" s="86"/>
      <c r="E3" s="86"/>
      <c r="F3" s="86"/>
      <c r="G3" s="86"/>
      <c r="H3" s="83"/>
      <c r="I3" s="83"/>
      <c r="J3" s="83"/>
      <c r="K3" s="87"/>
    </row>
    <row r="4" spans="1:11" ht="11.25" customHeight="1">
      <c r="A4" s="891" t="str">
        <f>+"3.1. PRODUCCIÓN POR TIPO DE GENERACIÓN (GWh)"</f>
        <v>3.1. PRODUCCIÓN POR TIPO DE GENERACIÓN (GWh)</v>
      </c>
      <c r="B4" s="891"/>
      <c r="C4" s="891"/>
      <c r="D4" s="891"/>
      <c r="E4" s="891"/>
      <c r="F4" s="891"/>
      <c r="G4" s="891"/>
      <c r="H4" s="891"/>
      <c r="I4" s="891"/>
      <c r="J4" s="891"/>
      <c r="K4" s="891"/>
    </row>
    <row r="5" spans="1:11" ht="11.25" customHeight="1">
      <c r="A5" s="54"/>
      <c r="B5" s="88"/>
      <c r="C5" s="89"/>
      <c r="D5" s="90"/>
      <c r="E5" s="90"/>
      <c r="F5" s="90"/>
      <c r="G5" s="90"/>
      <c r="H5" s="91"/>
      <c r="I5" s="83"/>
      <c r="J5" s="83"/>
      <c r="K5" s="92"/>
    </row>
    <row r="6" spans="1:11" ht="18" customHeight="1">
      <c r="A6" s="888" t="s">
        <v>32</v>
      </c>
      <c r="B6" s="892" t="s">
        <v>33</v>
      </c>
      <c r="C6" s="893"/>
      <c r="D6" s="893"/>
      <c r="E6" s="893" t="s">
        <v>34</v>
      </c>
      <c r="F6" s="893"/>
      <c r="G6" s="894" t="str">
        <f>"Generación Acumulada a "&amp;'1. Resumen'!Q4</f>
        <v>Generación Acumulada a febrero</v>
      </c>
      <c r="H6" s="894"/>
      <c r="I6" s="894"/>
      <c r="J6" s="894"/>
      <c r="K6" s="895"/>
    </row>
    <row r="7" spans="1:11" ht="32.25" customHeight="1">
      <c r="A7" s="889"/>
      <c r="B7" s="572">
        <f>+C7-30</f>
        <v>43439</v>
      </c>
      <c r="C7" s="572">
        <f>+D7-28</f>
        <v>43469</v>
      </c>
      <c r="D7" s="572">
        <f>+'1. Resumen'!Q6</f>
        <v>43497</v>
      </c>
      <c r="E7" s="572">
        <f>+D7-365</f>
        <v>43132</v>
      </c>
      <c r="F7" s="573" t="s">
        <v>35</v>
      </c>
      <c r="G7" s="574">
        <v>2019</v>
      </c>
      <c r="H7" s="574">
        <v>2018</v>
      </c>
      <c r="I7" s="573" t="s">
        <v>539</v>
      </c>
      <c r="J7" s="574">
        <v>2017</v>
      </c>
      <c r="K7" s="575" t="s">
        <v>43</v>
      </c>
    </row>
    <row r="8" spans="1:11" ht="15" customHeight="1">
      <c r="A8" s="116" t="s">
        <v>37</v>
      </c>
      <c r="B8" s="383">
        <v>2436.2101136875003</v>
      </c>
      <c r="C8" s="379">
        <v>2780.5065075125008</v>
      </c>
      <c r="D8" s="384">
        <v>2818.4740673550014</v>
      </c>
      <c r="E8" s="383">
        <v>2764.6728744499997</v>
      </c>
      <c r="F8" s="246">
        <f>IF(E8=0,"",D8/E8-1)</f>
        <v>1.9460238280706088E-2</v>
      </c>
      <c r="G8" s="391">
        <v>5598.9805748675017</v>
      </c>
      <c r="H8" s="379">
        <v>5703.8502989775016</v>
      </c>
      <c r="I8" s="250">
        <f>IF(H8=0,"",G8/H8-1)</f>
        <v>-1.8385777783964552E-2</v>
      </c>
      <c r="J8" s="383">
        <v>5460.3550577695269</v>
      </c>
      <c r="K8" s="246">
        <f t="shared" ref="K8:K15" si="0">IF(J8=0,"",H8/J8-1)</f>
        <v>4.4593298170511053E-2</v>
      </c>
    </row>
    <row r="9" spans="1:11" ht="15" customHeight="1">
      <c r="A9" s="117" t="s">
        <v>38</v>
      </c>
      <c r="B9" s="385">
        <v>1843.3767355599998</v>
      </c>
      <c r="C9" s="256">
        <v>1550.1730163299997</v>
      </c>
      <c r="D9" s="386">
        <v>1179.9003117474997</v>
      </c>
      <c r="E9" s="385">
        <v>1046.218760365</v>
      </c>
      <c r="F9" s="247">
        <f t="shared" ref="F9:F15" si="1">IF(E9=0,"",D9/E9-1)</f>
        <v>0.12777590734069944</v>
      </c>
      <c r="G9" s="392">
        <v>2730.0733280774994</v>
      </c>
      <c r="H9" s="256">
        <v>2215.2562357749994</v>
      </c>
      <c r="I9" s="251">
        <f t="shared" ref="I9:I15" si="2">IF(H9=0,"",G9/H9-1)</f>
        <v>0.2323961824318681</v>
      </c>
      <c r="J9" s="385">
        <v>2510.8897713439965</v>
      </c>
      <c r="K9" s="247">
        <f t="shared" si="0"/>
        <v>-0.11774054717294669</v>
      </c>
    </row>
    <row r="10" spans="1:11" ht="15" customHeight="1">
      <c r="A10" s="118" t="s">
        <v>39</v>
      </c>
      <c r="B10" s="387">
        <v>139.86001345999998</v>
      </c>
      <c r="C10" s="257">
        <v>110.11578868249998</v>
      </c>
      <c r="D10" s="388">
        <v>92.624653935000012</v>
      </c>
      <c r="E10" s="387">
        <v>62.462496864999999</v>
      </c>
      <c r="F10" s="248">
        <f>IF(E10=0,"",D10/E10-1)</f>
        <v>0.4828842679022165</v>
      </c>
      <c r="G10" s="393">
        <v>202.74044261750001</v>
      </c>
      <c r="H10" s="257">
        <v>149.83550424499998</v>
      </c>
      <c r="I10" s="252">
        <f t="shared" si="2"/>
        <v>0.35308679767909856</v>
      </c>
      <c r="J10" s="387">
        <v>116.55151657847537</v>
      </c>
      <c r="K10" s="248">
        <f t="shared" si="0"/>
        <v>0.28557318380421193</v>
      </c>
    </row>
    <row r="11" spans="1:11" ht="15" customHeight="1">
      <c r="A11" s="117" t="s">
        <v>30</v>
      </c>
      <c r="B11" s="385">
        <v>76.637353504999993</v>
      </c>
      <c r="C11" s="256">
        <v>56.281983437499996</v>
      </c>
      <c r="D11" s="386">
        <v>49.242465800000005</v>
      </c>
      <c r="E11" s="385">
        <v>46.187362507500005</v>
      </c>
      <c r="F11" s="247">
        <f>IF(E11=0,"",D11/E11-1)</f>
        <v>6.6145870355855507E-2</v>
      </c>
      <c r="G11" s="392">
        <v>105.52444923749999</v>
      </c>
      <c r="H11" s="256">
        <v>105.84624135749999</v>
      </c>
      <c r="I11" s="251">
        <f t="shared" si="2"/>
        <v>-3.0401846666725518E-3</v>
      </c>
      <c r="J11" s="385">
        <v>35.836086751442998</v>
      </c>
      <c r="K11" s="247">
        <f t="shared" si="0"/>
        <v>1.9536216409911979</v>
      </c>
    </row>
    <row r="12" spans="1:11" ht="15" customHeight="1">
      <c r="A12" s="145" t="s">
        <v>44</v>
      </c>
      <c r="B12" s="389">
        <f>+SUM(B8:B11)</f>
        <v>4496.0842162125</v>
      </c>
      <c r="C12" s="380">
        <f t="shared" ref="C12:E12" si="3">+SUM(C8:C11)</f>
        <v>4497.0772959625001</v>
      </c>
      <c r="D12" s="390">
        <f t="shared" si="3"/>
        <v>4140.2414988375012</v>
      </c>
      <c r="E12" s="389">
        <f t="shared" si="3"/>
        <v>3919.5414941874997</v>
      </c>
      <c r="F12" s="249">
        <f>IF(E12=0,"",D12/E12-1)</f>
        <v>5.6307607656989944E-2</v>
      </c>
      <c r="G12" s="389">
        <f t="shared" ref="G12:J12" si="4">+SUM(G8:G11)</f>
        <v>8637.3187948000013</v>
      </c>
      <c r="H12" s="380">
        <f t="shared" si="4"/>
        <v>8174.788280355001</v>
      </c>
      <c r="I12" s="253">
        <f>IF(H12=0,"",G12/H12-1)</f>
        <v>5.6580121537400219E-2</v>
      </c>
      <c r="J12" s="389">
        <f t="shared" si="4"/>
        <v>8123.6324324434418</v>
      </c>
      <c r="K12" s="249">
        <f t="shared" si="0"/>
        <v>6.297164271891198E-3</v>
      </c>
    </row>
    <row r="13" spans="1:11" ht="15" customHeight="1">
      <c r="A13" s="112"/>
      <c r="B13" s="112"/>
      <c r="C13" s="112"/>
      <c r="D13" s="112"/>
      <c r="E13" s="112"/>
      <c r="F13" s="114"/>
      <c r="G13" s="112"/>
      <c r="H13" s="112"/>
      <c r="I13" s="114"/>
      <c r="J13" s="113"/>
      <c r="K13" s="114" t="str">
        <f t="shared" si="0"/>
        <v/>
      </c>
    </row>
    <row r="14" spans="1:11" ht="15" customHeight="1">
      <c r="A14" s="119" t="s">
        <v>40</v>
      </c>
      <c r="B14" s="244">
        <v>0</v>
      </c>
      <c r="C14" s="245">
        <v>0</v>
      </c>
      <c r="D14" s="382">
        <v>0</v>
      </c>
      <c r="E14" s="244">
        <v>0</v>
      </c>
      <c r="F14" s="120" t="str">
        <f t="shared" si="1"/>
        <v/>
      </c>
      <c r="G14" s="244">
        <v>0</v>
      </c>
      <c r="H14" s="245">
        <v>0</v>
      </c>
      <c r="I14" s="123" t="str">
        <f t="shared" si="2"/>
        <v/>
      </c>
      <c r="J14" s="244">
        <v>0</v>
      </c>
      <c r="K14" s="120" t="str">
        <f t="shared" si="0"/>
        <v/>
      </c>
    </row>
    <row r="15" spans="1:11" ht="15" customHeight="1">
      <c r="A15" s="118" t="s">
        <v>41</v>
      </c>
      <c r="B15" s="241">
        <v>0</v>
      </c>
      <c r="C15" s="242">
        <v>0</v>
      </c>
      <c r="D15" s="243">
        <v>0</v>
      </c>
      <c r="E15" s="241">
        <v>0</v>
      </c>
      <c r="F15" s="121" t="str">
        <f t="shared" si="1"/>
        <v/>
      </c>
      <c r="G15" s="241">
        <v>0</v>
      </c>
      <c r="H15" s="242">
        <v>0</v>
      </c>
      <c r="I15" s="115" t="str">
        <f t="shared" si="2"/>
        <v/>
      </c>
      <c r="J15" s="241">
        <v>0</v>
      </c>
      <c r="K15" s="121" t="str">
        <f t="shared" si="0"/>
        <v/>
      </c>
    </row>
    <row r="16" spans="1:11" ht="23.25" customHeight="1">
      <c r="A16" s="125" t="s">
        <v>42</v>
      </c>
      <c r="B16" s="254">
        <v>0</v>
      </c>
      <c r="C16" s="255">
        <v>0</v>
      </c>
      <c r="D16" s="469">
        <v>0</v>
      </c>
      <c r="E16" s="254">
        <v>0</v>
      </c>
      <c r="F16" s="122"/>
      <c r="G16" s="254">
        <v>0</v>
      </c>
      <c r="H16" s="255">
        <v>0</v>
      </c>
      <c r="I16" s="124"/>
      <c r="J16" s="254">
        <v>0</v>
      </c>
      <c r="K16" s="122"/>
    </row>
    <row r="17" spans="1:11" ht="11.25" customHeight="1">
      <c r="A17" s="240" t="s">
        <v>237</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86"/>
      <c r="C42" s="886"/>
      <c r="D42" s="886"/>
      <c r="E42" s="93"/>
      <c r="F42" s="93"/>
      <c r="G42" s="887"/>
      <c r="H42" s="887"/>
      <c r="I42" s="887"/>
      <c r="J42" s="887"/>
      <c r="K42" s="88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40" t="str">
        <f>"Gráfico N° 4: Comparación de la producción de energía eléctrica por tipo de generación acumulada a "&amp;'1. Resumen'!Q4</f>
        <v>Gráfico N° 4: Comparación de la producción de energía eléctrica por tipo de generación acumulada a febrero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0.86614173228346458" bottom="0.62992125984251968" header="0.31496062992125984" footer="0.31496062992125984"/>
  <pageSetup scale="94" orientation="portrait" r:id="rId1"/>
  <headerFooter>
    <oddHeader>&amp;R&amp;7Informe de la Operación Mensual - Febrero 2019
INFSGI-MES-02-2019
11/03/2019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63"/>
  <sheetViews>
    <sheetView showGridLines="0" view="pageBreakPreview" topLeftCell="A25" zoomScale="145" zoomScaleNormal="100" zoomScaleSheetLayoutView="145" zoomScalePageLayoutView="145" workbookViewId="0">
      <selection activeCell="A3" sqref="A3"/>
    </sheetView>
  </sheetViews>
  <sheetFormatPr defaultColWidth="9.33203125" defaultRowHeight="11.25"/>
  <cols>
    <col min="1" max="1" width="15.1640625" customWidth="1"/>
    <col min="2" max="2" width="12.33203125" customWidth="1"/>
    <col min="3" max="3" width="11.6640625" customWidth="1"/>
    <col min="4" max="4" width="11.33203125" customWidth="1"/>
    <col min="5" max="5" width="9.83203125" customWidth="1"/>
    <col min="6" max="6" width="9.5" bestFit="1" customWidth="1"/>
    <col min="7" max="7" width="10.83203125" customWidth="1"/>
    <col min="8" max="8" width="10.5" bestFit="1" customWidth="1"/>
    <col min="9" max="9" width="9.5" bestFit="1" customWidth="1"/>
    <col min="10" max="10" width="8.83203125" customWidth="1"/>
    <col min="11" max="11" width="9.33203125" customWidth="1"/>
  </cols>
  <sheetData>
    <row r="1" spans="1:12" ht="11.25" customHeight="1"/>
    <row r="2" spans="1:12" ht="11.25" customHeight="1">
      <c r="A2" s="896" t="str">
        <f>+"3.2. PRODUCCIÓN POR TIPO DE RECURSO ENERGÉTICO (GWh)"</f>
        <v>3.2. PRODUCCIÓN POR TIPO DE RECURSO ENERGÉTICO (GWh)</v>
      </c>
      <c r="B2" s="896"/>
      <c r="C2" s="896"/>
      <c r="D2" s="896"/>
      <c r="E2" s="896"/>
      <c r="F2" s="896"/>
      <c r="G2" s="896"/>
      <c r="H2" s="896"/>
      <c r="I2" s="896"/>
      <c r="J2" s="896"/>
      <c r="K2" s="896"/>
    </row>
    <row r="3" spans="1:12" ht="18.75" customHeight="1">
      <c r="A3" s="126"/>
      <c r="B3" s="127"/>
      <c r="C3" s="128"/>
      <c r="D3" s="129"/>
      <c r="E3" s="129"/>
      <c r="F3" s="129"/>
      <c r="G3" s="130"/>
      <c r="H3" s="130"/>
      <c r="I3" s="130"/>
      <c r="J3" s="126"/>
      <c r="K3" s="126"/>
      <c r="L3" s="36"/>
    </row>
    <row r="4" spans="1:12" ht="14.25" customHeight="1">
      <c r="A4" s="900" t="s">
        <v>45</v>
      </c>
      <c r="B4" s="897" t="s">
        <v>33</v>
      </c>
      <c r="C4" s="898"/>
      <c r="D4" s="898"/>
      <c r="E4" s="898" t="s">
        <v>34</v>
      </c>
      <c r="F4" s="898"/>
      <c r="G4" s="899" t="str">
        <f>+'3. Tipo Generación'!G6:K6</f>
        <v>Generación Acumulada a febrero</v>
      </c>
      <c r="H4" s="899"/>
      <c r="I4" s="899"/>
      <c r="J4" s="899"/>
      <c r="K4" s="899"/>
      <c r="L4" s="131"/>
    </row>
    <row r="5" spans="1:12" ht="26.25" customHeight="1">
      <c r="A5" s="900"/>
      <c r="B5" s="576">
        <f>+'3. Tipo Generación'!B7</f>
        <v>43439</v>
      </c>
      <c r="C5" s="576">
        <f>+'3. Tipo Generación'!C7</f>
        <v>43469</v>
      </c>
      <c r="D5" s="576">
        <f>+'3. Tipo Generación'!D7</f>
        <v>43497</v>
      </c>
      <c r="E5" s="576">
        <f>+'3. Tipo Generación'!E7</f>
        <v>43132</v>
      </c>
      <c r="F5" s="577" t="s">
        <v>35</v>
      </c>
      <c r="G5" s="578">
        <v>2019</v>
      </c>
      <c r="H5" s="578">
        <v>2018</v>
      </c>
      <c r="I5" s="577" t="s">
        <v>539</v>
      </c>
      <c r="J5" s="578">
        <v>2017</v>
      </c>
      <c r="K5" s="577" t="s">
        <v>43</v>
      </c>
      <c r="L5" s="19"/>
    </row>
    <row r="6" spans="1:12" ht="11.25" customHeight="1">
      <c r="A6" s="139" t="s">
        <v>46</v>
      </c>
      <c r="B6" s="319">
        <v>2436.2101136875003</v>
      </c>
      <c r="C6" s="320">
        <v>2780.5065075125008</v>
      </c>
      <c r="D6" s="321">
        <v>2818.4740673550014</v>
      </c>
      <c r="E6" s="319">
        <v>2764.6728744499997</v>
      </c>
      <c r="F6" s="261">
        <f>IF(E6=0,"",D6/E6-1)</f>
        <v>1.9460238280706088E-2</v>
      </c>
      <c r="G6" s="319">
        <v>5598.9805748675017</v>
      </c>
      <c r="H6" s="320">
        <v>5703.8502989775016</v>
      </c>
      <c r="I6" s="261">
        <f t="shared" ref="I6:I16" si="0">IF(H6=0,"",G6/H6-1)</f>
        <v>-1.8385777783964552E-2</v>
      </c>
      <c r="J6" s="319">
        <v>5460.3550577695269</v>
      </c>
      <c r="K6" s="261">
        <f>IF(J6=0,"",H6/J6-1)</f>
        <v>4.4593298170511053E-2</v>
      </c>
      <c r="L6" s="24"/>
    </row>
    <row r="7" spans="1:12" ht="11.25" customHeight="1">
      <c r="A7" s="140" t="s">
        <v>52</v>
      </c>
      <c r="B7" s="322">
        <v>1727.3175751775</v>
      </c>
      <c r="C7" s="256">
        <v>1448.6344844124999</v>
      </c>
      <c r="D7" s="323">
        <v>1060.5125546645311</v>
      </c>
      <c r="E7" s="322">
        <v>884.20280764999995</v>
      </c>
      <c r="F7" s="262">
        <f t="shared" ref="F7:F18" si="1">IF(E7=0,"",D7/E7-1)</f>
        <v>0.19939966881932936</v>
      </c>
      <c r="G7" s="322">
        <v>2509.147039077031</v>
      </c>
      <c r="H7" s="256">
        <v>1987.52508923</v>
      </c>
      <c r="I7" s="262">
        <f t="shared" si="0"/>
        <v>0.26244798250527546</v>
      </c>
      <c r="J7" s="322">
        <v>2150.2490754097703</v>
      </c>
      <c r="K7" s="262">
        <f t="shared" ref="K7:K19" si="2">IF(J7=0,"",H7/J7-1)</f>
        <v>-7.5676807882714803E-2</v>
      </c>
      <c r="L7" s="22"/>
    </row>
    <row r="8" spans="1:12" ht="11.25" customHeight="1">
      <c r="A8" s="141" t="s">
        <v>53</v>
      </c>
      <c r="B8" s="324">
        <v>62.424170189999998</v>
      </c>
      <c r="C8" s="257">
        <v>55.561611380000002</v>
      </c>
      <c r="D8" s="325">
        <v>41.400009942499999</v>
      </c>
      <c r="E8" s="324">
        <v>40.139846787499998</v>
      </c>
      <c r="F8" s="465">
        <f t="shared" si="1"/>
        <v>3.1394319008522631E-2</v>
      </c>
      <c r="G8" s="324">
        <v>96.961621322499994</v>
      </c>
      <c r="H8" s="257">
        <v>84.793447119999996</v>
      </c>
      <c r="I8" s="465">
        <f t="shared" si="0"/>
        <v>0.14350370949396063</v>
      </c>
      <c r="J8" s="324">
        <v>52.133962388949747</v>
      </c>
      <c r="K8" s="465">
        <f t="shared" si="2"/>
        <v>0.62645314559809306</v>
      </c>
      <c r="L8" s="22"/>
    </row>
    <row r="9" spans="1:12" ht="11.25" customHeight="1">
      <c r="A9" s="140" t="s">
        <v>54</v>
      </c>
      <c r="B9" s="322">
        <v>22.457336932499999</v>
      </c>
      <c r="C9" s="256">
        <v>21.820522857499999</v>
      </c>
      <c r="D9" s="323">
        <v>15.488254135</v>
      </c>
      <c r="E9" s="322">
        <v>47.557086605000002</v>
      </c>
      <c r="F9" s="262">
        <f t="shared" si="1"/>
        <v>-0.67432289821194358</v>
      </c>
      <c r="G9" s="322">
        <v>37.3087769925</v>
      </c>
      <c r="H9" s="256">
        <v>56.915968597500004</v>
      </c>
      <c r="I9" s="262">
        <f t="shared" si="0"/>
        <v>-0.34449368232066313</v>
      </c>
      <c r="J9" s="322">
        <v>2.090280714151</v>
      </c>
      <c r="K9" s="262">
        <f t="shared" si="2"/>
        <v>26.228863669929286</v>
      </c>
      <c r="L9" s="22"/>
    </row>
    <row r="10" spans="1:12" ht="11.25" customHeight="1">
      <c r="A10" s="141" t="s">
        <v>55</v>
      </c>
      <c r="B10" s="324">
        <v>0</v>
      </c>
      <c r="C10" s="257">
        <v>0</v>
      </c>
      <c r="D10" s="325">
        <v>0</v>
      </c>
      <c r="E10" s="324">
        <v>0</v>
      </c>
      <c r="F10" s="465" t="str">
        <f t="shared" si="1"/>
        <v/>
      </c>
      <c r="G10" s="324">
        <v>0</v>
      </c>
      <c r="H10" s="257">
        <v>0</v>
      </c>
      <c r="I10" s="465" t="str">
        <f t="shared" si="0"/>
        <v/>
      </c>
      <c r="J10" s="324">
        <v>9.7034091828799998</v>
      </c>
      <c r="K10" s="465">
        <f t="shared" si="2"/>
        <v>-1</v>
      </c>
      <c r="L10" s="22"/>
    </row>
    <row r="11" spans="1:12" ht="11.25" customHeight="1">
      <c r="A11" s="140" t="s">
        <v>26</v>
      </c>
      <c r="B11" s="322">
        <v>0</v>
      </c>
      <c r="C11" s="256">
        <v>4.0722708399999998</v>
      </c>
      <c r="D11" s="323">
        <v>14.210985769999999</v>
      </c>
      <c r="E11" s="322">
        <v>20.235010845000001</v>
      </c>
      <c r="F11" s="262">
        <f t="shared" si="1"/>
        <v>-0.2977030811173752</v>
      </c>
      <c r="G11" s="322">
        <v>18.283256609999999</v>
      </c>
      <c r="H11" s="256">
        <v>20.235010845000001</v>
      </c>
      <c r="I11" s="262">
        <f t="shared" si="0"/>
        <v>-9.6454321173851665E-2</v>
      </c>
      <c r="J11" s="322">
        <v>149.62773490930186</v>
      </c>
      <c r="K11" s="262">
        <f t="shared" si="2"/>
        <v>-0.8647643041761901</v>
      </c>
      <c r="L11" s="24"/>
    </row>
    <row r="12" spans="1:12" ht="11.25" customHeight="1">
      <c r="A12" s="141" t="s">
        <v>47</v>
      </c>
      <c r="B12" s="324">
        <v>13.912232314999999</v>
      </c>
      <c r="C12" s="257">
        <v>5.8344011274999996</v>
      </c>
      <c r="D12" s="325">
        <v>12.699560697500001</v>
      </c>
      <c r="E12" s="324">
        <v>1.6140355500000003</v>
      </c>
      <c r="F12" s="465">
        <f t="shared" si="1"/>
        <v>6.8682038307644451</v>
      </c>
      <c r="G12" s="324">
        <v>18.533961824999999</v>
      </c>
      <c r="H12" s="257">
        <v>1.6962494200000002</v>
      </c>
      <c r="I12" s="465">
        <f t="shared" si="0"/>
        <v>9.9264366469171712</v>
      </c>
      <c r="J12" s="324">
        <v>20.947398869992597</v>
      </c>
      <c r="K12" s="465">
        <f t="shared" si="2"/>
        <v>-0.91902338660147931</v>
      </c>
      <c r="L12" s="22"/>
    </row>
    <row r="13" spans="1:12" ht="11.25" customHeight="1">
      <c r="A13" s="140" t="s">
        <v>48</v>
      </c>
      <c r="B13" s="322">
        <v>0</v>
      </c>
      <c r="C13" s="256">
        <v>0</v>
      </c>
      <c r="D13" s="323">
        <v>6.4617880000000003E-2</v>
      </c>
      <c r="E13" s="322">
        <v>1.2727732775</v>
      </c>
      <c r="F13" s="262">
        <f>IF(E13=0,"",D13/E13-1)</f>
        <v>-0.9492306437114052</v>
      </c>
      <c r="G13" s="322">
        <v>6.4617880000000003E-2</v>
      </c>
      <c r="H13" s="256">
        <v>1.2727732775</v>
      </c>
      <c r="I13" s="262">
        <f t="shared" si="0"/>
        <v>-0.9492306437114052</v>
      </c>
      <c r="J13" s="322">
        <v>0.16153103818100001</v>
      </c>
      <c r="K13" s="262">
        <f t="shared" si="2"/>
        <v>6.8794347627099519</v>
      </c>
      <c r="L13" s="22"/>
    </row>
    <row r="14" spans="1:12" ht="11.25" customHeight="1">
      <c r="A14" s="141" t="s">
        <v>49</v>
      </c>
      <c r="B14" s="324">
        <v>0.65663901749999987</v>
      </c>
      <c r="C14" s="257">
        <v>1.3454662900000001</v>
      </c>
      <c r="D14" s="325">
        <v>21.475344827968751</v>
      </c>
      <c r="E14" s="324">
        <v>40.702907707500003</v>
      </c>
      <c r="F14" s="465">
        <f t="shared" si="1"/>
        <v>-0.4723879438222135</v>
      </c>
      <c r="G14" s="324">
        <v>22.820811117968752</v>
      </c>
      <c r="H14" s="257">
        <v>41.546388592500001</v>
      </c>
      <c r="I14" s="465">
        <f t="shared" si="0"/>
        <v>-0.45071492634889598</v>
      </c>
      <c r="J14" s="324">
        <v>106.767567644569</v>
      </c>
      <c r="K14" s="465">
        <f t="shared" si="2"/>
        <v>-0.61087070250763209</v>
      </c>
      <c r="L14" s="22"/>
    </row>
    <row r="15" spans="1:12" ht="11.25" customHeight="1">
      <c r="A15" s="140" t="s">
        <v>50</v>
      </c>
      <c r="B15" s="322">
        <v>10.894679502499999</v>
      </c>
      <c r="C15" s="256">
        <v>7.1550470475000001</v>
      </c>
      <c r="D15" s="323">
        <v>8.3583817175000004</v>
      </c>
      <c r="E15" s="322">
        <v>6.6318301625</v>
      </c>
      <c r="F15" s="262">
        <f t="shared" si="1"/>
        <v>0.26034315003464181</v>
      </c>
      <c r="G15" s="322">
        <v>15.513428765</v>
      </c>
      <c r="H15" s="256">
        <v>13.479742937499999</v>
      </c>
      <c r="I15" s="262">
        <f>IF(H15=0,"",G15/H15-1)</f>
        <v>0.15086977822421122</v>
      </c>
      <c r="J15" s="322">
        <v>12.830361061200001</v>
      </c>
      <c r="K15" s="262">
        <f t="shared" si="2"/>
        <v>5.0612907400071405E-2</v>
      </c>
      <c r="L15" s="22"/>
    </row>
    <row r="16" spans="1:12" ht="11.25" customHeight="1">
      <c r="A16" s="141" t="s">
        <v>51</v>
      </c>
      <c r="B16" s="324">
        <v>5.7141024249999992</v>
      </c>
      <c r="C16" s="257">
        <v>5.7492123750000008</v>
      </c>
      <c r="D16" s="325">
        <v>5.6906021124999997</v>
      </c>
      <c r="E16" s="324">
        <v>3.8624617800000003</v>
      </c>
      <c r="F16" s="465">
        <f t="shared" si="1"/>
        <v>0.4733096239207315</v>
      </c>
      <c r="G16" s="324">
        <v>11.4398144875</v>
      </c>
      <c r="H16" s="257">
        <v>7.7915657549999997</v>
      </c>
      <c r="I16" s="465">
        <f t="shared" si="0"/>
        <v>0.46823050041756331</v>
      </c>
      <c r="J16" s="324">
        <v>6.3784501249999996</v>
      </c>
      <c r="K16" s="465">
        <f t="shared" si="2"/>
        <v>0.22154529741658835</v>
      </c>
      <c r="L16" s="22"/>
    </row>
    <row r="17" spans="1:12" ht="11.25" customHeight="1">
      <c r="A17" s="140" t="s">
        <v>30</v>
      </c>
      <c r="B17" s="322">
        <v>76.637353504999993</v>
      </c>
      <c r="C17" s="256">
        <v>56.281983437499996</v>
      </c>
      <c r="D17" s="323">
        <v>49.242465800000005</v>
      </c>
      <c r="E17" s="322">
        <v>46.187362507500005</v>
      </c>
      <c r="F17" s="262">
        <f t="shared" si="1"/>
        <v>6.6145870355855507E-2</v>
      </c>
      <c r="G17" s="322">
        <v>105.52444923749999</v>
      </c>
      <c r="H17" s="256">
        <v>105.84624135749999</v>
      </c>
      <c r="I17" s="262">
        <f>IF(H17=0,"",G17/H17-1)</f>
        <v>-3.0401846666725518E-3</v>
      </c>
      <c r="J17" s="322">
        <v>35.836086751442998</v>
      </c>
      <c r="K17" s="262">
        <f t="shared" si="2"/>
        <v>1.9536216409911979</v>
      </c>
      <c r="L17" s="22"/>
    </row>
    <row r="18" spans="1:12" ht="11.25" customHeight="1">
      <c r="A18" s="141" t="s">
        <v>29</v>
      </c>
      <c r="B18" s="324">
        <v>139.86001345999998</v>
      </c>
      <c r="C18" s="257">
        <v>110.11578868249998</v>
      </c>
      <c r="D18" s="325">
        <v>92.624653935000012</v>
      </c>
      <c r="E18" s="324">
        <v>62.462496864999999</v>
      </c>
      <c r="F18" s="465">
        <f t="shared" si="1"/>
        <v>0.4828842679022165</v>
      </c>
      <c r="G18" s="324">
        <v>202.74044261750001</v>
      </c>
      <c r="H18" s="257">
        <v>149.83550424499998</v>
      </c>
      <c r="I18" s="465">
        <f>IF(H18=0,"",G18/H18-1)</f>
        <v>0.35308679767909856</v>
      </c>
      <c r="J18" s="324">
        <v>116.55151657847537</v>
      </c>
      <c r="K18" s="465">
        <f t="shared" si="2"/>
        <v>0.28557318380421193</v>
      </c>
      <c r="L18" s="22"/>
    </row>
    <row r="19" spans="1:12" ht="11.25" customHeight="1">
      <c r="A19" s="146" t="s">
        <v>44</v>
      </c>
      <c r="B19" s="326">
        <f>SUM(B6:B18)</f>
        <v>4496.0842162125018</v>
      </c>
      <c r="C19" s="327">
        <f>SUM(C6:C18)</f>
        <v>4497.077295962501</v>
      </c>
      <c r="D19" s="328">
        <f>SUM(D6:D18)</f>
        <v>4140.2414988375021</v>
      </c>
      <c r="E19" s="326">
        <f>SUM(E6:E18)</f>
        <v>3919.5414941875006</v>
      </c>
      <c r="F19" s="466">
        <f>IF(E19=0,"",D19/E19-1)</f>
        <v>5.6307607656989944E-2</v>
      </c>
      <c r="G19" s="326">
        <f>SUM(G6:G18)</f>
        <v>8637.3187948000013</v>
      </c>
      <c r="H19" s="327">
        <f>SUM(H6:H18)</f>
        <v>8174.7882803550019</v>
      </c>
      <c r="I19" s="466">
        <f>IF(H19=0,"",G19/H19-1)</f>
        <v>5.6580121537399997E-2</v>
      </c>
      <c r="J19" s="326">
        <f>SUM(J6:J18)</f>
        <v>8123.6324324434408</v>
      </c>
      <c r="K19" s="466">
        <f t="shared" si="2"/>
        <v>6.29716427189142E-3</v>
      </c>
      <c r="L19" s="30"/>
    </row>
    <row r="20" spans="1:12" ht="11.25" customHeight="1">
      <c r="A20" s="22"/>
      <c r="B20" s="22"/>
      <c r="C20" s="22"/>
      <c r="D20" s="22"/>
      <c r="E20" s="22"/>
      <c r="F20" s="22"/>
      <c r="G20" s="22"/>
      <c r="H20" s="22"/>
      <c r="I20" s="22"/>
      <c r="J20" s="22"/>
      <c r="K20" s="22"/>
      <c r="L20" s="22"/>
    </row>
    <row r="21" spans="1:12" ht="11.25" customHeight="1">
      <c r="A21" s="142" t="s">
        <v>40</v>
      </c>
      <c r="B21" s="244">
        <v>0</v>
      </c>
      <c r="C21" s="245">
        <v>0</v>
      </c>
      <c r="D21" s="382">
        <v>0</v>
      </c>
      <c r="E21" s="244">
        <v>2.1206869999999993</v>
      </c>
      <c r="F21" s="120">
        <f>IF(E21=0,"",D21/E21-1)</f>
        <v>-1</v>
      </c>
      <c r="G21" s="244">
        <v>0</v>
      </c>
      <c r="H21" s="381">
        <v>2.1206869999999993</v>
      </c>
      <c r="I21" s="123">
        <f>IF(H21=0,"",G21/H21-1)</f>
        <v>-1</v>
      </c>
      <c r="J21" s="244">
        <v>0.40202100000000002</v>
      </c>
      <c r="K21" s="120">
        <f>IF(J21=0,"",H21/J21-1)</f>
        <v>4.2750652329107171</v>
      </c>
      <c r="L21" s="22"/>
    </row>
    <row r="22" spans="1:12" ht="11.25" customHeight="1">
      <c r="A22" s="143" t="s">
        <v>41</v>
      </c>
      <c r="B22" s="241">
        <v>0</v>
      </c>
      <c r="C22" s="242">
        <v>0</v>
      </c>
      <c r="D22" s="243">
        <v>0</v>
      </c>
      <c r="E22" s="241">
        <v>0</v>
      </c>
      <c r="F22" s="241" t="str">
        <f>IF(E22=0,"",D22/E22-1)</f>
        <v/>
      </c>
      <c r="G22" s="241">
        <v>0</v>
      </c>
      <c r="H22" s="242">
        <v>0</v>
      </c>
      <c r="I22" s="115" t="str">
        <f>IF(H22=0,"",G22/H22-1)</f>
        <v/>
      </c>
      <c r="J22" s="241">
        <v>0</v>
      </c>
      <c r="K22" s="121" t="str">
        <f>IF(J22=0,"",H22/J22-1)</f>
        <v/>
      </c>
      <c r="L22" s="22"/>
    </row>
    <row r="23" spans="1:12" ht="23.25" customHeight="1">
      <c r="A23" s="144" t="s">
        <v>42</v>
      </c>
      <c r="B23" s="254">
        <f>+B22-B21</f>
        <v>0</v>
      </c>
      <c r="C23" s="255">
        <f>+C22-C21</f>
        <v>0</v>
      </c>
      <c r="D23" s="469">
        <f>+D22-D21</f>
        <v>0</v>
      </c>
      <c r="E23" s="254">
        <f>+E22-E21</f>
        <v>-2.1206869999999993</v>
      </c>
      <c r="F23" s="254"/>
      <c r="G23" s="254">
        <f>+G22-G21</f>
        <v>0</v>
      </c>
      <c r="H23" s="255">
        <f>+H22-H21</f>
        <v>-2.1206869999999993</v>
      </c>
      <c r="I23" s="124"/>
      <c r="J23" s="254">
        <f>+J22-J21</f>
        <v>-0.40202100000000002</v>
      </c>
      <c r="K23" s="122"/>
      <c r="L23" s="30"/>
    </row>
    <row r="24" spans="1:12" ht="11.25" customHeight="1">
      <c r="A24" s="239" t="s">
        <v>239</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9"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5">
    <mergeCell ref="A2:K2"/>
    <mergeCell ref="B4:D4"/>
    <mergeCell ref="E4:F4"/>
    <mergeCell ref="G4:K4"/>
    <mergeCell ref="A4:A5"/>
  </mergeCells>
  <pageMargins left="0.70866141732283472" right="0.70866141732283472" top="0.86614173228346458" bottom="0.62992125984251968" header="0.31496062992125984" footer="0.31496062992125984"/>
  <pageSetup scale="93" orientation="portrait" r:id="rId1"/>
  <headerFooter>
    <oddHeader>&amp;R&amp;7Informe de la Operación Mensual - Febrero 2019
INFSGI-MES-02-2019
11/03/2019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61"/>
  <sheetViews>
    <sheetView showGridLines="0" view="pageBreakPreview" zoomScale="145" zoomScaleNormal="100" zoomScaleSheetLayoutView="145" zoomScalePageLayoutView="160" workbookViewId="0">
      <selection activeCell="A3" sqref="A3"/>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732"/>
  </cols>
  <sheetData>
    <row r="1" spans="1:12" ht="11.25" customHeight="1"/>
    <row r="2" spans="1:12" ht="11.25" customHeight="1">
      <c r="A2" s="902" t="s">
        <v>247</v>
      </c>
      <c r="B2" s="902"/>
      <c r="C2" s="902"/>
      <c r="D2" s="902"/>
      <c r="E2" s="902"/>
      <c r="F2" s="902"/>
      <c r="G2" s="902"/>
      <c r="H2" s="902"/>
      <c r="I2" s="902"/>
      <c r="J2" s="902"/>
      <c r="K2" s="902"/>
      <c r="L2" s="733"/>
    </row>
    <row r="3" spans="1:12" ht="11.25" customHeight="1">
      <c r="A3" s="74"/>
      <c r="B3" s="73"/>
      <c r="C3" s="73"/>
      <c r="D3" s="73"/>
      <c r="E3" s="73"/>
      <c r="F3" s="73"/>
      <c r="G3" s="73"/>
      <c r="H3" s="73"/>
      <c r="I3" s="73"/>
      <c r="J3" s="73"/>
      <c r="K3" s="73"/>
      <c r="L3" s="733"/>
    </row>
    <row r="4" spans="1:12" ht="15.75" customHeight="1">
      <c r="A4" s="900" t="s">
        <v>243</v>
      </c>
      <c r="B4" s="897" t="s">
        <v>33</v>
      </c>
      <c r="C4" s="898"/>
      <c r="D4" s="898"/>
      <c r="E4" s="898" t="s">
        <v>34</v>
      </c>
      <c r="F4" s="898"/>
      <c r="G4" s="899" t="str">
        <f>+'4. Tipo Recurso'!G4:K4</f>
        <v>Generación Acumulada a febrero</v>
      </c>
      <c r="H4" s="899"/>
      <c r="I4" s="899"/>
      <c r="J4" s="899"/>
      <c r="K4" s="899"/>
      <c r="L4" s="734"/>
    </row>
    <row r="5" spans="1:12" ht="29.25" customHeight="1">
      <c r="A5" s="900"/>
      <c r="B5" s="576">
        <f>+'4. Tipo Recurso'!B5</f>
        <v>43439</v>
      </c>
      <c r="C5" s="576">
        <f>+'4. Tipo Recurso'!C5</f>
        <v>43469</v>
      </c>
      <c r="D5" s="576">
        <f>+'4. Tipo Recurso'!D5</f>
        <v>43497</v>
      </c>
      <c r="E5" s="576">
        <f>+'4. Tipo Recurso'!E5</f>
        <v>43132</v>
      </c>
      <c r="F5" s="576" t="s">
        <v>35</v>
      </c>
      <c r="G5" s="578">
        <v>2019</v>
      </c>
      <c r="H5" s="578">
        <v>2018</v>
      </c>
      <c r="I5" s="577" t="s">
        <v>43</v>
      </c>
      <c r="J5" s="578">
        <v>2017</v>
      </c>
      <c r="K5" s="577" t="s">
        <v>36</v>
      </c>
      <c r="L5" s="735"/>
    </row>
    <row r="6" spans="1:12" ht="11.25" customHeight="1">
      <c r="A6" s="139" t="s">
        <v>46</v>
      </c>
      <c r="B6" s="319">
        <v>138.42144508000001</v>
      </c>
      <c r="C6" s="320">
        <v>148.2323815675</v>
      </c>
      <c r="D6" s="321">
        <v>146.369223565</v>
      </c>
      <c r="E6" s="319">
        <v>109.10575714000001</v>
      </c>
      <c r="F6" s="261">
        <f t="shared" ref="F6:F11" si="0">IF(E6=0,"",D6/E6-1)</f>
        <v>0.34153529017891371</v>
      </c>
      <c r="G6" s="319">
        <v>294.60160513250003</v>
      </c>
      <c r="H6" s="320">
        <v>217.30572136000001</v>
      </c>
      <c r="I6" s="265">
        <f t="shared" ref="I6:I11" si="1">IF(H6=0,"",G6/H6-1)</f>
        <v>0.35570109838225394</v>
      </c>
      <c r="J6" s="319">
        <v>239.96144392806588</v>
      </c>
      <c r="K6" s="261">
        <f t="shared" ref="K6:K11" si="2">IF(J6=0,"",H6/J6-1)</f>
        <v>-9.4414011672881326E-2</v>
      </c>
      <c r="L6" s="736"/>
    </row>
    <row r="7" spans="1:12" ht="11.25" customHeight="1">
      <c r="A7" s="140" t="s">
        <v>39</v>
      </c>
      <c r="B7" s="322">
        <v>139.86001345999998</v>
      </c>
      <c r="C7" s="256">
        <v>110.11578868249998</v>
      </c>
      <c r="D7" s="323">
        <v>92.624653935000012</v>
      </c>
      <c r="E7" s="322">
        <v>62.462496864999999</v>
      </c>
      <c r="F7" s="262">
        <f t="shared" si="0"/>
        <v>0.4828842679022165</v>
      </c>
      <c r="G7" s="322">
        <v>202.74044261750001</v>
      </c>
      <c r="H7" s="256">
        <v>149.83550424499998</v>
      </c>
      <c r="I7" s="251">
        <f t="shared" si="1"/>
        <v>0.35308679767909856</v>
      </c>
      <c r="J7" s="322">
        <v>116.55151657847537</v>
      </c>
      <c r="K7" s="262">
        <f t="shared" si="2"/>
        <v>0.28557318380421193</v>
      </c>
      <c r="L7" s="736"/>
    </row>
    <row r="8" spans="1:12" ht="11.25" customHeight="1">
      <c r="A8" s="259" t="s">
        <v>30</v>
      </c>
      <c r="B8" s="486">
        <v>76.637353504999993</v>
      </c>
      <c r="C8" s="329">
        <v>56.281983437499996</v>
      </c>
      <c r="D8" s="487">
        <v>49.242465800000005</v>
      </c>
      <c r="E8" s="486">
        <v>46.187362507500005</v>
      </c>
      <c r="F8" s="263">
        <f t="shared" si="0"/>
        <v>6.6145870355855507E-2</v>
      </c>
      <c r="G8" s="486">
        <v>105.52444923749999</v>
      </c>
      <c r="H8" s="329">
        <v>105.84624135749999</v>
      </c>
      <c r="I8" s="258">
        <f t="shared" si="1"/>
        <v>-3.0401846666725518E-3</v>
      </c>
      <c r="J8" s="486">
        <v>35.836086751442998</v>
      </c>
      <c r="K8" s="263">
        <f t="shared" si="2"/>
        <v>1.9536216409911979</v>
      </c>
      <c r="L8" s="736"/>
    </row>
    <row r="9" spans="1:12" ht="11.25" customHeight="1">
      <c r="A9" s="140" t="s">
        <v>50</v>
      </c>
      <c r="B9" s="322">
        <v>10.894679502499999</v>
      </c>
      <c r="C9" s="256">
        <v>7.1550470475000001</v>
      </c>
      <c r="D9" s="323">
        <v>8.3583817175000004</v>
      </c>
      <c r="E9" s="322">
        <v>6.6318301625</v>
      </c>
      <c r="F9" s="262">
        <f t="shared" si="0"/>
        <v>0.26034315003464181</v>
      </c>
      <c r="G9" s="322">
        <v>15.513428765</v>
      </c>
      <c r="H9" s="256">
        <v>13.479742937499999</v>
      </c>
      <c r="I9" s="251">
        <f t="shared" si="1"/>
        <v>0.15086977822421122</v>
      </c>
      <c r="J9" s="322">
        <v>12.830361061200001</v>
      </c>
      <c r="K9" s="262">
        <f t="shared" si="2"/>
        <v>5.0612907400071405E-2</v>
      </c>
      <c r="L9" s="737"/>
    </row>
    <row r="10" spans="1:12" ht="11.25" customHeight="1">
      <c r="A10" s="260" t="s">
        <v>51</v>
      </c>
      <c r="B10" s="488">
        <v>5.7141024249999992</v>
      </c>
      <c r="C10" s="489">
        <v>5.7492123750000008</v>
      </c>
      <c r="D10" s="490">
        <v>5.6906021124999997</v>
      </c>
      <c r="E10" s="488">
        <v>3.8624617800000003</v>
      </c>
      <c r="F10" s="264">
        <f t="shared" si="0"/>
        <v>0.4733096239207315</v>
      </c>
      <c r="G10" s="488">
        <v>11.4398144875</v>
      </c>
      <c r="H10" s="489">
        <v>7.7915657549999997</v>
      </c>
      <c r="I10" s="266">
        <f t="shared" si="1"/>
        <v>0.46823050041756331</v>
      </c>
      <c r="J10" s="488">
        <v>6.3784501249999996</v>
      </c>
      <c r="K10" s="264">
        <f t="shared" si="2"/>
        <v>0.22154529741658835</v>
      </c>
      <c r="L10" s="736"/>
    </row>
    <row r="11" spans="1:12" ht="11.25" customHeight="1">
      <c r="A11" s="267" t="s">
        <v>240</v>
      </c>
      <c r="B11" s="394">
        <f t="shared" ref="B11:E11" si="3">+SUM(B6:B10)</f>
        <v>371.52759397250003</v>
      </c>
      <c r="C11" s="395">
        <f t="shared" si="3"/>
        <v>327.53441310999995</v>
      </c>
      <c r="D11" s="396">
        <f t="shared" si="3"/>
        <v>302.28532712999998</v>
      </c>
      <c r="E11" s="397">
        <f t="shared" si="3"/>
        <v>228.249908455</v>
      </c>
      <c r="F11" s="268">
        <f t="shared" si="0"/>
        <v>0.32436121957786557</v>
      </c>
      <c r="G11" s="484">
        <f>+SUM(G6:G10)</f>
        <v>629.81974023999999</v>
      </c>
      <c r="H11" s="485">
        <f>+SUM(H6:H10)</f>
        <v>494.25877565500002</v>
      </c>
      <c r="I11" s="269">
        <f t="shared" si="1"/>
        <v>0.27427123454783842</v>
      </c>
      <c r="J11" s="484">
        <f>+SUM(J6:J10)</f>
        <v>411.55785844418426</v>
      </c>
      <c r="K11" s="268">
        <f t="shared" si="2"/>
        <v>0.20094602864212274</v>
      </c>
      <c r="L11" s="734"/>
    </row>
    <row r="12" spans="1:12" ht="24.75" customHeight="1">
      <c r="A12" s="270" t="s">
        <v>241</v>
      </c>
      <c r="B12" s="271">
        <f>B11/'4. Tipo Recurso'!B19</f>
        <v>8.2633593168206843E-2</v>
      </c>
      <c r="C12" s="269">
        <f>C11/'4. Tipo Recurso'!C19</f>
        <v>7.283272924929754E-2</v>
      </c>
      <c r="D12" s="742">
        <f>D11/'4. Tipo Recurso'!D19</f>
        <v>7.3011520515137998E-2</v>
      </c>
      <c r="E12" s="271">
        <f>E11/'4. Tipo Recurso'!E19</f>
        <v>5.8233828827551411E-2</v>
      </c>
      <c r="F12" s="272"/>
      <c r="G12" s="271">
        <f>G11/'4. Tipo Recurso'!G19</f>
        <v>7.2918431657191557E-2</v>
      </c>
      <c r="H12" s="269">
        <f>H11/'4. Tipo Recurso'!H19</f>
        <v>6.0461354924966466E-2</v>
      </c>
      <c r="I12" s="269"/>
      <c r="J12" s="271">
        <f>J11/'4. Tipo Recurso'!J19</f>
        <v>5.0661802077669231E-2</v>
      </c>
      <c r="K12" s="272"/>
      <c r="L12" s="734"/>
    </row>
    <row r="13" spans="1:12" ht="11.25" customHeight="1">
      <c r="A13" s="273" t="s">
        <v>242</v>
      </c>
      <c r="B13" s="134"/>
      <c r="C13" s="134"/>
      <c r="D13" s="134"/>
      <c r="E13" s="134"/>
      <c r="F13" s="134"/>
      <c r="G13" s="134"/>
      <c r="H13" s="134"/>
      <c r="I13" s="134"/>
      <c r="J13" s="134"/>
      <c r="K13" s="135"/>
      <c r="L13" s="734"/>
    </row>
    <row r="14" spans="1:12" ht="23.25" customHeight="1">
      <c r="A14" s="903" t="s">
        <v>521</v>
      </c>
      <c r="B14" s="903"/>
      <c r="C14" s="903"/>
      <c r="D14" s="903"/>
      <c r="E14" s="903"/>
      <c r="F14" s="903"/>
      <c r="G14" s="903"/>
      <c r="H14" s="903"/>
      <c r="I14" s="903"/>
      <c r="J14" s="903"/>
      <c r="K14" s="903"/>
      <c r="L14" s="734"/>
    </row>
    <row r="15" spans="1:12" ht="11.25" customHeight="1">
      <c r="A15" s="31"/>
      <c r="L15" s="734"/>
    </row>
    <row r="16" spans="1:12" ht="11.25" customHeight="1">
      <c r="A16" s="136"/>
      <c r="B16" s="147"/>
      <c r="C16" s="147"/>
      <c r="D16" s="147"/>
      <c r="E16" s="147"/>
      <c r="F16" s="147"/>
      <c r="G16" s="147"/>
      <c r="H16" s="147"/>
      <c r="I16" s="147"/>
      <c r="J16" s="147"/>
      <c r="K16" s="147"/>
      <c r="L16" s="734"/>
    </row>
    <row r="17" spans="1:12" ht="11.25" customHeight="1">
      <c r="A17" s="147"/>
      <c r="B17" s="147"/>
      <c r="C17" s="147"/>
      <c r="D17" s="147"/>
      <c r="E17" s="147"/>
      <c r="F17" s="147"/>
      <c r="G17" s="147"/>
      <c r="H17" s="147"/>
      <c r="I17" s="147"/>
      <c r="J17" s="147"/>
      <c r="K17" s="147"/>
      <c r="L17" s="734"/>
    </row>
    <row r="18" spans="1:12" ht="11.25" customHeight="1">
      <c r="A18" s="147"/>
      <c r="B18" s="147"/>
      <c r="C18" s="147"/>
      <c r="D18" s="147"/>
      <c r="E18" s="147"/>
      <c r="F18" s="147"/>
      <c r="G18" s="147"/>
      <c r="H18" s="147"/>
      <c r="I18" s="147"/>
      <c r="J18" s="147"/>
      <c r="K18" s="147"/>
      <c r="L18" s="738"/>
    </row>
    <row r="19" spans="1:12" ht="11.25" customHeight="1">
      <c r="A19" s="136"/>
      <c r="B19" s="138"/>
      <c r="C19" s="138"/>
      <c r="D19" s="138"/>
      <c r="E19" s="138"/>
      <c r="F19" s="138"/>
      <c r="G19" s="138"/>
      <c r="H19" s="138"/>
      <c r="I19" s="138"/>
      <c r="J19" s="138"/>
      <c r="K19" s="138"/>
      <c r="L19" s="734"/>
    </row>
    <row r="20" spans="1:12" ht="11.25" customHeight="1">
      <c r="A20" s="136"/>
      <c r="B20" s="138"/>
      <c r="C20" s="138"/>
      <c r="D20" s="138"/>
      <c r="E20" s="138"/>
      <c r="F20" s="138"/>
      <c r="G20" s="138"/>
      <c r="H20" s="138"/>
      <c r="I20" s="138"/>
      <c r="J20" s="138"/>
      <c r="K20" s="138"/>
      <c r="L20" s="734"/>
    </row>
    <row r="21" spans="1:12" ht="11.25" customHeight="1">
      <c r="A21" s="136"/>
      <c r="B21" s="138"/>
      <c r="C21" s="138"/>
      <c r="D21" s="138"/>
      <c r="E21" s="138"/>
      <c r="F21" s="138"/>
      <c r="G21" s="138"/>
      <c r="H21" s="138"/>
      <c r="I21" s="138"/>
      <c r="J21" s="138"/>
      <c r="K21" s="138"/>
      <c r="L21" s="734"/>
    </row>
    <row r="22" spans="1:12" ht="11.25" customHeight="1">
      <c r="A22" s="136"/>
      <c r="B22" s="138"/>
      <c r="C22" s="138"/>
      <c r="D22" s="138"/>
      <c r="E22" s="138"/>
      <c r="F22" s="138"/>
      <c r="G22" s="138"/>
      <c r="H22" s="138"/>
      <c r="I22" s="138"/>
      <c r="J22" s="138"/>
      <c r="K22" s="138"/>
      <c r="L22" s="738"/>
    </row>
    <row r="23" spans="1:12" ht="11.25" customHeight="1">
      <c r="A23" s="136"/>
      <c r="B23" s="138"/>
      <c r="C23" s="138"/>
      <c r="D23" s="138"/>
      <c r="E23" s="138"/>
      <c r="F23" s="138"/>
      <c r="G23" s="138"/>
      <c r="H23" s="138"/>
      <c r="I23" s="138"/>
      <c r="J23" s="138"/>
      <c r="K23" s="138"/>
      <c r="L23" s="734"/>
    </row>
    <row r="24" spans="1:12" ht="11.25" customHeight="1">
      <c r="A24" s="136"/>
      <c r="B24" s="138"/>
      <c r="C24" s="138"/>
      <c r="D24" s="138"/>
      <c r="E24" s="138"/>
      <c r="F24" s="138"/>
      <c r="G24" s="138"/>
      <c r="H24" s="138"/>
      <c r="I24" s="138"/>
      <c r="J24" s="138"/>
      <c r="K24" s="138"/>
      <c r="L24" s="734"/>
    </row>
    <row r="25" spans="1:12" ht="11.25" customHeight="1">
      <c r="A25" s="136"/>
      <c r="B25" s="138"/>
      <c r="C25" s="138"/>
      <c r="D25" s="138"/>
      <c r="E25" s="138"/>
      <c r="F25" s="138"/>
      <c r="G25" s="138"/>
      <c r="H25" s="138"/>
      <c r="I25" s="138"/>
      <c r="J25" s="138"/>
      <c r="K25" s="138"/>
      <c r="L25" s="734"/>
    </row>
    <row r="26" spans="1:12" ht="11.25" customHeight="1">
      <c r="A26" s="136"/>
      <c r="B26" s="138"/>
      <c r="C26" s="138"/>
      <c r="D26" s="138"/>
      <c r="E26" s="138"/>
      <c r="F26" s="138"/>
      <c r="G26" s="138"/>
      <c r="H26" s="138"/>
      <c r="I26" s="138"/>
      <c r="J26" s="138"/>
      <c r="K26" s="138"/>
      <c r="L26" s="734"/>
    </row>
    <row r="27" spans="1:12" ht="11.25" customHeight="1">
      <c r="A27" s="136"/>
      <c r="B27" s="138"/>
      <c r="C27" s="138"/>
      <c r="D27" s="138"/>
      <c r="E27" s="138"/>
      <c r="F27" s="138"/>
      <c r="G27" s="138"/>
      <c r="H27" s="138"/>
      <c r="I27" s="138"/>
      <c r="J27" s="138"/>
      <c r="K27" s="138"/>
      <c r="L27" s="734"/>
    </row>
    <row r="28" spans="1:12" ht="11.25" customHeight="1">
      <c r="A28" s="136"/>
      <c r="B28" s="138"/>
      <c r="C28" s="138"/>
      <c r="D28" s="138"/>
      <c r="E28" s="138"/>
      <c r="F28" s="138"/>
      <c r="G28" s="138"/>
      <c r="H28" s="138"/>
      <c r="I28" s="138"/>
      <c r="J28" s="138"/>
      <c r="K28" s="138"/>
      <c r="L28" s="734"/>
    </row>
    <row r="29" spans="1:12" ht="11.25" customHeight="1">
      <c r="A29" s="136"/>
      <c r="B29" s="138"/>
      <c r="C29" s="138"/>
      <c r="D29" s="138"/>
      <c r="E29" s="138"/>
      <c r="F29" s="138"/>
      <c r="G29" s="138"/>
      <c r="H29" s="138"/>
      <c r="I29" s="138"/>
      <c r="J29" s="138"/>
      <c r="K29" s="138"/>
      <c r="L29" s="734"/>
    </row>
    <row r="30" spans="1:12" ht="11.25" customHeight="1">
      <c r="A30" s="136"/>
      <c r="B30" s="138"/>
      <c r="C30" s="138"/>
      <c r="D30" s="138"/>
      <c r="E30" s="138"/>
      <c r="F30" s="138"/>
      <c r="G30" s="138"/>
      <c r="H30" s="138"/>
      <c r="I30" s="138"/>
      <c r="J30" s="138"/>
      <c r="K30" s="138"/>
      <c r="L30" s="734"/>
    </row>
    <row r="31" spans="1:12" ht="11.25" customHeight="1">
      <c r="A31" s="136"/>
      <c r="B31" s="138"/>
      <c r="C31" s="138"/>
      <c r="D31" s="138"/>
      <c r="E31" s="138"/>
      <c r="F31" s="138"/>
      <c r="G31" s="138"/>
      <c r="H31" s="138"/>
      <c r="I31" s="138"/>
      <c r="J31" s="138"/>
      <c r="K31" s="138"/>
      <c r="L31" s="734"/>
    </row>
    <row r="32" spans="1:12" ht="11.25" customHeight="1">
      <c r="A32" s="136"/>
      <c r="B32" s="138"/>
      <c r="C32" s="138"/>
      <c r="D32" s="138"/>
      <c r="E32" s="138"/>
      <c r="F32" s="138"/>
      <c r="G32" s="138"/>
      <c r="H32" s="138"/>
      <c r="I32" s="138"/>
      <c r="J32" s="138"/>
      <c r="K32" s="138"/>
      <c r="L32" s="734"/>
    </row>
    <row r="33" spans="1:16" ht="11.25" customHeight="1">
      <c r="A33" s="136"/>
      <c r="B33" s="138"/>
      <c r="C33" s="138"/>
      <c r="D33" s="138"/>
      <c r="E33" s="138"/>
      <c r="F33" s="138"/>
      <c r="G33" s="138"/>
      <c r="H33" s="138"/>
      <c r="I33" s="138"/>
      <c r="J33" s="138"/>
      <c r="K33" s="138"/>
      <c r="L33" s="734"/>
    </row>
    <row r="34" spans="1:16" ht="11.25" customHeight="1">
      <c r="A34" s="901"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4" s="901"/>
      <c r="C34" s="901"/>
      <c r="D34" s="901"/>
      <c r="E34" s="901"/>
      <c r="F34" s="901"/>
      <c r="G34" s="901"/>
      <c r="H34" s="901"/>
      <c r="I34" s="901"/>
      <c r="J34" s="901"/>
      <c r="K34" s="901"/>
      <c r="L34" s="734"/>
    </row>
    <row r="35" spans="1:16" ht="11.25" customHeight="1">
      <c r="L35" s="739"/>
    </row>
    <row r="36" spans="1:16" ht="11.25" customHeight="1">
      <c r="A36" s="136"/>
      <c r="B36" s="138"/>
      <c r="C36" s="138"/>
      <c r="D36" s="138"/>
      <c r="E36" s="138"/>
      <c r="F36" s="138"/>
      <c r="G36" s="138"/>
      <c r="H36" s="138"/>
      <c r="I36" s="138"/>
      <c r="J36" s="138"/>
      <c r="K36" s="138"/>
      <c r="L36" s="734"/>
    </row>
    <row r="37" spans="1:16" ht="11.25" customHeight="1">
      <c r="A37" s="136"/>
      <c r="B37" s="138"/>
      <c r="C37" s="138"/>
      <c r="D37" s="138"/>
      <c r="E37" s="138"/>
      <c r="F37" s="138"/>
      <c r="G37" s="138"/>
      <c r="H37" s="138"/>
      <c r="I37" s="138"/>
      <c r="J37" s="138"/>
      <c r="K37" s="138"/>
      <c r="L37" s="734"/>
    </row>
    <row r="38" spans="1:16" ht="11.25" customHeight="1">
      <c r="A38" s="136"/>
      <c r="B38" s="138"/>
      <c r="C38" s="138"/>
      <c r="D38" s="138"/>
      <c r="E38" s="138"/>
      <c r="F38" s="138"/>
      <c r="G38" s="138"/>
      <c r="H38" s="138"/>
      <c r="I38" s="138"/>
      <c r="J38" s="138"/>
      <c r="K38" s="138"/>
      <c r="L38" s="734"/>
    </row>
    <row r="39" spans="1:16" ht="11.25" customHeight="1">
      <c r="A39" s="136"/>
      <c r="B39" s="138"/>
      <c r="C39" s="274" t="s">
        <v>245</v>
      </c>
      <c r="D39" s="159"/>
      <c r="E39" s="159"/>
      <c r="F39" s="483">
        <f>+'4. Tipo Recurso'!D19</f>
        <v>4140.2414988375021</v>
      </c>
      <c r="G39" s="274" t="s">
        <v>244</v>
      </c>
      <c r="H39" s="138"/>
      <c r="I39" s="138"/>
      <c r="J39" s="138"/>
      <c r="K39" s="138"/>
      <c r="L39" s="734"/>
      <c r="M39" s="740">
        <f>+F39-F40</f>
        <v>3837.9514988375022</v>
      </c>
      <c r="P39" s="741"/>
    </row>
    <row r="40" spans="1:16" ht="11.25" customHeight="1">
      <c r="A40" s="136"/>
      <c r="B40" s="138"/>
      <c r="C40" s="274" t="s">
        <v>246</v>
      </c>
      <c r="D40" s="159"/>
      <c r="E40" s="159"/>
      <c r="F40" s="483">
        <f>ROUND(D11,2)</f>
        <v>302.29000000000002</v>
      </c>
      <c r="G40" s="274" t="s">
        <v>244</v>
      </c>
      <c r="H40" s="138"/>
      <c r="I40" s="138"/>
      <c r="J40" s="138"/>
      <c r="K40" s="138"/>
      <c r="L40" s="734"/>
      <c r="M40" s="741"/>
      <c r="P40" s="741"/>
    </row>
    <row r="41" spans="1:16" ht="11.25" customHeight="1">
      <c r="A41" s="136"/>
      <c r="B41" s="138"/>
      <c r="C41" s="138"/>
      <c r="D41" s="138"/>
      <c r="E41" s="138"/>
      <c r="F41" s="138"/>
      <c r="G41" s="138"/>
      <c r="H41" s="138"/>
      <c r="I41" s="138"/>
      <c r="J41" s="138"/>
      <c r="K41" s="138"/>
      <c r="L41" s="734"/>
      <c r="P41" s="741"/>
    </row>
    <row r="42" spans="1:16" ht="11.25" customHeight="1">
      <c r="A42" s="136"/>
      <c r="B42" s="138"/>
      <c r="C42" s="138"/>
      <c r="D42" s="138"/>
      <c r="E42" s="138"/>
      <c r="F42" s="138"/>
      <c r="G42" s="138"/>
      <c r="H42" s="138"/>
      <c r="I42" s="138"/>
      <c r="J42" s="138"/>
      <c r="K42" s="138"/>
      <c r="L42" s="734"/>
      <c r="P42" s="741"/>
    </row>
    <row r="43" spans="1:16" ht="11.25" customHeight="1">
      <c r="A43" s="136"/>
      <c r="B43" s="138"/>
      <c r="C43" s="138"/>
      <c r="D43" s="138"/>
      <c r="E43" s="138"/>
      <c r="F43" s="138"/>
      <c r="G43" s="138"/>
      <c r="H43" s="138"/>
      <c r="I43" s="138"/>
      <c r="J43" s="138"/>
      <c r="K43" s="138"/>
      <c r="L43" s="734"/>
      <c r="P43" s="74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9" t="str">
        <f>"Gráfico N° 7: Participación de las RER en la Matriz de Generación del SEIN en "&amp;'1. Resumen'!Q4&amp;" "&amp;'1. Resumen'!Q5&amp;"."</f>
        <v>Gráfico N° 7: Participación de las RER en la Matriz de Generación del SEIN en febrero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Y64"/>
  <sheetViews>
    <sheetView showGridLines="0" view="pageBreakPreview" zoomScale="130" zoomScaleNormal="100" zoomScaleSheetLayoutView="130" zoomScalePageLayoutView="160" workbookViewId="0">
      <selection activeCell="A3" sqref="A3"/>
    </sheetView>
  </sheetViews>
  <sheetFormatPr defaultColWidth="9.33203125" defaultRowHeight="11.25"/>
  <cols>
    <col min="1" max="11" width="10.33203125" customWidth="1"/>
    <col min="12" max="12" width="21.1640625" style="491" bestFit="1" customWidth="1"/>
    <col min="13" max="14" width="9.33203125" style="491"/>
    <col min="15" max="15" width="11.83203125" style="491" customWidth="1"/>
    <col min="16" max="19" width="9.33203125" style="491"/>
    <col min="20" max="20" width="15" style="491" customWidth="1"/>
    <col min="21" max="22" width="9.33203125" style="491"/>
  </cols>
  <sheetData>
    <row r="2" spans="1:25" ht="11.25" customHeight="1">
      <c r="A2" s="904" t="s">
        <v>251</v>
      </c>
      <c r="B2" s="904"/>
      <c r="C2" s="904"/>
      <c r="D2" s="904"/>
      <c r="E2" s="904"/>
      <c r="F2" s="904"/>
      <c r="G2" s="904"/>
      <c r="H2" s="904"/>
      <c r="I2" s="904"/>
      <c r="J2" s="904"/>
      <c r="K2" s="904"/>
    </row>
    <row r="3" spans="1:25" ht="11.25" customHeight="1"/>
    <row r="4" spans="1:25" ht="11.25" customHeight="1">
      <c r="L4" s="492" t="s">
        <v>56</v>
      </c>
      <c r="M4" s="493" t="s">
        <v>31</v>
      </c>
      <c r="N4" s="492"/>
      <c r="O4" s="494"/>
      <c r="P4" s="495"/>
      <c r="Q4" s="495"/>
    </row>
    <row r="5" spans="1:25" ht="11.25" customHeight="1">
      <c r="A5" s="149"/>
      <c r="B5" s="138"/>
      <c r="C5" s="138"/>
      <c r="D5" s="138"/>
      <c r="E5" s="138"/>
      <c r="F5" s="138"/>
      <c r="G5" s="138"/>
      <c r="H5" s="138"/>
      <c r="I5" s="138"/>
      <c r="J5" s="138"/>
      <c r="K5" s="138"/>
      <c r="L5" s="492"/>
      <c r="M5" s="493"/>
      <c r="N5" s="492"/>
      <c r="O5" s="492" t="s">
        <v>57</v>
      </c>
      <c r="P5" s="492" t="s">
        <v>58</v>
      </c>
      <c r="Q5" s="492"/>
      <c r="U5" s="491">
        <v>2019</v>
      </c>
      <c r="V5" s="491">
        <v>2018</v>
      </c>
    </row>
    <row r="6" spans="1:25" ht="11.25" customHeight="1">
      <c r="A6" s="111"/>
      <c r="B6" s="138"/>
      <c r="C6" s="138"/>
      <c r="D6" s="138"/>
      <c r="E6" s="138"/>
      <c r="F6" s="138"/>
      <c r="G6" s="138"/>
      <c r="H6" s="138"/>
      <c r="I6" s="138"/>
      <c r="J6" s="138"/>
      <c r="K6" s="138"/>
      <c r="L6" s="496" t="s">
        <v>59</v>
      </c>
      <c r="M6" s="496" t="s">
        <v>60</v>
      </c>
      <c r="N6" s="498">
        <v>19.966000000000001</v>
      </c>
      <c r="O6" s="497">
        <v>13.2789045525</v>
      </c>
      <c r="P6" s="497">
        <v>0.89391916207148914</v>
      </c>
      <c r="Q6" s="497"/>
      <c r="S6" s="491" t="s">
        <v>786</v>
      </c>
      <c r="T6" s="491" t="s">
        <v>72</v>
      </c>
      <c r="U6" s="499">
        <v>0.79326149684578307</v>
      </c>
      <c r="V6" s="499">
        <v>0.80934527270312151</v>
      </c>
      <c r="X6" s="491"/>
      <c r="Y6" s="491"/>
    </row>
    <row r="7" spans="1:25" ht="11.25" customHeight="1">
      <c r="A7" s="136"/>
      <c r="B7" s="138"/>
      <c r="C7" s="138"/>
      <c r="D7" s="138"/>
      <c r="E7" s="138"/>
      <c r="F7" s="138"/>
      <c r="G7" s="138"/>
      <c r="H7" s="138"/>
      <c r="I7" s="138"/>
      <c r="J7" s="138"/>
      <c r="K7" s="138"/>
      <c r="L7" s="496" t="s">
        <v>65</v>
      </c>
      <c r="M7" s="496" t="s">
        <v>60</v>
      </c>
      <c r="N7" s="498">
        <v>19.899999999999999</v>
      </c>
      <c r="O7" s="497">
        <v>13.252367162500001</v>
      </c>
      <c r="P7" s="497">
        <v>0.89509153040065936</v>
      </c>
      <c r="Q7" s="497"/>
      <c r="T7" s="491" t="s">
        <v>73</v>
      </c>
      <c r="U7" s="499">
        <v>0.82603406769696786</v>
      </c>
      <c r="V7" s="499">
        <v>0.65432838733945142</v>
      </c>
      <c r="X7" s="491"/>
      <c r="Y7" s="491"/>
    </row>
    <row r="8" spans="1:25" ht="11.25" customHeight="1">
      <c r="A8" s="136"/>
      <c r="B8" s="138"/>
      <c r="C8" s="138"/>
      <c r="D8" s="138"/>
      <c r="E8" s="138"/>
      <c r="F8" s="138"/>
      <c r="G8" s="138"/>
      <c r="H8" s="138"/>
      <c r="I8" s="138"/>
      <c r="J8" s="138"/>
      <c r="K8" s="138"/>
      <c r="L8" s="496" t="s">
        <v>488</v>
      </c>
      <c r="M8" s="496" t="s">
        <v>60</v>
      </c>
      <c r="N8" s="498">
        <v>20</v>
      </c>
      <c r="O8" s="497">
        <v>13.23649279</v>
      </c>
      <c r="P8" s="497">
        <v>0.88954924663978496</v>
      </c>
      <c r="Q8" s="497"/>
      <c r="T8" s="491" t="s">
        <v>64</v>
      </c>
      <c r="U8" s="499">
        <v>0.83742773679237759</v>
      </c>
      <c r="V8" s="499">
        <v>0.98761600847853792</v>
      </c>
      <c r="X8" s="491"/>
      <c r="Y8" s="491"/>
    </row>
    <row r="9" spans="1:25" ht="11.25" customHeight="1">
      <c r="A9" s="136"/>
      <c r="B9" s="138"/>
      <c r="C9" s="138"/>
      <c r="D9" s="138"/>
      <c r="E9" s="138"/>
      <c r="F9" s="138"/>
      <c r="G9" s="138"/>
      <c r="H9" s="138"/>
      <c r="I9" s="138"/>
      <c r="J9" s="138"/>
      <c r="K9" s="138"/>
      <c r="L9" s="496" t="s">
        <v>63</v>
      </c>
      <c r="M9" s="625" t="s">
        <v>60</v>
      </c>
      <c r="N9" s="498">
        <v>19.1995</v>
      </c>
      <c r="O9" s="497">
        <v>12.382494367499998</v>
      </c>
      <c r="P9" s="497">
        <v>0.86685265713824855</v>
      </c>
      <c r="Q9" s="497"/>
      <c r="T9" s="491" t="s">
        <v>67</v>
      </c>
      <c r="U9" s="499">
        <v>0.89290323801227456</v>
      </c>
      <c r="V9" s="499">
        <v>0.90053021111158926</v>
      </c>
      <c r="X9" s="491"/>
      <c r="Y9" s="491"/>
    </row>
    <row r="10" spans="1:25" ht="11.25" customHeight="1">
      <c r="A10" s="136"/>
      <c r="B10" s="138"/>
      <c r="C10" s="138"/>
      <c r="D10" s="138"/>
      <c r="E10" s="138"/>
      <c r="F10" s="138"/>
      <c r="G10" s="138"/>
      <c r="H10" s="138"/>
      <c r="I10" s="138"/>
      <c r="J10" s="138"/>
      <c r="K10" s="138"/>
      <c r="L10" s="496" t="s">
        <v>62</v>
      </c>
      <c r="M10" s="625" t="s">
        <v>60</v>
      </c>
      <c r="N10" s="498">
        <v>19.966999999999999</v>
      </c>
      <c r="O10" s="497">
        <v>11.8035438825</v>
      </c>
      <c r="P10" s="497">
        <v>0.7945599407368934</v>
      </c>
      <c r="Q10" s="497"/>
      <c r="T10" s="491" t="s">
        <v>66</v>
      </c>
      <c r="U10" s="499">
        <v>0.90122186713436292</v>
      </c>
      <c r="V10" s="499">
        <v>0.89406367708205547</v>
      </c>
      <c r="X10" s="491"/>
      <c r="Y10" s="491"/>
    </row>
    <row r="11" spans="1:25" ht="11.25" customHeight="1">
      <c r="A11" s="136"/>
      <c r="B11" s="138"/>
      <c r="C11" s="138"/>
      <c r="D11" s="138"/>
      <c r="E11" s="138"/>
      <c r="F11" s="138"/>
      <c r="G11" s="138"/>
      <c r="H11" s="138"/>
      <c r="I11" s="138"/>
      <c r="J11" s="138"/>
      <c r="K11" s="138"/>
      <c r="L11" s="496" t="s">
        <v>532</v>
      </c>
      <c r="M11" s="625" t="s">
        <v>60</v>
      </c>
      <c r="N11" s="498">
        <v>20</v>
      </c>
      <c r="O11" s="497">
        <v>10.1869960175</v>
      </c>
      <c r="P11" s="497">
        <v>0.68460994741263437</v>
      </c>
      <c r="Q11" s="497"/>
      <c r="T11" s="491" t="s">
        <v>76</v>
      </c>
      <c r="U11" s="499">
        <v>0.83167290929096349</v>
      </c>
      <c r="V11" s="499">
        <v>0.61118569954448798</v>
      </c>
      <c r="X11" s="491"/>
      <c r="Y11" s="491"/>
    </row>
    <row r="12" spans="1:25" ht="11.25" customHeight="1">
      <c r="A12" s="136"/>
      <c r="B12" s="138"/>
      <c r="C12" s="138"/>
      <c r="D12" s="138"/>
      <c r="E12" s="138"/>
      <c r="F12" s="138"/>
      <c r="G12" s="138"/>
      <c r="H12" s="138"/>
      <c r="I12" s="138"/>
      <c r="J12" s="138"/>
      <c r="K12" s="138"/>
      <c r="L12" s="496" t="s">
        <v>61</v>
      </c>
      <c r="M12" s="496" t="s">
        <v>60</v>
      </c>
      <c r="N12" s="498">
        <v>15</v>
      </c>
      <c r="O12" s="497">
        <v>7.2382349799999997</v>
      </c>
      <c r="P12" s="497">
        <v>0.64858736379928306</v>
      </c>
      <c r="Q12" s="497"/>
      <c r="T12" s="491" t="s">
        <v>68</v>
      </c>
      <c r="U12" s="499">
        <v>0.54578292264373218</v>
      </c>
      <c r="V12" s="499">
        <v>0.84457446507314737</v>
      </c>
      <c r="X12" s="491"/>
      <c r="Y12" s="491"/>
    </row>
    <row r="13" spans="1:25" ht="11.25" customHeight="1">
      <c r="A13" s="136"/>
      <c r="B13" s="138"/>
      <c r="C13" s="138"/>
      <c r="D13" s="138"/>
      <c r="E13" s="138"/>
      <c r="F13" s="138"/>
      <c r="G13" s="138"/>
      <c r="H13" s="138"/>
      <c r="I13" s="138"/>
      <c r="J13" s="138"/>
      <c r="K13" s="138"/>
      <c r="L13" s="496" t="s">
        <v>66</v>
      </c>
      <c r="M13" s="496" t="s">
        <v>60</v>
      </c>
      <c r="N13" s="498">
        <v>10.222</v>
      </c>
      <c r="O13" s="497">
        <v>6.6439274050000003</v>
      </c>
      <c r="P13" s="497">
        <v>0.87360692163539333</v>
      </c>
      <c r="Q13" s="497"/>
      <c r="T13" s="491" t="s">
        <v>63</v>
      </c>
      <c r="U13" s="499">
        <v>0.76832027694121019</v>
      </c>
      <c r="V13" s="499">
        <v>0.83510635649498288</v>
      </c>
      <c r="X13" s="491"/>
      <c r="Y13" s="491"/>
    </row>
    <row r="14" spans="1:25" ht="11.25" customHeight="1">
      <c r="A14" s="136"/>
      <c r="B14" s="138"/>
      <c r="C14" s="138"/>
      <c r="D14" s="138"/>
      <c r="E14" s="138"/>
      <c r="F14" s="138"/>
      <c r="G14" s="138"/>
      <c r="H14" s="138"/>
      <c r="I14" s="138"/>
      <c r="J14" s="138"/>
      <c r="K14" s="138"/>
      <c r="L14" s="496" t="s">
        <v>67</v>
      </c>
      <c r="M14" s="496" t="s">
        <v>60</v>
      </c>
      <c r="N14" s="498">
        <v>9.85</v>
      </c>
      <c r="O14" s="497">
        <v>6.3790985000000004</v>
      </c>
      <c r="P14" s="497">
        <v>0.8704626521478086</v>
      </c>
      <c r="Q14" s="497"/>
      <c r="T14" s="491" t="s">
        <v>71</v>
      </c>
      <c r="U14" s="499">
        <v>0.46029162233445664</v>
      </c>
      <c r="V14" s="499">
        <v>0.64346345944352124</v>
      </c>
      <c r="X14" s="491"/>
      <c r="Y14" s="491"/>
    </row>
    <row r="15" spans="1:25" ht="11.25" customHeight="1">
      <c r="A15" s="136"/>
      <c r="B15" s="138"/>
      <c r="C15" s="138"/>
      <c r="D15" s="138"/>
      <c r="E15" s="138"/>
      <c r="F15" s="138"/>
      <c r="G15" s="138"/>
      <c r="H15" s="138"/>
      <c r="I15" s="138"/>
      <c r="J15" s="138"/>
      <c r="K15" s="138"/>
      <c r="L15" s="496" t="s">
        <v>505</v>
      </c>
      <c r="M15" s="496" t="s">
        <v>60</v>
      </c>
      <c r="N15" s="498">
        <v>20.16</v>
      </c>
      <c r="O15" s="497">
        <v>5.9845778325000003</v>
      </c>
      <c r="P15" s="497">
        <v>0.39899739133304529</v>
      </c>
      <c r="Q15" s="497"/>
      <c r="T15" s="491" t="s">
        <v>65</v>
      </c>
      <c r="U15" s="499">
        <v>0.91236934007963566</v>
      </c>
      <c r="V15" s="499">
        <v>0.66816745060046001</v>
      </c>
      <c r="X15" s="491"/>
      <c r="Y15" s="491"/>
    </row>
    <row r="16" spans="1:25" ht="11.25" customHeight="1">
      <c r="A16" s="136"/>
      <c r="B16" s="138"/>
      <c r="C16" s="138"/>
      <c r="D16" s="138"/>
      <c r="E16" s="138"/>
      <c r="F16" s="138"/>
      <c r="G16" s="138"/>
      <c r="H16" s="138"/>
      <c r="I16" s="138"/>
      <c r="J16" s="138"/>
      <c r="K16" s="138"/>
      <c r="L16" s="496" t="s">
        <v>506</v>
      </c>
      <c r="M16" s="496" t="s">
        <v>60</v>
      </c>
      <c r="N16" s="498">
        <v>20.16</v>
      </c>
      <c r="O16" s="497">
        <v>5.700713425</v>
      </c>
      <c r="P16" s="497">
        <v>0.38007188626738775</v>
      </c>
      <c r="Q16" s="497"/>
      <c r="T16" s="491" t="s">
        <v>77</v>
      </c>
      <c r="U16" s="499">
        <v>0.18201183321631761</v>
      </c>
      <c r="V16" s="499">
        <v>0.26942280340037839</v>
      </c>
      <c r="X16" s="491"/>
      <c r="Y16" s="491"/>
    </row>
    <row r="17" spans="1:25" ht="11.25" customHeight="1">
      <c r="A17" s="136"/>
      <c r="B17" s="138"/>
      <c r="C17" s="138"/>
      <c r="D17" s="138"/>
      <c r="E17" s="138"/>
      <c r="F17" s="138"/>
      <c r="G17" s="138"/>
      <c r="H17" s="138"/>
      <c r="I17" s="138"/>
      <c r="J17" s="138"/>
      <c r="K17" s="138"/>
      <c r="L17" s="496" t="s">
        <v>64</v>
      </c>
      <c r="M17" s="496" t="s">
        <v>60</v>
      </c>
      <c r="N17" s="498">
        <v>9.9830000000000005</v>
      </c>
      <c r="O17" s="497">
        <v>5.5839290650000004</v>
      </c>
      <c r="P17" s="497">
        <v>0.75180617062447019</v>
      </c>
      <c r="Q17" s="497"/>
      <c r="T17" s="491" t="s">
        <v>74</v>
      </c>
      <c r="U17" s="499">
        <v>0.64334921200240291</v>
      </c>
      <c r="V17" s="499">
        <v>0.97610960939022007</v>
      </c>
      <c r="X17" s="491"/>
      <c r="Y17" s="491"/>
    </row>
    <row r="18" spans="1:25">
      <c r="A18" s="136"/>
      <c r="B18" s="138"/>
      <c r="C18" s="138"/>
      <c r="D18" s="138"/>
      <c r="E18" s="138"/>
      <c r="F18" s="138"/>
      <c r="G18" s="138"/>
      <c r="H18" s="138"/>
      <c r="I18" s="138"/>
      <c r="J18" s="138"/>
      <c r="K18" s="138"/>
      <c r="L18" s="496" t="s">
        <v>507</v>
      </c>
      <c r="M18" s="496" t="s">
        <v>60</v>
      </c>
      <c r="N18" s="498">
        <v>20.16</v>
      </c>
      <c r="O18" s="497">
        <v>5.4130365725000003</v>
      </c>
      <c r="P18" s="497">
        <v>0.36089220193425714</v>
      </c>
      <c r="Q18" s="497"/>
      <c r="T18" s="491" t="s">
        <v>62</v>
      </c>
      <c r="U18" s="499">
        <v>0.87225164556475809</v>
      </c>
      <c r="V18" s="499">
        <v>0.83701220644006114</v>
      </c>
      <c r="X18" s="491"/>
      <c r="Y18" s="491"/>
    </row>
    <row r="19" spans="1:25">
      <c r="A19" s="136"/>
      <c r="B19" s="138"/>
      <c r="C19" s="138"/>
      <c r="D19" s="138"/>
      <c r="E19" s="138"/>
      <c r="F19" s="138"/>
      <c r="G19" s="138"/>
      <c r="H19" s="138"/>
      <c r="I19" s="138"/>
      <c r="J19" s="138"/>
      <c r="K19" s="138"/>
      <c r="L19" s="496" t="s">
        <v>540</v>
      </c>
      <c r="M19" s="496" t="s">
        <v>60</v>
      </c>
      <c r="N19" s="498">
        <v>13.2</v>
      </c>
      <c r="O19" s="497">
        <v>4.2163949949999999</v>
      </c>
      <c r="P19" s="497">
        <v>0.42933314953975238</v>
      </c>
      <c r="Q19" s="497"/>
      <c r="T19" s="491" t="s">
        <v>59</v>
      </c>
      <c r="U19" s="499">
        <v>0.98356749332268811</v>
      </c>
      <c r="V19" s="499">
        <v>0.98733361297539157</v>
      </c>
      <c r="X19" s="491"/>
      <c r="Y19" s="491"/>
    </row>
    <row r="20" spans="1:25">
      <c r="A20" s="136"/>
      <c r="B20" s="138"/>
      <c r="C20" s="138"/>
      <c r="D20" s="138"/>
      <c r="E20" s="138"/>
      <c r="F20" s="138"/>
      <c r="G20" s="138"/>
      <c r="H20" s="138"/>
      <c r="I20" s="138"/>
      <c r="J20" s="138"/>
      <c r="K20" s="138"/>
      <c r="L20" s="496" t="s">
        <v>69</v>
      </c>
      <c r="M20" s="496" t="s">
        <v>60</v>
      </c>
      <c r="N20" s="498">
        <v>7.4240000000000004</v>
      </c>
      <c r="O20" s="497">
        <v>4.2000317825</v>
      </c>
      <c r="P20" s="497">
        <v>0.76039924686645466</v>
      </c>
      <c r="Q20" s="497"/>
      <c r="T20" s="491" t="s">
        <v>70</v>
      </c>
      <c r="U20" s="499">
        <v>0.84926182752284485</v>
      </c>
      <c r="V20" s="499">
        <v>0.75145014381080655</v>
      </c>
      <c r="X20" s="491"/>
      <c r="Y20" s="491"/>
    </row>
    <row r="21" spans="1:25">
      <c r="A21" s="136"/>
      <c r="B21" s="138"/>
      <c r="C21" s="138"/>
      <c r="D21" s="138"/>
      <c r="E21" s="138"/>
      <c r="F21" s="138"/>
      <c r="G21" s="138"/>
      <c r="H21" s="138"/>
      <c r="I21" s="138"/>
      <c r="J21" s="138"/>
      <c r="K21" s="138"/>
      <c r="L21" s="496" t="s">
        <v>70</v>
      </c>
      <c r="M21" s="496" t="s">
        <v>60</v>
      </c>
      <c r="N21" s="498">
        <v>6.9580000000000002</v>
      </c>
      <c r="O21" s="497">
        <v>4.1267834350000001</v>
      </c>
      <c r="P21" s="497">
        <v>0.79717618981940797</v>
      </c>
      <c r="Q21" s="497"/>
      <c r="T21" s="491" t="s">
        <v>69</v>
      </c>
      <c r="U21" s="499">
        <v>0.83493740953526796</v>
      </c>
      <c r="V21" s="499">
        <v>0.78587174208057842</v>
      </c>
      <c r="X21" s="491"/>
      <c r="Y21" s="491"/>
    </row>
    <row r="22" spans="1:25">
      <c r="A22" s="136"/>
      <c r="B22" s="138"/>
      <c r="C22" s="138"/>
      <c r="D22" s="138"/>
      <c r="E22" s="138"/>
      <c r="F22" s="138"/>
      <c r="G22" s="138"/>
      <c r="H22" s="138"/>
      <c r="I22" s="138"/>
      <c r="J22" s="138"/>
      <c r="K22" s="138"/>
      <c r="L22" s="496" t="s">
        <v>71</v>
      </c>
      <c r="M22" s="496" t="s">
        <v>60</v>
      </c>
      <c r="N22" s="498">
        <v>9.5660000000000007</v>
      </c>
      <c r="O22" s="497">
        <v>3.6871336274999997</v>
      </c>
      <c r="P22" s="497">
        <v>0.51806656576888577</v>
      </c>
      <c r="Q22" s="497"/>
      <c r="T22" s="491" t="s">
        <v>75</v>
      </c>
      <c r="U22" s="499">
        <v>0.5893724859041265</v>
      </c>
      <c r="V22" s="499">
        <v>0.83415323464616875</v>
      </c>
      <c r="X22" s="491"/>
      <c r="Y22" s="491"/>
    </row>
    <row r="23" spans="1:25">
      <c r="A23" s="136"/>
      <c r="B23" s="138"/>
      <c r="C23" s="138"/>
      <c r="D23" s="138"/>
      <c r="E23" s="138"/>
      <c r="F23" s="138"/>
      <c r="G23" s="138"/>
      <c r="H23" s="138"/>
      <c r="I23" s="138"/>
      <c r="J23" s="138"/>
      <c r="K23" s="138"/>
      <c r="L23" s="496" t="s">
        <v>73</v>
      </c>
      <c r="M23" s="496" t="s">
        <v>60</v>
      </c>
      <c r="N23" s="498">
        <v>5.67</v>
      </c>
      <c r="O23" s="497">
        <v>3.3893528050000001</v>
      </c>
      <c r="P23" s="497">
        <v>0.80345356739868401</v>
      </c>
      <c r="Q23" s="497"/>
      <c r="T23" s="491" t="s">
        <v>61</v>
      </c>
      <c r="U23" s="499">
        <v>0.9392387288135593</v>
      </c>
      <c r="V23" s="499">
        <v>1</v>
      </c>
      <c r="X23" s="491"/>
      <c r="Y23" s="491"/>
    </row>
    <row r="24" spans="1:25">
      <c r="A24" s="136"/>
      <c r="B24" s="138"/>
      <c r="C24" s="138"/>
      <c r="D24" s="138"/>
      <c r="E24" s="138"/>
      <c r="F24" s="138"/>
      <c r="G24" s="138"/>
      <c r="H24" s="138"/>
      <c r="I24" s="138"/>
      <c r="J24" s="138"/>
      <c r="K24" s="138"/>
      <c r="L24" s="496" t="s">
        <v>72</v>
      </c>
      <c r="M24" s="496" t="s">
        <v>60</v>
      </c>
      <c r="N24" s="498">
        <v>5.1890000000000001</v>
      </c>
      <c r="O24" s="497">
        <v>3.2062064824999998</v>
      </c>
      <c r="P24" s="497">
        <v>0.83049090676202963</v>
      </c>
      <c r="Q24" s="497"/>
      <c r="T24" s="491" t="s">
        <v>488</v>
      </c>
      <c r="U24" s="499">
        <v>0.88715166401836165</v>
      </c>
      <c r="V24" s="499">
        <v>2.051950918079096E-2</v>
      </c>
      <c r="X24" s="491"/>
      <c r="Y24" s="491"/>
    </row>
    <row r="25" spans="1:25">
      <c r="A25" s="136"/>
      <c r="B25" s="138"/>
      <c r="C25" s="138"/>
      <c r="D25" s="138"/>
      <c r="E25" s="138"/>
      <c r="F25" s="138"/>
      <c r="G25" s="138"/>
      <c r="H25" s="138"/>
      <c r="I25" s="138"/>
      <c r="J25" s="138"/>
      <c r="K25" s="138"/>
      <c r="L25" s="496" t="s">
        <v>76</v>
      </c>
      <c r="M25" s="496" t="s">
        <v>60</v>
      </c>
      <c r="N25" s="498">
        <v>3.964</v>
      </c>
      <c r="O25" s="497">
        <v>2.2294</v>
      </c>
      <c r="P25" s="497">
        <v>0.75592971148942645</v>
      </c>
      <c r="Q25" s="497"/>
      <c r="T25" s="491" t="s">
        <v>508</v>
      </c>
      <c r="U25" s="499">
        <v>0.29180523859967722</v>
      </c>
      <c r="V25" s="499">
        <v>0</v>
      </c>
      <c r="X25" s="491"/>
      <c r="Y25" s="491"/>
    </row>
    <row r="26" spans="1:25">
      <c r="A26" s="136"/>
      <c r="B26" s="138"/>
      <c r="C26" s="138"/>
      <c r="D26" s="138"/>
      <c r="E26" s="138"/>
      <c r="F26" s="138"/>
      <c r="G26" s="138"/>
      <c r="H26" s="138"/>
      <c r="I26" s="138"/>
      <c r="J26" s="138"/>
      <c r="K26" s="138"/>
      <c r="L26" s="496" t="s">
        <v>68</v>
      </c>
      <c r="M26" s="496" t="s">
        <v>60</v>
      </c>
      <c r="N26" s="498">
        <v>7.7450000000000001</v>
      </c>
      <c r="O26" s="497">
        <v>1.5920444675000001</v>
      </c>
      <c r="P26" s="497">
        <v>0.27628724523973153</v>
      </c>
      <c r="Q26" s="497"/>
      <c r="T26" s="491" t="s">
        <v>507</v>
      </c>
      <c r="U26" s="499">
        <v>0.41729288038558759</v>
      </c>
      <c r="V26" s="499">
        <v>0</v>
      </c>
      <c r="X26" s="491"/>
      <c r="Y26" s="491"/>
    </row>
    <row r="27" spans="1:25">
      <c r="A27" s="136"/>
      <c r="B27" s="138"/>
      <c r="C27" s="138"/>
      <c r="D27" s="138"/>
      <c r="E27" s="138"/>
      <c r="F27" s="138"/>
      <c r="G27" s="138"/>
      <c r="H27" s="138"/>
      <c r="I27" s="138"/>
      <c r="J27" s="138"/>
      <c r="K27" s="138"/>
      <c r="L27" s="496" t="s">
        <v>74</v>
      </c>
      <c r="M27" s="496" t="s">
        <v>60</v>
      </c>
      <c r="N27" s="498">
        <v>3.48</v>
      </c>
      <c r="O27" s="497">
        <v>1.309048545</v>
      </c>
      <c r="P27" s="497">
        <v>0.50559593413978499</v>
      </c>
      <c r="Q27" s="497"/>
      <c r="T27" s="491" t="s">
        <v>505</v>
      </c>
      <c r="U27" s="499">
        <v>0.43392184767621739</v>
      </c>
      <c r="V27" s="499">
        <v>0</v>
      </c>
      <c r="X27" s="491"/>
      <c r="Y27" s="491"/>
    </row>
    <row r="28" spans="1:25">
      <c r="A28" s="136"/>
      <c r="B28" s="138"/>
      <c r="C28" s="138"/>
      <c r="D28" s="138"/>
      <c r="E28" s="138"/>
      <c r="F28" s="138"/>
      <c r="G28" s="138"/>
      <c r="H28" s="138"/>
      <c r="I28" s="138"/>
      <c r="J28" s="138"/>
      <c r="K28" s="138"/>
      <c r="L28" s="496" t="s">
        <v>75</v>
      </c>
      <c r="M28" s="496" t="s">
        <v>60</v>
      </c>
      <c r="N28" s="498">
        <v>3.91621</v>
      </c>
      <c r="O28" s="497">
        <v>0.93832566250000005</v>
      </c>
      <c r="P28" s="497">
        <v>0.32204361017055305</v>
      </c>
      <c r="Q28" s="497"/>
      <c r="T28" s="491" t="s">
        <v>506</v>
      </c>
      <c r="U28" s="499">
        <v>0.41578411943505628</v>
      </c>
      <c r="V28" s="499">
        <v>0</v>
      </c>
      <c r="X28" s="491"/>
      <c r="Y28" s="491"/>
    </row>
    <row r="29" spans="1:25">
      <c r="A29" s="136"/>
      <c r="B29" s="138"/>
      <c r="C29" s="138"/>
      <c r="D29" s="138"/>
      <c r="E29" s="138"/>
      <c r="F29" s="138"/>
      <c r="G29" s="138"/>
      <c r="H29" s="138"/>
      <c r="I29" s="138"/>
      <c r="J29" s="138"/>
      <c r="K29" s="138"/>
      <c r="L29" s="496" t="s">
        <v>508</v>
      </c>
      <c r="M29" s="496" t="s">
        <v>60</v>
      </c>
      <c r="N29" s="498">
        <v>0.7</v>
      </c>
      <c r="O29" s="497">
        <v>0.21898062500000001</v>
      </c>
      <c r="P29" s="497">
        <v>0.42046971006144396</v>
      </c>
      <c r="Q29" s="497"/>
      <c r="T29" s="491" t="s">
        <v>532</v>
      </c>
      <c r="U29" s="499">
        <v>0.66061008827683609</v>
      </c>
      <c r="V29" s="499">
        <v>0</v>
      </c>
      <c r="X29" s="491"/>
      <c r="Y29" s="491"/>
    </row>
    <row r="30" spans="1:25">
      <c r="A30" s="136"/>
      <c r="B30" s="138"/>
      <c r="C30" s="138"/>
      <c r="D30" s="138"/>
      <c r="E30" s="138"/>
      <c r="F30" s="138"/>
      <c r="G30" s="138"/>
      <c r="H30" s="138"/>
      <c r="I30" s="138"/>
      <c r="J30" s="138"/>
      <c r="K30" s="138"/>
      <c r="L30" s="496" t="s">
        <v>77</v>
      </c>
      <c r="M30" s="496" t="s">
        <v>60</v>
      </c>
      <c r="N30" s="498">
        <v>1.714</v>
      </c>
      <c r="O30" s="497">
        <v>0.17120458500000002</v>
      </c>
      <c r="P30" s="497">
        <v>0.13425536144464939</v>
      </c>
      <c r="Q30" s="497"/>
      <c r="T30" s="491" t="s">
        <v>540</v>
      </c>
      <c r="U30" s="499">
        <v>0.24534837343241744</v>
      </c>
      <c r="V30" s="499">
        <v>0</v>
      </c>
      <c r="X30" s="491"/>
      <c r="Y30" s="491"/>
    </row>
    <row r="31" spans="1:25">
      <c r="A31" s="136"/>
      <c r="B31" s="138"/>
      <c r="C31" s="138"/>
      <c r="D31" s="138"/>
      <c r="E31" s="138"/>
      <c r="F31" s="138"/>
      <c r="G31" s="138"/>
      <c r="H31" s="138"/>
      <c r="I31" s="138"/>
      <c r="J31" s="138"/>
      <c r="K31" s="138"/>
      <c r="L31" s="496" t="s">
        <v>782</v>
      </c>
      <c r="M31" s="496" t="s">
        <v>229</v>
      </c>
      <c r="N31" s="498">
        <v>132.30000000000001</v>
      </c>
      <c r="O31" s="497">
        <v>32.80593374</v>
      </c>
      <c r="P31" s="497">
        <v>0.33328795889921076</v>
      </c>
      <c r="Q31" s="497"/>
      <c r="S31" s="491" t="s">
        <v>79</v>
      </c>
      <c r="T31" s="491" t="s">
        <v>80</v>
      </c>
      <c r="U31" s="499">
        <v>0.3500458475170799</v>
      </c>
      <c r="V31" s="499">
        <v>0.38575850332596112</v>
      </c>
      <c r="X31" s="491"/>
      <c r="Y31" s="491"/>
    </row>
    <row r="32" spans="1:25">
      <c r="A32" s="136"/>
      <c r="B32" s="138"/>
      <c r="C32" s="138"/>
      <c r="D32" s="138"/>
      <c r="E32" s="138"/>
      <c r="F32" s="138"/>
      <c r="G32" s="138"/>
      <c r="H32" s="138"/>
      <c r="I32" s="138"/>
      <c r="J32" s="138"/>
      <c r="K32" s="138"/>
      <c r="L32" s="496" t="s">
        <v>78</v>
      </c>
      <c r="M32" s="496" t="s">
        <v>229</v>
      </c>
      <c r="N32" s="498">
        <v>97.15</v>
      </c>
      <c r="O32" s="497">
        <v>30.897745607499999</v>
      </c>
      <c r="P32" s="497">
        <v>0.42747532647524333</v>
      </c>
      <c r="Q32" s="497"/>
      <c r="T32" s="491" t="s">
        <v>81</v>
      </c>
      <c r="U32" s="499">
        <v>0.42120729045286015</v>
      </c>
      <c r="V32" s="499">
        <v>0.43257629728328029</v>
      </c>
      <c r="X32" s="491"/>
      <c r="Y32" s="491"/>
    </row>
    <row r="33" spans="1:25">
      <c r="A33" s="136"/>
      <c r="B33" s="138"/>
      <c r="C33" s="138"/>
      <c r="D33" s="138"/>
      <c r="E33" s="138"/>
      <c r="F33" s="138"/>
      <c r="G33" s="138"/>
      <c r="H33" s="138"/>
      <c r="I33" s="138"/>
      <c r="J33" s="138"/>
      <c r="K33" s="138"/>
      <c r="L33" s="496" t="s">
        <v>80</v>
      </c>
      <c r="M33" s="496" t="s">
        <v>229</v>
      </c>
      <c r="N33" s="498">
        <v>83.15</v>
      </c>
      <c r="O33" s="497">
        <v>16.669741375000001</v>
      </c>
      <c r="P33" s="497">
        <v>0.26945960750748421</v>
      </c>
      <c r="Q33" s="497"/>
      <c r="T33" s="491" t="s">
        <v>82</v>
      </c>
      <c r="U33" s="499">
        <v>0.21931303137735209</v>
      </c>
      <c r="V33" s="499">
        <v>0.3436232554597764</v>
      </c>
      <c r="X33" s="491"/>
      <c r="Y33" s="491"/>
    </row>
    <row r="34" spans="1:25">
      <c r="B34" s="138"/>
      <c r="C34" s="138"/>
      <c r="D34" s="138"/>
      <c r="E34" s="138"/>
      <c r="F34" s="138"/>
      <c r="G34" s="138"/>
      <c r="H34" s="138"/>
      <c r="I34" s="138"/>
      <c r="J34" s="138"/>
      <c r="K34" s="138"/>
      <c r="L34" s="496" t="s">
        <v>81</v>
      </c>
      <c r="M34" s="496" t="s">
        <v>229</v>
      </c>
      <c r="N34" s="498">
        <v>32</v>
      </c>
      <c r="O34" s="497">
        <v>9.6544526625000007</v>
      </c>
      <c r="P34" s="497">
        <v>0.40551296465473791</v>
      </c>
      <c r="Q34" s="497"/>
      <c r="T34" s="491" t="s">
        <v>78</v>
      </c>
      <c r="U34" s="499">
        <v>0.4418368248616647</v>
      </c>
      <c r="V34" s="499">
        <v>0.47593775687968681</v>
      </c>
      <c r="X34" s="491"/>
      <c r="Y34" s="491"/>
    </row>
    <row r="35" spans="1:25">
      <c r="A35" s="136"/>
      <c r="B35" s="138"/>
      <c r="C35" s="138"/>
      <c r="D35" s="138"/>
      <c r="E35" s="138"/>
      <c r="F35" s="138"/>
      <c r="G35" s="138"/>
      <c r="H35" s="138"/>
      <c r="I35" s="138"/>
      <c r="J35" s="138"/>
      <c r="K35" s="138"/>
      <c r="L35" s="496" t="s">
        <v>82</v>
      </c>
      <c r="M35" s="496" t="s">
        <v>229</v>
      </c>
      <c r="N35" s="498">
        <v>30.86</v>
      </c>
      <c r="O35" s="497">
        <v>2.5967805500000001</v>
      </c>
      <c r="P35" s="497">
        <v>0.1131009863309152</v>
      </c>
      <c r="Q35" s="497"/>
      <c r="T35" s="491" t="s">
        <v>782</v>
      </c>
      <c r="U35" s="499">
        <v>0.38473836345822071</v>
      </c>
      <c r="V35" s="499">
        <v>2.3100576435062407E-2</v>
      </c>
      <c r="X35" s="491"/>
      <c r="Y35" s="491"/>
    </row>
    <row r="36" spans="1:25">
      <c r="A36" s="136"/>
      <c r="B36" s="138"/>
      <c r="C36" s="138"/>
      <c r="D36" s="138"/>
      <c r="E36" s="138"/>
      <c r="F36" s="138"/>
      <c r="G36" s="138"/>
      <c r="H36" s="138"/>
      <c r="I36" s="138"/>
      <c r="J36" s="138"/>
      <c r="K36" s="138"/>
      <c r="L36" s="496" t="s">
        <v>783</v>
      </c>
      <c r="M36" s="496" t="s">
        <v>83</v>
      </c>
      <c r="N36" s="498">
        <v>144.47999999999999</v>
      </c>
      <c r="O36" s="497">
        <v>25.398855830000002</v>
      </c>
      <c r="P36" s="497">
        <v>0.23628354847268368</v>
      </c>
      <c r="Q36" s="497"/>
      <c r="S36" s="491" t="s">
        <v>83</v>
      </c>
      <c r="T36" s="491" t="s">
        <v>250</v>
      </c>
      <c r="U36" s="499">
        <v>0.23781291119350287</v>
      </c>
      <c r="V36" s="499">
        <v>0.25628344270833336</v>
      </c>
      <c r="X36" s="491"/>
      <c r="Y36" s="491"/>
    </row>
    <row r="37" spans="1:25">
      <c r="A37" s="136"/>
      <c r="B37" s="138"/>
      <c r="C37" s="138"/>
      <c r="D37" s="138"/>
      <c r="E37" s="138"/>
      <c r="F37" s="138"/>
      <c r="G37" s="138"/>
      <c r="H37" s="138"/>
      <c r="I37" s="138"/>
      <c r="J37" s="138"/>
      <c r="K37" s="138"/>
      <c r="L37" s="496" t="s">
        <v>784</v>
      </c>
      <c r="M37" s="496" t="s">
        <v>83</v>
      </c>
      <c r="N37" s="498">
        <v>44.54</v>
      </c>
      <c r="O37" s="497">
        <v>6.4651852749999996</v>
      </c>
      <c r="P37" s="497">
        <v>0.1951002504393779</v>
      </c>
      <c r="Q37" s="497"/>
      <c r="T37" s="491" t="s">
        <v>84</v>
      </c>
      <c r="U37" s="499">
        <v>0.30390951933262711</v>
      </c>
      <c r="V37" s="499">
        <v>0.33957822762182205</v>
      </c>
    </row>
    <row r="38" spans="1:25" ht="11.25" customHeight="1">
      <c r="A38" s="136"/>
      <c r="B38" s="138"/>
      <c r="C38" s="138"/>
      <c r="D38" s="138"/>
      <c r="E38" s="138"/>
      <c r="F38" s="138"/>
      <c r="G38" s="138"/>
      <c r="H38" s="138"/>
      <c r="I38" s="138"/>
      <c r="J38" s="138"/>
      <c r="K38" s="138"/>
      <c r="L38" s="500" t="s">
        <v>248</v>
      </c>
      <c r="M38" s="626" t="s">
        <v>83</v>
      </c>
      <c r="N38" s="498">
        <v>20</v>
      </c>
      <c r="O38" s="497">
        <v>4.0875478249999997</v>
      </c>
      <c r="P38" s="497">
        <v>0.27470079469086017</v>
      </c>
      <c r="Q38" s="500"/>
      <c r="T38" s="491" t="s">
        <v>249</v>
      </c>
      <c r="U38" s="499">
        <v>0.26474461008121464</v>
      </c>
      <c r="V38" s="499">
        <v>0.30103021716101697</v>
      </c>
    </row>
    <row r="39" spans="1:25">
      <c r="A39" s="136"/>
      <c r="B39" s="138"/>
      <c r="C39" s="138"/>
      <c r="D39" s="138"/>
      <c r="E39" s="138"/>
      <c r="F39" s="138"/>
      <c r="G39" s="138"/>
      <c r="H39" s="138"/>
      <c r="I39" s="138"/>
      <c r="J39" s="138"/>
      <c r="K39" s="138"/>
      <c r="L39" s="491" t="s">
        <v>249</v>
      </c>
      <c r="M39" s="627" t="s">
        <v>83</v>
      </c>
      <c r="N39" s="498">
        <v>20</v>
      </c>
      <c r="O39" s="497">
        <v>3.8605972499999996</v>
      </c>
      <c r="P39" s="497">
        <v>0.2594487399193548</v>
      </c>
      <c r="T39" s="491" t="s">
        <v>85</v>
      </c>
      <c r="U39" s="499">
        <v>0.21881461590748588</v>
      </c>
      <c r="V39" s="499">
        <v>0.1889423003177966</v>
      </c>
    </row>
    <row r="40" spans="1:25">
      <c r="A40" s="136"/>
      <c r="B40" s="138"/>
      <c r="C40" s="138"/>
      <c r="D40" s="138"/>
      <c r="E40" s="138"/>
      <c r="F40" s="138"/>
      <c r="G40" s="138"/>
      <c r="H40" s="138"/>
      <c r="I40" s="138"/>
      <c r="J40" s="138"/>
      <c r="K40" s="138"/>
      <c r="L40" s="491" t="s">
        <v>84</v>
      </c>
      <c r="M40" s="627" t="s">
        <v>83</v>
      </c>
      <c r="N40" s="498">
        <v>16</v>
      </c>
      <c r="O40" s="497">
        <v>3.5452703150000002</v>
      </c>
      <c r="P40" s="497">
        <v>0.29782176705309144</v>
      </c>
      <c r="T40" s="491" t="s">
        <v>248</v>
      </c>
      <c r="U40" s="499">
        <v>0.29113417249293783</v>
      </c>
      <c r="V40" s="499">
        <v>0.32367204131355931</v>
      </c>
    </row>
    <row r="41" spans="1:25">
      <c r="A41" s="136"/>
      <c r="B41" s="138"/>
      <c r="C41" s="138"/>
      <c r="D41" s="138"/>
      <c r="E41" s="138"/>
      <c r="F41" s="138"/>
      <c r="G41" s="138"/>
      <c r="H41" s="138"/>
      <c r="I41" s="138"/>
      <c r="J41" s="138"/>
      <c r="K41" s="138"/>
      <c r="L41" s="491" t="s">
        <v>250</v>
      </c>
      <c r="M41" s="627" t="s">
        <v>83</v>
      </c>
      <c r="N41" s="498">
        <v>20</v>
      </c>
      <c r="O41" s="497">
        <v>3.0692810724999999</v>
      </c>
      <c r="P41" s="497">
        <v>0.20626888928091397</v>
      </c>
      <c r="T41" s="491" t="s">
        <v>783</v>
      </c>
      <c r="U41" s="499">
        <v>0.27477612163394466</v>
      </c>
      <c r="V41" s="499">
        <v>0.32814594724760071</v>
      </c>
    </row>
    <row r="42" spans="1:25">
      <c r="A42" s="136"/>
      <c r="B42" s="138"/>
      <c r="C42" s="138"/>
      <c r="D42" s="138"/>
      <c r="E42" s="138"/>
      <c r="F42" s="138"/>
      <c r="G42" s="138"/>
      <c r="H42" s="138"/>
      <c r="I42" s="138"/>
      <c r="J42" s="138"/>
      <c r="K42" s="138"/>
      <c r="L42" s="491" t="s">
        <v>85</v>
      </c>
      <c r="M42" s="491" t="s">
        <v>83</v>
      </c>
      <c r="N42" s="498">
        <v>20</v>
      </c>
      <c r="O42" s="497">
        <v>2.8157282325000001</v>
      </c>
      <c r="P42" s="497">
        <v>0.18922904788306452</v>
      </c>
      <c r="T42" s="491" t="s">
        <v>784</v>
      </c>
      <c r="U42" s="499">
        <v>0.21801938867716192</v>
      </c>
      <c r="V42" s="499">
        <v>1.1401713514038039E-2</v>
      </c>
    </row>
    <row r="43" spans="1:25" ht="26.25" customHeight="1">
      <c r="A43" s="901"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febrero 2019.</v>
      </c>
      <c r="B43" s="901"/>
      <c r="C43" s="901"/>
      <c r="D43" s="901"/>
      <c r="E43" s="901"/>
      <c r="F43" s="901"/>
      <c r="G43" s="901"/>
      <c r="H43" s="901"/>
      <c r="I43" s="901"/>
      <c r="J43" s="901"/>
      <c r="K43" s="901"/>
      <c r="L43" s="491" t="s">
        <v>86</v>
      </c>
      <c r="M43" s="491" t="s">
        <v>480</v>
      </c>
      <c r="N43" s="498">
        <v>12.74105</v>
      </c>
      <c r="O43" s="497">
        <v>6.8800672174999997</v>
      </c>
      <c r="P43" s="497">
        <v>0.7257959253012225</v>
      </c>
      <c r="S43" s="491" t="s">
        <v>787</v>
      </c>
      <c r="T43" s="491" t="s">
        <v>87</v>
      </c>
      <c r="U43" s="499">
        <v>0.95491846720347251</v>
      </c>
      <c r="V43" s="499">
        <v>0.93261352162963684</v>
      </c>
    </row>
    <row r="44" spans="1:25">
      <c r="A44" s="136"/>
      <c r="B44" s="138"/>
      <c r="C44" s="138"/>
      <c r="D44" s="138"/>
      <c r="E44" s="138"/>
      <c r="F44" s="138"/>
      <c r="G44" s="138"/>
      <c r="H44" s="138"/>
      <c r="I44" s="138"/>
      <c r="J44" s="138"/>
      <c r="K44" s="138"/>
      <c r="L44" s="491" t="s">
        <v>87</v>
      </c>
      <c r="M44" s="491" t="s">
        <v>480</v>
      </c>
      <c r="N44" s="498">
        <v>4.2625000000000002</v>
      </c>
      <c r="O44" s="497">
        <v>2.6715899274999999</v>
      </c>
      <c r="P44" s="497">
        <v>0.84242737284394398</v>
      </c>
      <c r="T44" s="491" t="s">
        <v>88</v>
      </c>
      <c r="U44" s="499">
        <v>0.8914363297857385</v>
      </c>
      <c r="V44" s="499">
        <v>0.51706437776788239</v>
      </c>
    </row>
    <row r="45" spans="1:25" ht="12">
      <c r="A45" s="136"/>
      <c r="B45" s="138"/>
      <c r="C45" s="905" t="str">
        <f>"Factor de planta de las centrales RER  Acumulado al "&amp;'1. Resumen'!Q7&amp;" de "&amp;'1. Resumen'!Q4</f>
        <v>Factor de planta de las centrales RER  Acumulado al 28 de febrero</v>
      </c>
      <c r="D45" s="905"/>
      <c r="E45" s="905"/>
      <c r="F45" s="905"/>
      <c r="G45" s="905"/>
      <c r="H45" s="905"/>
      <c r="I45" s="905"/>
      <c r="J45" s="138"/>
      <c r="K45" s="138"/>
      <c r="L45" s="491" t="s">
        <v>88</v>
      </c>
      <c r="M45" s="491" t="s">
        <v>480</v>
      </c>
      <c r="N45" s="491">
        <v>2.9537</v>
      </c>
      <c r="O45" s="491">
        <v>1.7578190899999999</v>
      </c>
      <c r="P45" s="491">
        <v>0.79989845522710534</v>
      </c>
      <c r="T45" s="491" t="s">
        <v>785</v>
      </c>
      <c r="U45" s="499">
        <v>0.57316232491760832</v>
      </c>
      <c r="V45" s="499">
        <v>0</v>
      </c>
    </row>
    <row r="46" spans="1:25">
      <c r="A46" s="136"/>
      <c r="B46" s="138"/>
      <c r="C46" s="138"/>
      <c r="D46" s="138"/>
      <c r="E46" s="138"/>
      <c r="F46" s="138"/>
      <c r="G46" s="138"/>
      <c r="H46" s="138"/>
      <c r="I46" s="138"/>
      <c r="J46" s="138"/>
      <c r="K46" s="138"/>
      <c r="L46" s="491" t="s">
        <v>785</v>
      </c>
      <c r="M46" s="491" t="s">
        <v>480</v>
      </c>
      <c r="N46" s="491">
        <v>2.4</v>
      </c>
      <c r="O46" s="491">
        <v>1.2611930950000001</v>
      </c>
      <c r="P46" s="491">
        <v>0.70631333725358436</v>
      </c>
      <c r="S46" s="491" t="s">
        <v>788</v>
      </c>
      <c r="T46" s="491" t="s">
        <v>86</v>
      </c>
      <c r="U46" s="491">
        <v>0.77022797278413024</v>
      </c>
      <c r="V46" s="491">
        <v>0.74715917997228454</v>
      </c>
    </row>
    <row r="47" spans="1:25">
      <c r="A47" s="136"/>
      <c r="B47" s="138"/>
      <c r="C47" s="138"/>
      <c r="D47" s="138"/>
      <c r="E47" s="138"/>
      <c r="F47" s="138"/>
      <c r="G47" s="138"/>
      <c r="H47" s="138"/>
      <c r="I47" s="138"/>
      <c r="J47" s="138"/>
      <c r="K47" s="138"/>
    </row>
    <row r="48" spans="1:25">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B53" s="138"/>
      <c r="C53" s="138"/>
      <c r="D53" s="138"/>
      <c r="E53" s="138"/>
      <c r="F53" s="138"/>
      <c r="G53" s="138"/>
      <c r="H53" s="138"/>
      <c r="I53" s="138"/>
      <c r="J53" s="138"/>
      <c r="K53" s="138"/>
    </row>
    <row r="64" spans="1:11">
      <c r="A64" s="239" t="str">
        <f>"Gráfico N° 9: factor de planta de las centrales con recursos energético renovables en el SEIN en "&amp;'1. Resumen'!Q4&amp;"."</f>
        <v>Gráfico N° 9: factor de planta de las centrales con recursos energético renovables en el SEIN en febrero.</v>
      </c>
    </row>
  </sheetData>
  <mergeCells count="3">
    <mergeCell ref="A43:K43"/>
    <mergeCell ref="A2:K2"/>
    <mergeCell ref="C45:I45"/>
  </mergeCells>
  <pageMargins left="0.70866141732283472" right="0.59055118110236227"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N71"/>
  <sheetViews>
    <sheetView showGridLines="0" view="pageBreakPreview" zoomScale="130" zoomScaleNormal="100" zoomScaleSheetLayoutView="130" zoomScalePageLayoutView="145" workbookViewId="0">
      <selection activeCell="A3" sqref="A3"/>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02" t="s">
        <v>252</v>
      </c>
      <c r="B2" s="902"/>
      <c r="C2" s="902"/>
      <c r="D2" s="902"/>
      <c r="E2" s="902"/>
      <c r="F2" s="902"/>
      <c r="G2" s="902"/>
      <c r="H2" s="902"/>
      <c r="I2" s="902"/>
      <c r="J2" s="17"/>
    </row>
    <row r="3" spans="1:14" ht="6" customHeight="1">
      <c r="A3" s="17"/>
      <c r="B3" s="17"/>
      <c r="C3" s="17"/>
      <c r="D3" s="17"/>
      <c r="E3" s="17"/>
      <c r="F3" s="17"/>
      <c r="G3" s="17"/>
      <c r="H3" s="17"/>
      <c r="I3" s="17"/>
      <c r="J3" s="17"/>
      <c r="K3" s="365"/>
      <c r="L3" s="365"/>
    </row>
    <row r="4" spans="1:14" ht="11.25" customHeight="1">
      <c r="A4" s="908" t="s">
        <v>264</v>
      </c>
      <c r="B4" s="909" t="str">
        <f>+'1. Resumen'!Q4</f>
        <v>febrero</v>
      </c>
      <c r="C4" s="910"/>
      <c r="D4" s="910"/>
      <c r="E4" s="138"/>
      <c r="F4" s="138"/>
      <c r="G4" s="911" t="s">
        <v>542</v>
      </c>
      <c r="H4" s="911"/>
      <c r="I4" s="911"/>
      <c r="J4" s="138"/>
      <c r="L4" s="366"/>
      <c r="M4" s="367">
        <v>2019</v>
      </c>
      <c r="N4" s="367">
        <v>2018</v>
      </c>
    </row>
    <row r="5" spans="1:14" ht="11.25" customHeight="1">
      <c r="A5" s="908"/>
      <c r="B5" s="579">
        <f>+'1. Resumen'!Q5</f>
        <v>2019</v>
      </c>
      <c r="C5" s="580">
        <f>+B5-1</f>
        <v>2018</v>
      </c>
      <c r="D5" s="580" t="s">
        <v>35</v>
      </c>
      <c r="E5" s="138"/>
      <c r="F5" s="138"/>
      <c r="G5" s="138"/>
      <c r="H5" s="138"/>
      <c r="I5" s="138"/>
      <c r="J5" s="138"/>
      <c r="K5" s="368"/>
      <c r="L5" s="372" t="s">
        <v>125</v>
      </c>
      <c r="M5" s="370">
        <v>0</v>
      </c>
      <c r="N5" s="370">
        <v>0</v>
      </c>
    </row>
    <row r="6" spans="1:14" ht="10.5" customHeight="1">
      <c r="A6" s="436" t="s">
        <v>498</v>
      </c>
      <c r="B6" s="472">
        <v>589.98563520250002</v>
      </c>
      <c r="C6" s="473">
        <v>799.79759246499998</v>
      </c>
      <c r="D6" s="437">
        <f>IF(C6=0,"",B6/C6-1)</f>
        <v>-0.26233131887263283</v>
      </c>
      <c r="E6" s="138"/>
      <c r="F6" s="138"/>
      <c r="G6" s="138"/>
      <c r="H6" s="138"/>
      <c r="I6" s="138"/>
      <c r="J6" s="138"/>
      <c r="K6" s="371"/>
      <c r="L6" s="372" t="s">
        <v>253</v>
      </c>
      <c r="M6" s="370">
        <v>0</v>
      </c>
      <c r="N6" s="370">
        <v>0</v>
      </c>
    </row>
    <row r="7" spans="1:14" ht="10.5" customHeight="1">
      <c r="A7" s="438" t="s">
        <v>92</v>
      </c>
      <c r="B7" s="474">
        <v>558.98535928000001</v>
      </c>
      <c r="C7" s="474">
        <v>554.1659230775</v>
      </c>
      <c r="D7" s="439">
        <f t="shared" ref="D7:D62" si="0">IF(C7=0,"",B7/C7-1)</f>
        <v>8.6967386513696621E-3</v>
      </c>
      <c r="E7" s="464"/>
      <c r="F7" s="138"/>
      <c r="G7" s="138"/>
      <c r="H7" s="138"/>
      <c r="I7" s="138"/>
      <c r="J7" s="138"/>
      <c r="L7" s="370" t="s">
        <v>262</v>
      </c>
      <c r="M7" s="370">
        <v>0</v>
      </c>
      <c r="N7" s="370">
        <v>23.174802917499999</v>
      </c>
    </row>
    <row r="8" spans="1:14" ht="10.5" customHeight="1">
      <c r="A8" s="436" t="s">
        <v>91</v>
      </c>
      <c r="B8" s="473">
        <v>487.37559566250002</v>
      </c>
      <c r="C8" s="473">
        <v>475.94147823750001</v>
      </c>
      <c r="D8" s="437">
        <f t="shared" si="0"/>
        <v>2.402420874798028E-2</v>
      </c>
      <c r="E8" s="138"/>
      <c r="F8" s="138"/>
      <c r="G8" s="138"/>
      <c r="H8" s="138"/>
      <c r="I8" s="138"/>
      <c r="J8" s="138"/>
      <c r="L8" s="372" t="s">
        <v>261</v>
      </c>
      <c r="M8" s="370">
        <v>2.4378739999999999E-2</v>
      </c>
      <c r="N8" s="370">
        <v>0.15979007250000002</v>
      </c>
    </row>
    <row r="9" spans="1:14" ht="10.5" customHeight="1">
      <c r="A9" s="438" t="s">
        <v>257</v>
      </c>
      <c r="B9" s="474">
        <v>342.54277557750004</v>
      </c>
      <c r="C9" s="474">
        <v>66.095459795000011</v>
      </c>
      <c r="D9" s="439">
        <f t="shared" si="0"/>
        <v>4.1825462238998252</v>
      </c>
      <c r="E9" s="138"/>
      <c r="F9" s="138"/>
      <c r="G9" s="138"/>
      <c r="H9" s="138"/>
      <c r="I9" s="138"/>
      <c r="J9" s="138"/>
      <c r="L9" s="372" t="s">
        <v>122</v>
      </c>
      <c r="M9" s="370">
        <v>0.17120458500000002</v>
      </c>
      <c r="N9" s="370">
        <v>0.25669575750000001</v>
      </c>
    </row>
    <row r="10" spans="1:14" ht="10.5" customHeight="1">
      <c r="A10" s="436" t="s">
        <v>254</v>
      </c>
      <c r="B10" s="473">
        <v>286.77873005499998</v>
      </c>
      <c r="C10" s="473">
        <v>277.38072177999993</v>
      </c>
      <c r="D10" s="437">
        <f t="shared" si="0"/>
        <v>3.3881259716578072E-2</v>
      </c>
      <c r="E10" s="138"/>
      <c r="F10" s="138"/>
      <c r="G10" s="138"/>
      <c r="H10" s="138"/>
      <c r="I10" s="138"/>
      <c r="J10" s="138"/>
      <c r="K10" s="368"/>
      <c r="L10" s="370" t="s">
        <v>121</v>
      </c>
      <c r="M10" s="370">
        <v>0.22986135499999999</v>
      </c>
      <c r="N10" s="370">
        <v>1.32845575E-2</v>
      </c>
    </row>
    <row r="11" spans="1:14" ht="10.5" customHeight="1">
      <c r="A11" s="438" t="s">
        <v>90</v>
      </c>
      <c r="B11" s="474">
        <v>273.97086321749998</v>
      </c>
      <c r="C11" s="474">
        <v>222.48350496999998</v>
      </c>
      <c r="D11" s="439">
        <f t="shared" si="0"/>
        <v>0.2314210136811834</v>
      </c>
      <c r="E11" s="138"/>
      <c r="F11" s="138"/>
      <c r="G11" s="138"/>
      <c r="H11" s="138"/>
      <c r="I11" s="138"/>
      <c r="J11" s="138"/>
      <c r="K11" s="371"/>
      <c r="L11" s="370" t="s">
        <v>504</v>
      </c>
      <c r="M11" s="370">
        <v>0.59677075000000002</v>
      </c>
      <c r="N11" s="370"/>
    </row>
    <row r="12" spans="1:14" ht="10.5" customHeight="1">
      <c r="A12" s="436" t="s">
        <v>93</v>
      </c>
      <c r="B12" s="473">
        <v>223.85034798750002</v>
      </c>
      <c r="C12" s="473">
        <v>242.60455527000005</v>
      </c>
      <c r="D12" s="437">
        <f t="shared" si="0"/>
        <v>-7.7303607352417814E-2</v>
      </c>
      <c r="E12" s="138"/>
      <c r="F12" s="138"/>
      <c r="G12" s="138"/>
      <c r="H12" s="138"/>
      <c r="I12" s="138"/>
      <c r="J12" s="138"/>
      <c r="K12" s="371"/>
      <c r="L12" s="370" t="s">
        <v>118</v>
      </c>
      <c r="M12" s="370">
        <v>0.93832566250000005</v>
      </c>
      <c r="N12" s="370">
        <v>2.2873479625000002</v>
      </c>
    </row>
    <row r="13" spans="1:14" ht="10.5" customHeight="1">
      <c r="A13" s="438" t="s">
        <v>259</v>
      </c>
      <c r="B13" s="474">
        <v>212.83507803499998</v>
      </c>
      <c r="C13" s="474">
        <v>227.83383510500002</v>
      </c>
      <c r="D13" s="440">
        <f t="shared" si="0"/>
        <v>-6.5832000164012805E-2</v>
      </c>
      <c r="E13" s="138"/>
      <c r="F13" s="138"/>
      <c r="G13" s="138"/>
      <c r="H13" s="138"/>
      <c r="I13" s="138"/>
      <c r="J13" s="138"/>
      <c r="K13" s="371"/>
      <c r="L13" s="372" t="s">
        <v>120</v>
      </c>
      <c r="M13" s="370">
        <v>1.309048545</v>
      </c>
      <c r="N13" s="370">
        <v>2.2851489999999997</v>
      </c>
    </row>
    <row r="14" spans="1:14" ht="10.5" customHeight="1">
      <c r="A14" s="436" t="s">
        <v>97</v>
      </c>
      <c r="B14" s="473">
        <v>137.04868966000001</v>
      </c>
      <c r="C14" s="473">
        <v>143.58416572499999</v>
      </c>
      <c r="D14" s="437">
        <f t="shared" si="0"/>
        <v>-4.5516690729791698E-2</v>
      </c>
      <c r="E14" s="138"/>
      <c r="F14" s="138"/>
      <c r="G14" s="138"/>
      <c r="H14" s="138"/>
      <c r="I14" s="138"/>
      <c r="J14" s="138"/>
      <c r="K14" s="371"/>
      <c r="L14" s="372" t="s">
        <v>790</v>
      </c>
      <c r="M14" s="370">
        <v>1.4783145</v>
      </c>
      <c r="N14" s="370"/>
    </row>
    <row r="15" spans="1:14" ht="10.5" customHeight="1">
      <c r="A15" s="438" t="s">
        <v>103</v>
      </c>
      <c r="B15" s="474">
        <v>117.0554483025</v>
      </c>
      <c r="C15" s="474">
        <v>30.925195844999998</v>
      </c>
      <c r="D15" s="439">
        <f t="shared" si="0"/>
        <v>2.7851158288275024</v>
      </c>
      <c r="E15" s="138"/>
      <c r="F15" s="138"/>
      <c r="G15" s="138"/>
      <c r="H15" s="138"/>
      <c r="I15" s="138"/>
      <c r="J15" s="138"/>
      <c r="K15" s="371"/>
      <c r="L15" s="370" t="s">
        <v>119</v>
      </c>
      <c r="M15" s="370">
        <v>2.2294</v>
      </c>
      <c r="N15" s="370">
        <v>2.2131999999999996</v>
      </c>
    </row>
    <row r="16" spans="1:14" ht="10.5" customHeight="1">
      <c r="A16" s="436" t="s">
        <v>95</v>
      </c>
      <c r="B16" s="473">
        <v>111.45442315000001</v>
      </c>
      <c r="C16" s="473">
        <v>110.37863408</v>
      </c>
      <c r="D16" s="437">
        <f t="shared" si="0"/>
        <v>9.7463524437193527E-3</v>
      </c>
      <c r="E16" s="138"/>
      <c r="F16" s="138"/>
      <c r="G16" s="138"/>
      <c r="H16" s="138"/>
      <c r="I16" s="138"/>
      <c r="J16" s="138" t="s">
        <v>8</v>
      </c>
      <c r="K16" s="371"/>
      <c r="L16" s="370" t="s">
        <v>115</v>
      </c>
      <c r="M16" s="370">
        <v>2.8157282325000001</v>
      </c>
      <c r="N16" s="370">
        <v>1.9283449450000001</v>
      </c>
    </row>
    <row r="17" spans="1:14" ht="10.5" customHeight="1">
      <c r="A17" s="438" t="s">
        <v>94</v>
      </c>
      <c r="B17" s="474">
        <v>109.58790842249999</v>
      </c>
      <c r="C17" s="474">
        <v>102.73929850250001</v>
      </c>
      <c r="D17" s="439">
        <f t="shared" si="0"/>
        <v>6.666008061008255E-2</v>
      </c>
      <c r="E17" s="138"/>
      <c r="F17" s="138"/>
      <c r="G17" s="138"/>
      <c r="H17" s="138"/>
      <c r="I17" s="138"/>
      <c r="J17" s="138"/>
      <c r="K17" s="371"/>
      <c r="L17" s="370" t="s">
        <v>114</v>
      </c>
      <c r="M17" s="370">
        <v>3.0692810724999999</v>
      </c>
      <c r="N17" s="370">
        <v>3.394725185</v>
      </c>
    </row>
    <row r="18" spans="1:14" ht="10.5" customHeight="1">
      <c r="A18" s="436" t="s">
        <v>96</v>
      </c>
      <c r="B18" s="473">
        <v>105.8166883725</v>
      </c>
      <c r="C18" s="473">
        <v>117.66519027999999</v>
      </c>
      <c r="D18" s="437">
        <f t="shared" si="0"/>
        <v>-0.10069674709491316</v>
      </c>
      <c r="E18" s="138"/>
      <c r="F18" s="138"/>
      <c r="G18" s="138"/>
      <c r="H18" s="138"/>
      <c r="I18" s="138"/>
      <c r="J18" s="138"/>
      <c r="K18" s="374"/>
      <c r="L18" s="370" t="s">
        <v>117</v>
      </c>
      <c r="M18" s="370">
        <v>3.2062064824999998</v>
      </c>
      <c r="N18" s="370">
        <v>2.8683672500000004</v>
      </c>
    </row>
    <row r="19" spans="1:14" ht="10.5" customHeight="1">
      <c r="A19" s="438" t="s">
        <v>98</v>
      </c>
      <c r="B19" s="474">
        <v>74.293545677499992</v>
      </c>
      <c r="C19" s="474">
        <v>73.767913012500003</v>
      </c>
      <c r="D19" s="439">
        <f t="shared" si="0"/>
        <v>7.1254918776260112E-3</v>
      </c>
      <c r="E19" s="138"/>
      <c r="F19" s="138"/>
      <c r="G19" s="138"/>
      <c r="H19" s="138"/>
      <c r="I19" s="138"/>
      <c r="J19" s="138"/>
      <c r="K19" s="371"/>
      <c r="L19" s="372" t="s">
        <v>113</v>
      </c>
      <c r="M19" s="370">
        <v>3.5452703150000002</v>
      </c>
      <c r="N19" s="370">
        <v>3.5532930350000003</v>
      </c>
    </row>
    <row r="20" spans="1:14" ht="10.5" customHeight="1">
      <c r="A20" s="436" t="s">
        <v>789</v>
      </c>
      <c r="B20" s="473">
        <v>59.273834565000001</v>
      </c>
      <c r="C20" s="473">
        <v>59.999820024999998</v>
      </c>
      <c r="D20" s="437">
        <f t="shared" si="0"/>
        <v>-1.2099793961006911E-2</v>
      </c>
      <c r="E20" s="138"/>
      <c r="F20" s="138"/>
      <c r="G20" s="138"/>
      <c r="H20" s="138"/>
      <c r="I20" s="138"/>
      <c r="J20" s="138"/>
      <c r="K20" s="371"/>
      <c r="L20" s="370" t="s">
        <v>116</v>
      </c>
      <c r="M20" s="370">
        <v>3.6871336274999997</v>
      </c>
      <c r="N20" s="370">
        <v>5.1009950675000004</v>
      </c>
    </row>
    <row r="21" spans="1:14" ht="10.5" customHeight="1">
      <c r="A21" s="438" t="s">
        <v>101</v>
      </c>
      <c r="B21" s="474">
        <v>58.204789570000003</v>
      </c>
      <c r="C21" s="474">
        <v>32.686193135000003</v>
      </c>
      <c r="D21" s="439">
        <f t="shared" si="0"/>
        <v>0.78071485197445578</v>
      </c>
      <c r="E21" s="138"/>
      <c r="F21" s="138"/>
      <c r="G21" s="138"/>
      <c r="H21" s="138"/>
      <c r="I21" s="138"/>
      <c r="J21" s="138"/>
      <c r="K21" s="371"/>
      <c r="L21" s="372" t="s">
        <v>110</v>
      </c>
      <c r="M21" s="370">
        <v>3.8605972499999996</v>
      </c>
      <c r="N21" s="370">
        <v>3.9248712500000003</v>
      </c>
    </row>
    <row r="22" spans="1:14" ht="10.5" customHeight="1">
      <c r="A22" s="436" t="s">
        <v>99</v>
      </c>
      <c r="B22" s="473">
        <v>42.633352940000002</v>
      </c>
      <c r="C22" s="473">
        <v>40.139846787499998</v>
      </c>
      <c r="D22" s="437">
        <f t="shared" si="0"/>
        <v>6.2120470107935422E-2</v>
      </c>
      <c r="E22" s="138"/>
      <c r="F22" s="138"/>
      <c r="G22" s="138"/>
      <c r="H22" s="138"/>
      <c r="I22" s="138"/>
      <c r="J22" s="138"/>
      <c r="K22" s="374"/>
      <c r="L22" s="370" t="s">
        <v>112</v>
      </c>
      <c r="M22" s="370">
        <v>4.0875478249999997</v>
      </c>
      <c r="N22" s="370">
        <v>4.3084324599999997</v>
      </c>
    </row>
    <row r="23" spans="1:14" ht="10.5" customHeight="1">
      <c r="A23" s="438" t="s">
        <v>255</v>
      </c>
      <c r="B23" s="474">
        <v>32.333572250000003</v>
      </c>
      <c r="C23" s="474">
        <v>22.898562522500001</v>
      </c>
      <c r="D23" s="439">
        <f t="shared" si="0"/>
        <v>0.41203502264516456</v>
      </c>
      <c r="E23" s="138"/>
      <c r="F23" s="138"/>
      <c r="G23" s="138"/>
      <c r="H23" s="138"/>
      <c r="I23" s="138"/>
      <c r="J23" s="138"/>
      <c r="K23" s="371"/>
      <c r="L23" s="372" t="s">
        <v>533</v>
      </c>
      <c r="M23" s="370">
        <v>4.2163949949999999</v>
      </c>
      <c r="N23" s="370"/>
    </row>
    <row r="24" spans="1:14" ht="10.5" customHeight="1">
      <c r="A24" s="436" t="s">
        <v>102</v>
      </c>
      <c r="B24" s="473">
        <v>30.897745607499999</v>
      </c>
      <c r="C24" s="473">
        <v>26.598642795</v>
      </c>
      <c r="D24" s="437">
        <f t="shared" si="0"/>
        <v>0.16162865322241715</v>
      </c>
      <c r="E24" s="138"/>
      <c r="F24" s="138"/>
      <c r="G24" s="138"/>
      <c r="H24" s="138"/>
      <c r="I24" s="138"/>
      <c r="J24" s="138"/>
      <c r="K24" s="371"/>
      <c r="L24" s="372" t="s">
        <v>499</v>
      </c>
      <c r="M24" s="370">
        <v>5.6906021124999997</v>
      </c>
      <c r="N24" s="370">
        <v>3.8624617799999998</v>
      </c>
    </row>
    <row r="25" spans="1:14" ht="10.5" customHeight="1">
      <c r="A25" s="438" t="s">
        <v>256</v>
      </c>
      <c r="B25" s="474">
        <v>25.082448435</v>
      </c>
      <c r="C25" s="474">
        <v>24.300021709999999</v>
      </c>
      <c r="D25" s="439">
        <f t="shared" si="0"/>
        <v>3.2198601891701761E-2</v>
      </c>
      <c r="E25" s="138"/>
      <c r="F25" s="138"/>
      <c r="G25" s="138"/>
      <c r="H25" s="138"/>
      <c r="I25" s="138"/>
      <c r="J25" s="138"/>
      <c r="K25" s="371"/>
      <c r="L25" s="372" t="s">
        <v>109</v>
      </c>
      <c r="M25" s="370">
        <v>6.8800672174999997</v>
      </c>
      <c r="N25" s="370">
        <v>6.6318301625</v>
      </c>
    </row>
    <row r="26" spans="1:14" ht="10.5" customHeight="1">
      <c r="A26" s="436" t="s">
        <v>263</v>
      </c>
      <c r="B26" s="473">
        <v>21.349841122500003</v>
      </c>
      <c r="C26" s="473">
        <v>19.699734312499999</v>
      </c>
      <c r="D26" s="437">
        <f t="shared" si="0"/>
        <v>8.3762896688051702E-2</v>
      </c>
      <c r="E26" s="138"/>
      <c r="F26" s="138"/>
      <c r="G26" s="138"/>
      <c r="H26" s="138"/>
      <c r="I26" s="138"/>
      <c r="J26" s="138"/>
      <c r="K26" s="371"/>
      <c r="L26" s="370" t="s">
        <v>258</v>
      </c>
      <c r="M26" s="370">
        <v>7.2382349799999997</v>
      </c>
      <c r="N26" s="370">
        <v>12.348326535</v>
      </c>
    </row>
    <row r="27" spans="1:14" ht="10.5" customHeight="1">
      <c r="A27" s="438" t="s">
        <v>100</v>
      </c>
      <c r="B27" s="474">
        <v>19.266521924999999</v>
      </c>
      <c r="C27" s="474">
        <v>22.927925090000002</v>
      </c>
      <c r="D27" s="439">
        <f t="shared" si="0"/>
        <v>-0.15969186704107474</v>
      </c>
      <c r="E27" s="138"/>
      <c r="F27" s="138"/>
      <c r="G27" s="138"/>
      <c r="H27" s="138"/>
      <c r="I27" s="138"/>
      <c r="J27" s="138"/>
      <c r="K27" s="371"/>
      <c r="L27" s="372" t="s">
        <v>260</v>
      </c>
      <c r="M27" s="370">
        <v>9.6544526625000007</v>
      </c>
      <c r="N27" s="370">
        <v>8.6083409124999992</v>
      </c>
    </row>
    <row r="28" spans="1:14" ht="10.5" customHeight="1">
      <c r="A28" s="441" t="s">
        <v>111</v>
      </c>
      <c r="B28" s="473">
        <v>18.690372297500002</v>
      </c>
      <c r="C28" s="473">
        <v>4.6508904300000005</v>
      </c>
      <c r="D28" s="437">
        <f t="shared" si="0"/>
        <v>3.0186653671606711</v>
      </c>
      <c r="E28" s="138"/>
      <c r="F28" s="138"/>
      <c r="G28" s="138"/>
      <c r="H28" s="138"/>
      <c r="I28" s="138"/>
      <c r="J28" s="138"/>
      <c r="K28" s="371"/>
      <c r="L28" s="372" t="s">
        <v>541</v>
      </c>
      <c r="M28" s="370">
        <v>10.1842844475</v>
      </c>
      <c r="N28" s="370">
        <v>12.551683467500002</v>
      </c>
    </row>
    <row r="29" spans="1:14" ht="10.5" customHeight="1">
      <c r="A29" s="442" t="s">
        <v>105</v>
      </c>
      <c r="B29" s="474">
        <v>17.9281623975</v>
      </c>
      <c r="C29" s="474">
        <v>18.1654586075</v>
      </c>
      <c r="D29" s="439">
        <f t="shared" si="0"/>
        <v>-1.3063045372387561E-2</v>
      </c>
      <c r="E29" s="138"/>
      <c r="F29" s="138"/>
      <c r="G29" s="138"/>
      <c r="H29" s="138"/>
      <c r="I29" s="138"/>
      <c r="J29" s="138"/>
      <c r="K29" s="371"/>
      <c r="L29" s="372" t="s">
        <v>517</v>
      </c>
      <c r="M29" s="370">
        <v>10.1869960175</v>
      </c>
      <c r="N29" s="370"/>
    </row>
    <row r="30" spans="1:14" ht="10.5" customHeight="1">
      <c r="A30" s="443" t="s">
        <v>104</v>
      </c>
      <c r="B30" s="473">
        <v>17.438903490000001</v>
      </c>
      <c r="C30" s="473">
        <v>16.716311147499997</v>
      </c>
      <c r="D30" s="437">
        <f t="shared" si="0"/>
        <v>4.3226782280136655E-2</v>
      </c>
      <c r="E30" s="138"/>
      <c r="F30" s="138"/>
      <c r="G30" s="138"/>
      <c r="H30" s="138"/>
      <c r="I30" s="138"/>
      <c r="J30" s="138"/>
      <c r="K30" s="371"/>
      <c r="L30" s="370" t="s">
        <v>107</v>
      </c>
      <c r="M30" s="370">
        <v>12.382494367499998</v>
      </c>
      <c r="N30" s="370">
        <v>11.770244052500001</v>
      </c>
    </row>
    <row r="31" spans="1:14" ht="10.5" customHeight="1">
      <c r="A31" s="442" t="s">
        <v>108</v>
      </c>
      <c r="B31" s="474">
        <v>15.488254135</v>
      </c>
      <c r="C31" s="474">
        <v>47.557086605000002</v>
      </c>
      <c r="D31" s="439">
        <f t="shared" si="0"/>
        <v>-0.67432289821194358</v>
      </c>
      <c r="E31" s="138"/>
      <c r="F31" s="138"/>
      <c r="G31" s="138"/>
      <c r="H31" s="138"/>
      <c r="I31" s="138"/>
      <c r="J31" s="138"/>
      <c r="K31" s="371"/>
      <c r="L31" s="370" t="s">
        <v>106</v>
      </c>
      <c r="M31" s="370">
        <v>12.945648</v>
      </c>
      <c r="N31" s="370">
        <v>13.025115</v>
      </c>
    </row>
    <row r="32" spans="1:14" ht="10.5" customHeight="1">
      <c r="A32" s="443" t="s">
        <v>124</v>
      </c>
      <c r="B32" s="473">
        <v>13.252367162500001</v>
      </c>
      <c r="C32" s="473">
        <v>11.852313370000001</v>
      </c>
      <c r="D32" s="437">
        <f t="shared" si="0"/>
        <v>0.11812493888693054</v>
      </c>
      <c r="E32" s="138"/>
      <c r="F32" s="138"/>
      <c r="G32" s="138"/>
      <c r="H32" s="138"/>
      <c r="I32" s="138"/>
      <c r="J32" s="138"/>
      <c r="K32" s="371"/>
      <c r="L32" s="370" t="s">
        <v>123</v>
      </c>
      <c r="M32" s="370">
        <v>12.955507805</v>
      </c>
      <c r="N32" s="370">
        <v>1.136805635</v>
      </c>
    </row>
    <row r="33" spans="1:14" ht="10.5" customHeight="1">
      <c r="A33" s="442" t="s">
        <v>479</v>
      </c>
      <c r="B33" s="474">
        <v>13.23649279</v>
      </c>
      <c r="C33" s="474">
        <v>0.58111249999999992</v>
      </c>
      <c r="D33" s="439">
        <f t="shared" si="0"/>
        <v>21.777849022349375</v>
      </c>
      <c r="E33" s="138"/>
      <c r="F33" s="138"/>
      <c r="G33" s="138"/>
      <c r="H33" s="138"/>
      <c r="I33" s="138"/>
      <c r="J33" s="138"/>
      <c r="K33" s="371"/>
      <c r="L33" s="372" t="s">
        <v>479</v>
      </c>
      <c r="M33" s="370">
        <v>13.23649279</v>
      </c>
      <c r="N33" s="370">
        <v>0.58111249999999992</v>
      </c>
    </row>
    <row r="34" spans="1:14" ht="18" customHeight="1">
      <c r="A34" s="673" t="s">
        <v>123</v>
      </c>
      <c r="B34" s="473">
        <v>12.955507805</v>
      </c>
      <c r="C34" s="473">
        <v>1.136805635</v>
      </c>
      <c r="D34" s="437">
        <f t="shared" si="0"/>
        <v>10.39641413283459</v>
      </c>
      <c r="E34" s="138"/>
      <c r="F34" s="138"/>
      <c r="G34" s="138"/>
      <c r="H34" s="138"/>
      <c r="I34" s="138"/>
      <c r="J34" s="138"/>
      <c r="K34" s="375"/>
      <c r="L34" s="372" t="s">
        <v>124</v>
      </c>
      <c r="M34" s="370">
        <v>13.252367162500001</v>
      </c>
      <c r="N34" s="370">
        <v>11.852313370000001</v>
      </c>
    </row>
    <row r="35" spans="1:14" ht="10.5" customHeight="1">
      <c r="A35" s="442" t="s">
        <v>106</v>
      </c>
      <c r="B35" s="474">
        <v>12.945648</v>
      </c>
      <c r="C35" s="474">
        <v>13.025115</v>
      </c>
      <c r="D35" s="439">
        <f t="shared" si="0"/>
        <v>-6.1010593764431187E-3</v>
      </c>
      <c r="E35" s="138"/>
      <c r="F35" s="138"/>
      <c r="G35" s="138"/>
      <c r="H35" s="138"/>
      <c r="I35" s="138"/>
      <c r="J35" s="138"/>
      <c r="K35" s="375"/>
      <c r="L35" s="372" t="s">
        <v>108</v>
      </c>
      <c r="M35" s="370">
        <v>15.488254135</v>
      </c>
      <c r="N35" s="370">
        <v>47.557086605000002</v>
      </c>
    </row>
    <row r="36" spans="1:14" ht="10.5" customHeight="1">
      <c r="A36" s="443" t="s">
        <v>107</v>
      </c>
      <c r="B36" s="473">
        <v>12.382494367499998</v>
      </c>
      <c r="C36" s="473">
        <v>11.770244052500001</v>
      </c>
      <c r="D36" s="437">
        <f t="shared" si="0"/>
        <v>5.2016790159075343E-2</v>
      </c>
      <c r="E36" s="138"/>
      <c r="F36" s="138"/>
      <c r="G36" s="138"/>
      <c r="H36" s="138"/>
      <c r="I36" s="138"/>
      <c r="J36" s="138"/>
      <c r="K36" s="374"/>
      <c r="L36" s="372" t="s">
        <v>104</v>
      </c>
      <c r="M36" s="370">
        <v>17.438903490000001</v>
      </c>
      <c r="N36" s="370">
        <v>16.716311147499997</v>
      </c>
    </row>
    <row r="37" spans="1:14" ht="10.5" customHeight="1">
      <c r="A37" s="442" t="s">
        <v>517</v>
      </c>
      <c r="B37" s="474">
        <v>10.1869960175</v>
      </c>
      <c r="C37" s="474"/>
      <c r="D37" s="439" t="str">
        <f t="shared" si="0"/>
        <v/>
      </c>
      <c r="E37" s="138"/>
      <c r="F37" s="138"/>
      <c r="G37" s="138"/>
      <c r="H37" s="138"/>
      <c r="I37" s="138"/>
      <c r="J37" s="138"/>
      <c r="K37" s="374"/>
      <c r="L37" s="370" t="s">
        <v>105</v>
      </c>
      <c r="M37" s="370">
        <v>17.9281623975</v>
      </c>
      <c r="N37" s="370">
        <v>18.1654586075</v>
      </c>
    </row>
    <row r="38" spans="1:14" ht="10.5" customHeight="1">
      <c r="A38" s="443" t="s">
        <v>541</v>
      </c>
      <c r="B38" s="473">
        <v>10.1842844475</v>
      </c>
      <c r="C38" s="473">
        <v>12.551683467500002</v>
      </c>
      <c r="D38" s="437">
        <f t="shared" si="0"/>
        <v>-0.18861207153047588</v>
      </c>
      <c r="E38" s="138"/>
      <c r="F38" s="138"/>
      <c r="G38" s="138"/>
      <c r="H38" s="138"/>
      <c r="I38" s="138"/>
      <c r="J38" s="138"/>
      <c r="K38" s="374"/>
      <c r="L38" s="372" t="s">
        <v>111</v>
      </c>
      <c r="M38" s="370">
        <v>18.690372297500002</v>
      </c>
      <c r="N38" s="370">
        <v>4.6508904300000005</v>
      </c>
    </row>
    <row r="39" spans="1:14" ht="10.5" customHeight="1">
      <c r="A39" s="442" t="s">
        <v>260</v>
      </c>
      <c r="B39" s="474">
        <v>9.6544526625000007</v>
      </c>
      <c r="C39" s="474">
        <v>8.6083409124999992</v>
      </c>
      <c r="D39" s="439">
        <f t="shared" si="0"/>
        <v>0.12152303918179674</v>
      </c>
      <c r="E39" s="138"/>
      <c r="F39" s="138"/>
      <c r="G39" s="138"/>
      <c r="H39" s="138"/>
      <c r="I39" s="138"/>
      <c r="J39" s="138"/>
      <c r="K39" s="375"/>
      <c r="L39" s="370" t="s">
        <v>100</v>
      </c>
      <c r="M39" s="370">
        <v>19.266521924999999</v>
      </c>
      <c r="N39" s="370">
        <v>22.927925090000002</v>
      </c>
    </row>
    <row r="40" spans="1:14" ht="10.5" customHeight="1">
      <c r="A40" s="443" t="s">
        <v>258</v>
      </c>
      <c r="B40" s="473">
        <v>7.2382349799999997</v>
      </c>
      <c r="C40" s="473">
        <v>12.348326535</v>
      </c>
      <c r="D40" s="437">
        <f t="shared" si="0"/>
        <v>-0.41382867067177054</v>
      </c>
      <c r="E40" s="138"/>
      <c r="F40" s="138"/>
      <c r="G40" s="138"/>
      <c r="H40" s="138"/>
      <c r="I40" s="138"/>
      <c r="J40" s="138"/>
      <c r="K40" s="375"/>
      <c r="L40" s="372" t="s">
        <v>263</v>
      </c>
      <c r="M40" s="370">
        <v>21.349841122500003</v>
      </c>
      <c r="N40" s="370">
        <v>19.699734312499999</v>
      </c>
    </row>
    <row r="41" spans="1:14" ht="10.5" customHeight="1">
      <c r="A41" s="442" t="s">
        <v>109</v>
      </c>
      <c r="B41" s="474">
        <v>6.8800672174999997</v>
      </c>
      <c r="C41" s="474">
        <v>6.6318301625</v>
      </c>
      <c r="D41" s="439">
        <f t="shared" si="0"/>
        <v>3.7431153831964492E-2</v>
      </c>
      <c r="E41" s="138"/>
      <c r="F41" s="138"/>
      <c r="G41" s="138"/>
      <c r="H41" s="138"/>
      <c r="I41" s="138"/>
      <c r="J41" s="138"/>
      <c r="K41" s="375"/>
      <c r="L41" s="370" t="s">
        <v>256</v>
      </c>
      <c r="M41" s="370">
        <v>25.082448435</v>
      </c>
      <c r="N41" s="370">
        <v>24.300021709999999</v>
      </c>
    </row>
    <row r="42" spans="1:14" ht="10.5" customHeight="1">
      <c r="A42" s="443" t="s">
        <v>499</v>
      </c>
      <c r="B42" s="473">
        <v>5.6906021124999997</v>
      </c>
      <c r="C42" s="473">
        <v>3.8624617799999998</v>
      </c>
      <c r="D42" s="437">
        <f t="shared" si="0"/>
        <v>0.47330962392073173</v>
      </c>
      <c r="E42" s="138"/>
      <c r="F42" s="138"/>
      <c r="G42" s="138"/>
      <c r="H42" s="138"/>
      <c r="I42" s="138"/>
      <c r="J42" s="138"/>
      <c r="L42" s="372" t="s">
        <v>102</v>
      </c>
      <c r="M42" s="370">
        <v>30.897745607499999</v>
      </c>
      <c r="N42" s="370">
        <v>26.598642795</v>
      </c>
    </row>
    <row r="43" spans="1:14" ht="10.5" customHeight="1">
      <c r="A43" s="442" t="s">
        <v>533</v>
      </c>
      <c r="B43" s="474">
        <v>4.2163949949999999</v>
      </c>
      <c r="C43" s="474"/>
      <c r="D43" s="439" t="str">
        <f t="shared" si="0"/>
        <v/>
      </c>
      <c r="E43" s="138"/>
      <c r="F43" s="138"/>
      <c r="G43" s="138"/>
      <c r="H43" s="138"/>
      <c r="I43" s="138"/>
      <c r="J43" s="138"/>
      <c r="L43" s="372" t="s">
        <v>255</v>
      </c>
      <c r="M43" s="370">
        <v>32.333572250000003</v>
      </c>
      <c r="N43" s="370">
        <v>22.898562522500001</v>
      </c>
    </row>
    <row r="44" spans="1:14" ht="10.5" customHeight="1">
      <c r="A44" s="443" t="s">
        <v>112</v>
      </c>
      <c r="B44" s="473">
        <v>4.0875478249999997</v>
      </c>
      <c r="C44" s="473">
        <v>4.3084324599999997</v>
      </c>
      <c r="D44" s="437">
        <f t="shared" si="0"/>
        <v>-5.1267981348371849E-2</v>
      </c>
      <c r="E44" s="138"/>
      <c r="F44" s="138"/>
      <c r="G44" s="138"/>
      <c r="H44" s="138"/>
      <c r="I44" s="138"/>
      <c r="J44" s="138"/>
      <c r="L44" s="373" t="s">
        <v>99</v>
      </c>
      <c r="M44" s="370">
        <v>42.633352940000002</v>
      </c>
      <c r="N44" s="370">
        <v>40.139846787499998</v>
      </c>
    </row>
    <row r="45" spans="1:14" ht="10.5" customHeight="1">
      <c r="A45" s="442" t="s">
        <v>110</v>
      </c>
      <c r="B45" s="474">
        <v>3.8605972499999996</v>
      </c>
      <c r="C45" s="474">
        <v>3.9248712500000003</v>
      </c>
      <c r="D45" s="439">
        <f t="shared" si="0"/>
        <v>-1.6376078578373865E-2</v>
      </c>
      <c r="E45" s="138"/>
      <c r="F45" s="138"/>
      <c r="G45" s="138"/>
      <c r="H45" s="138"/>
      <c r="I45" s="138"/>
      <c r="J45" s="138"/>
      <c r="L45" s="372" t="s">
        <v>101</v>
      </c>
      <c r="M45" s="370">
        <v>58.204789570000003</v>
      </c>
      <c r="N45" s="370">
        <v>32.686193135000003</v>
      </c>
    </row>
    <row r="46" spans="1:14" ht="10.5" customHeight="1">
      <c r="A46" s="443" t="s">
        <v>116</v>
      </c>
      <c r="B46" s="473">
        <v>3.6871336274999997</v>
      </c>
      <c r="C46" s="473">
        <v>5.1009950675000004</v>
      </c>
      <c r="D46" s="437">
        <f t="shared" si="0"/>
        <v>-0.27717365362851343</v>
      </c>
      <c r="E46" s="138"/>
      <c r="F46" s="138"/>
      <c r="G46" s="138"/>
      <c r="H46" s="138"/>
      <c r="I46" s="138"/>
      <c r="J46" s="138"/>
      <c r="L46" s="372" t="s">
        <v>789</v>
      </c>
      <c r="M46" s="370">
        <v>59.273834565000001</v>
      </c>
      <c r="N46" s="370">
        <v>59.999820024999998</v>
      </c>
    </row>
    <row r="47" spans="1:14" ht="10.5" customHeight="1">
      <c r="A47" s="442" t="s">
        <v>113</v>
      </c>
      <c r="B47" s="474">
        <v>3.5452703150000002</v>
      </c>
      <c r="C47" s="474">
        <v>3.5532930350000003</v>
      </c>
      <c r="D47" s="439">
        <f t="shared" si="0"/>
        <v>-2.257826731703827E-3</v>
      </c>
      <c r="E47" s="138"/>
      <c r="F47" s="138"/>
      <c r="G47" s="138"/>
      <c r="H47" s="138"/>
      <c r="I47" s="138"/>
      <c r="J47" s="138"/>
      <c r="L47" s="372" t="s">
        <v>98</v>
      </c>
      <c r="M47" s="370">
        <v>74.293545677499992</v>
      </c>
      <c r="N47" s="370">
        <v>73.767913012500003</v>
      </c>
    </row>
    <row r="48" spans="1:14" ht="10.5" customHeight="1">
      <c r="A48" s="443" t="s">
        <v>117</v>
      </c>
      <c r="B48" s="473">
        <v>3.2062064824999998</v>
      </c>
      <c r="C48" s="473">
        <v>2.8683672500000004</v>
      </c>
      <c r="D48" s="437">
        <f t="shared" si="0"/>
        <v>0.11778102420462355</v>
      </c>
      <c r="E48" s="138"/>
      <c r="F48" s="138"/>
      <c r="G48" s="138"/>
      <c r="H48" s="138"/>
      <c r="I48" s="138"/>
      <c r="J48" s="138"/>
      <c r="L48" s="370" t="s">
        <v>96</v>
      </c>
      <c r="M48" s="370">
        <v>105.8166883725</v>
      </c>
      <c r="N48" s="370">
        <v>117.66519027999999</v>
      </c>
    </row>
    <row r="49" spans="1:14" ht="10.5" customHeight="1">
      <c r="A49" s="442" t="s">
        <v>114</v>
      </c>
      <c r="B49" s="474">
        <v>3.0692810724999999</v>
      </c>
      <c r="C49" s="474">
        <v>3.394725185</v>
      </c>
      <c r="D49" s="439">
        <f t="shared" si="0"/>
        <v>-9.5867587143140143E-2</v>
      </c>
      <c r="E49" s="138"/>
      <c r="F49" s="138"/>
      <c r="G49" s="138"/>
      <c r="H49" s="138"/>
      <c r="I49" s="138"/>
      <c r="J49" s="138"/>
      <c r="L49" s="369" t="s">
        <v>94</v>
      </c>
      <c r="M49" s="370">
        <v>109.58790842249999</v>
      </c>
      <c r="N49" s="370">
        <v>102.73929850250001</v>
      </c>
    </row>
    <row r="50" spans="1:14" ht="10.5" customHeight="1">
      <c r="A50" s="443" t="s">
        <v>115</v>
      </c>
      <c r="B50" s="473">
        <v>2.8157282325000001</v>
      </c>
      <c r="C50" s="473">
        <v>1.9283449450000001</v>
      </c>
      <c r="D50" s="437">
        <f t="shared" si="0"/>
        <v>0.46017870910538772</v>
      </c>
      <c r="E50" s="138"/>
      <c r="F50" s="138"/>
      <c r="G50" s="138"/>
      <c r="H50" s="138"/>
      <c r="I50" s="138"/>
      <c r="J50" s="138"/>
      <c r="L50" s="372" t="s">
        <v>95</v>
      </c>
      <c r="M50" s="370">
        <v>111.45442315000001</v>
      </c>
      <c r="N50" s="370">
        <v>110.37863408</v>
      </c>
    </row>
    <row r="51" spans="1:14" ht="10.5" customHeight="1">
      <c r="A51" s="442" t="s">
        <v>119</v>
      </c>
      <c r="B51" s="474">
        <v>2.2294</v>
      </c>
      <c r="C51" s="474">
        <v>2.2131999999999996</v>
      </c>
      <c r="D51" s="439">
        <f t="shared" si="0"/>
        <v>7.3197180553046248E-3</v>
      </c>
      <c r="E51" s="138"/>
      <c r="F51" s="138"/>
      <c r="G51" s="138"/>
      <c r="H51" s="138"/>
      <c r="I51" s="138"/>
      <c r="J51" s="138"/>
      <c r="L51" s="372" t="s">
        <v>103</v>
      </c>
      <c r="M51" s="370">
        <v>117.0554483025</v>
      </c>
      <c r="N51" s="370">
        <v>30.925195844999998</v>
      </c>
    </row>
    <row r="52" spans="1:14" ht="10.5" customHeight="1">
      <c r="A52" s="443" t="s">
        <v>790</v>
      </c>
      <c r="B52" s="473">
        <v>1.4783145</v>
      </c>
      <c r="C52" s="473"/>
      <c r="D52" s="437" t="str">
        <f t="shared" si="0"/>
        <v/>
      </c>
      <c r="E52" s="138"/>
      <c r="F52" s="138"/>
      <c r="G52" s="138"/>
      <c r="H52" s="138"/>
      <c r="I52" s="138"/>
      <c r="J52" s="138"/>
      <c r="L52" s="372" t="s">
        <v>97</v>
      </c>
      <c r="M52" s="370">
        <v>137.04868966000001</v>
      </c>
      <c r="N52" s="370">
        <v>143.58416572499999</v>
      </c>
    </row>
    <row r="53" spans="1:14" ht="10.5" customHeight="1">
      <c r="A53" s="442" t="s">
        <v>120</v>
      </c>
      <c r="B53" s="474">
        <v>1.309048545</v>
      </c>
      <c r="C53" s="474">
        <v>2.2851489999999997</v>
      </c>
      <c r="D53" s="439">
        <f t="shared" si="0"/>
        <v>-0.42714958849510465</v>
      </c>
      <c r="E53" s="138"/>
      <c r="F53" s="138"/>
      <c r="G53" s="138"/>
      <c r="H53" s="138"/>
      <c r="I53" s="138"/>
      <c r="J53" s="138"/>
      <c r="L53" s="372" t="s">
        <v>259</v>
      </c>
      <c r="M53" s="370">
        <v>212.83507803499998</v>
      </c>
      <c r="N53" s="370">
        <v>227.83383510500002</v>
      </c>
    </row>
    <row r="54" spans="1:14" ht="10.5" customHeight="1">
      <c r="A54" s="443" t="s">
        <v>118</v>
      </c>
      <c r="B54" s="473">
        <v>0.93832566250000005</v>
      </c>
      <c r="C54" s="473">
        <v>2.2873479625000002</v>
      </c>
      <c r="D54" s="437">
        <f t="shared" si="0"/>
        <v>-0.58977572372747378</v>
      </c>
      <c r="E54" s="138"/>
      <c r="F54" s="138"/>
      <c r="G54" s="138"/>
      <c r="H54" s="138"/>
      <c r="I54" s="138"/>
      <c r="J54" s="138"/>
      <c r="L54" s="372" t="s">
        <v>93</v>
      </c>
      <c r="M54" s="370">
        <v>223.85034798750002</v>
      </c>
      <c r="N54" s="370">
        <v>242.60455527000005</v>
      </c>
    </row>
    <row r="55" spans="1:14" ht="10.5" customHeight="1">
      <c r="A55" s="442" t="s">
        <v>504</v>
      </c>
      <c r="B55" s="474">
        <v>0.59677075000000002</v>
      </c>
      <c r="C55" s="474"/>
      <c r="D55" s="439" t="str">
        <f t="shared" si="0"/>
        <v/>
      </c>
      <c r="E55" s="138"/>
      <c r="F55" s="138"/>
      <c r="G55" s="138"/>
      <c r="H55" s="138"/>
      <c r="I55" s="138"/>
      <c r="J55" s="138"/>
      <c r="L55" s="372" t="s">
        <v>90</v>
      </c>
      <c r="M55" s="370">
        <v>273.97086321749998</v>
      </c>
      <c r="N55" s="370">
        <v>222.48350496999998</v>
      </c>
    </row>
    <row r="56" spans="1:14" ht="10.5" customHeight="1">
      <c r="A56" s="443" t="s">
        <v>121</v>
      </c>
      <c r="B56" s="473">
        <v>0.22986135499999999</v>
      </c>
      <c r="C56" s="473">
        <v>1.32845575E-2</v>
      </c>
      <c r="D56" s="437">
        <f t="shared" si="0"/>
        <v>16.302898873372332</v>
      </c>
      <c r="E56" s="138"/>
      <c r="F56" s="138"/>
      <c r="G56" s="138"/>
      <c r="H56" s="138"/>
      <c r="I56" s="138"/>
      <c r="J56" s="138"/>
      <c r="L56" s="370" t="s">
        <v>254</v>
      </c>
      <c r="M56" s="370">
        <v>286.77873005499998</v>
      </c>
      <c r="N56" s="370">
        <v>277.38072177999993</v>
      </c>
    </row>
    <row r="57" spans="1:14" ht="10.5" customHeight="1">
      <c r="A57" s="442" t="s">
        <v>122</v>
      </c>
      <c r="B57" s="474">
        <v>0.17120458500000002</v>
      </c>
      <c r="C57" s="474">
        <v>0.25669575750000001</v>
      </c>
      <c r="D57" s="439">
        <f t="shared" si="0"/>
        <v>-0.3330447426658385</v>
      </c>
      <c r="E57" s="138"/>
      <c r="F57" s="138"/>
      <c r="G57" s="138"/>
      <c r="H57" s="138"/>
      <c r="I57" s="138"/>
      <c r="J57" s="138"/>
      <c r="L57" s="372" t="s">
        <v>257</v>
      </c>
      <c r="M57" s="370">
        <v>342.54277557750004</v>
      </c>
      <c r="N57" s="370">
        <v>66.095459795000011</v>
      </c>
    </row>
    <row r="58" spans="1:14" ht="10.5" customHeight="1">
      <c r="A58" s="443" t="s">
        <v>261</v>
      </c>
      <c r="B58" s="473">
        <v>2.4378739999999999E-2</v>
      </c>
      <c r="C58" s="473">
        <v>0.15979007250000002</v>
      </c>
      <c r="D58" s="437">
        <f t="shared" si="0"/>
        <v>-0.84743269955021772</v>
      </c>
      <c r="E58" s="138"/>
      <c r="F58" s="138"/>
      <c r="G58" s="138"/>
      <c r="H58" s="138"/>
      <c r="I58" s="138"/>
      <c r="J58" s="138"/>
      <c r="L58" s="372" t="s">
        <v>91</v>
      </c>
      <c r="M58" s="370">
        <v>487.37559566250002</v>
      </c>
      <c r="N58" s="370">
        <v>475.94147823750001</v>
      </c>
    </row>
    <row r="59" spans="1:14" ht="10.5" customHeight="1">
      <c r="A59" s="442" t="s">
        <v>125</v>
      </c>
      <c r="B59" s="474">
        <v>0</v>
      </c>
      <c r="C59" s="474">
        <v>0</v>
      </c>
      <c r="D59" s="439" t="str">
        <f t="shared" si="0"/>
        <v/>
      </c>
      <c r="E59" s="138"/>
      <c r="F59" s="138"/>
      <c r="G59" s="138"/>
      <c r="H59" s="138"/>
      <c r="I59" s="138"/>
      <c r="J59" s="138"/>
      <c r="L59" s="370" t="s">
        <v>92</v>
      </c>
      <c r="M59" s="370">
        <v>558.98535928000001</v>
      </c>
      <c r="N59" s="370">
        <v>554.1659230775</v>
      </c>
    </row>
    <row r="60" spans="1:14" ht="10.5" customHeight="1">
      <c r="A60" s="443" t="s">
        <v>253</v>
      </c>
      <c r="B60" s="475">
        <v>0</v>
      </c>
      <c r="C60" s="475">
        <v>0</v>
      </c>
      <c r="D60" s="444" t="str">
        <f t="shared" si="0"/>
        <v/>
      </c>
      <c r="E60" s="138"/>
      <c r="F60" s="138"/>
      <c r="G60" s="138"/>
      <c r="H60" s="138"/>
      <c r="I60" s="138"/>
      <c r="J60" s="138"/>
      <c r="L60" s="372" t="s">
        <v>498</v>
      </c>
      <c r="M60" s="370">
        <v>589.98563520250002</v>
      </c>
      <c r="N60" s="370">
        <v>799.79759246499998</v>
      </c>
    </row>
    <row r="61" spans="1:14" ht="10.5" customHeight="1">
      <c r="A61" s="445" t="s">
        <v>262</v>
      </c>
      <c r="B61" s="474">
        <v>0</v>
      </c>
      <c r="C61" s="474">
        <v>23.174802917499999</v>
      </c>
      <c r="D61" s="439">
        <f t="shared" si="0"/>
        <v>-1</v>
      </c>
      <c r="E61" s="138"/>
      <c r="F61" s="138"/>
      <c r="G61" s="138"/>
      <c r="H61" s="138"/>
      <c r="I61" s="138"/>
      <c r="J61" s="138"/>
      <c r="L61" s="372"/>
      <c r="M61" s="370"/>
      <c r="N61" s="370"/>
    </row>
    <row r="62" spans="1:14" ht="12" customHeight="1">
      <c r="A62" s="408" t="s">
        <v>44</v>
      </c>
      <c r="B62" s="714">
        <f>SUM(B6:B61)</f>
        <v>4140.2414988374985</v>
      </c>
      <c r="C62" s="471">
        <f>SUM(C6:C61)</f>
        <v>3919.541494187501</v>
      </c>
      <c r="D62" s="409">
        <f t="shared" si="0"/>
        <v>5.6307607656988834E-2</v>
      </c>
      <c r="E62" s="138"/>
      <c r="F62" s="138"/>
      <c r="G62" s="138"/>
      <c r="H62" s="138"/>
      <c r="I62" s="138"/>
      <c r="J62" s="138"/>
    </row>
    <row r="63" spans="1:14" ht="36" customHeight="1">
      <c r="A63" s="913" t="str">
        <f>"Cuadro N° 6: Participación de las empresas generadoras del COES en la producción de energía eléctrica (GWh) en "&amp;'1. Resumen'!Q4</f>
        <v>Cuadro N° 6: Participación de las empresas generadoras del COES en la producción de energía eléctrica (GWh) en febrero</v>
      </c>
      <c r="B63" s="913"/>
      <c r="C63" s="913"/>
      <c r="D63" s="150"/>
      <c r="E63" s="912" t="str">
        <f>"Gráfico N° 10: Comparación de producción energética (GWh) de las empresas generadoras del COES en "&amp;'1. Resumen'!Q4</f>
        <v>Gráfico N° 10: Comparación de producción energética (GWh) de las empresas generadoras del COES en febrero</v>
      </c>
      <c r="F63" s="912"/>
      <c r="G63" s="912"/>
      <c r="H63" s="912"/>
      <c r="I63" s="912"/>
      <c r="J63" s="912"/>
    </row>
    <row r="64" spans="1:14" ht="12.75" customHeight="1">
      <c r="A64" s="914"/>
      <c r="B64" s="914"/>
      <c r="C64" s="914"/>
      <c r="D64" s="914"/>
      <c r="E64" s="914"/>
      <c r="F64" s="914"/>
      <c r="G64" s="914"/>
      <c r="H64" s="914"/>
      <c r="I64" s="914"/>
      <c r="J64" s="914"/>
    </row>
    <row r="65" spans="1:10" ht="12.75" customHeight="1">
      <c r="A65" s="914"/>
      <c r="B65" s="914"/>
      <c r="C65" s="914"/>
      <c r="D65" s="914"/>
      <c r="E65" s="914"/>
      <c r="F65" s="914"/>
      <c r="G65" s="914"/>
      <c r="H65" s="914"/>
      <c r="I65" s="914"/>
      <c r="J65" s="914"/>
    </row>
    <row r="66" spans="1:10" ht="12.75" customHeight="1">
      <c r="A66" s="914"/>
      <c r="B66" s="914"/>
      <c r="C66" s="914"/>
      <c r="D66" s="914"/>
      <c r="E66" s="914"/>
      <c r="F66" s="914"/>
      <c r="G66" s="914"/>
      <c r="H66" s="914"/>
      <c r="I66" s="914"/>
      <c r="J66" s="914"/>
    </row>
    <row r="67" spans="1:10">
      <c r="A67" s="914"/>
      <c r="B67" s="914"/>
      <c r="C67" s="914"/>
      <c r="D67" s="914"/>
      <c r="E67" s="914"/>
      <c r="F67" s="914"/>
      <c r="G67" s="914"/>
      <c r="H67" s="914"/>
      <c r="I67" s="914"/>
      <c r="J67" s="914"/>
    </row>
    <row r="68" spans="1:10">
      <c r="A68" s="906"/>
      <c r="B68" s="906"/>
      <c r="C68" s="906"/>
      <c r="D68" s="906"/>
      <c r="E68" s="906"/>
      <c r="F68" s="906"/>
      <c r="G68" s="906"/>
      <c r="H68" s="906"/>
      <c r="I68" s="906"/>
      <c r="J68" s="906"/>
    </row>
    <row r="69" spans="1:10">
      <c r="A69" s="907"/>
      <c r="B69" s="907"/>
      <c r="C69" s="907"/>
      <c r="D69" s="907"/>
      <c r="E69" s="907"/>
      <c r="F69" s="907"/>
      <c r="G69" s="907"/>
      <c r="H69" s="907"/>
      <c r="I69" s="907"/>
      <c r="J69" s="907"/>
    </row>
    <row r="70" spans="1:10">
      <c r="A70" s="906"/>
      <c r="B70" s="906"/>
      <c r="C70" s="906"/>
      <c r="D70" s="906"/>
      <c r="E70" s="906"/>
      <c r="F70" s="906"/>
      <c r="G70" s="906"/>
      <c r="H70" s="906"/>
      <c r="I70" s="906"/>
      <c r="J70" s="906"/>
    </row>
    <row r="71" spans="1:10">
      <c r="A71" s="907"/>
      <c r="B71" s="907"/>
      <c r="C71" s="907"/>
      <c r="D71" s="907"/>
      <c r="E71" s="907"/>
      <c r="F71" s="907"/>
      <c r="G71" s="907"/>
      <c r="H71" s="907"/>
      <c r="I71" s="907"/>
      <c r="J71" s="907"/>
    </row>
  </sheetData>
  <mergeCells count="14">
    <mergeCell ref="A68:J68"/>
    <mergeCell ref="A69:J69"/>
    <mergeCell ref="A70:J70"/>
    <mergeCell ref="A71:J71"/>
    <mergeCell ref="A2:I2"/>
    <mergeCell ref="A4:A5"/>
    <mergeCell ref="B4:D4"/>
    <mergeCell ref="G4:I4"/>
    <mergeCell ref="E63:J63"/>
    <mergeCell ref="A63:C63"/>
    <mergeCell ref="A66:J66"/>
    <mergeCell ref="A67:J67"/>
    <mergeCell ref="A64:J64"/>
    <mergeCell ref="A65:J65"/>
  </mergeCells>
  <pageMargins left="0.70866141732283472" right="0.59055118110236227" top="0.86614173228346458" bottom="0.62992125984251968" header="0.31496062992125984" footer="0.31496062992125984"/>
  <pageSetup orientation="portrait" r:id="rId1"/>
  <headerFooter>
    <oddHeader>&amp;R&amp;7Informe de la Operación Mensual - Febrero 2019
INFSGI-MES-02-2019
11/03/2019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23</vt:i4>
      </vt:variant>
    </vt:vector>
  </HeadingPairs>
  <TitlesOfParts>
    <vt:vector size="57"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'21. ANEXOII-1'!Print_Area</vt:lpstr>
      <vt:lpstr>'25.ANEXO III -1'!Print_Area</vt:lpstr>
      <vt:lpstr>'26.ANEXO III -2'!Print_Area</vt:lpstr>
      <vt:lpstr>'27.ANEXO III - 3'!Print_Area</vt:lpstr>
      <vt:lpstr>'28.ANEXO III - 4'!Print_Area</vt:lpstr>
      <vt:lpstr>'29.ANEXO III - 5'!Print_Area</vt:lpstr>
      <vt:lpstr>'30.ANEXO III -6'!Print_Area</vt:lpstr>
      <vt:lpstr>'31.ANEXOIII - 7'!Print_Area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2019-03-15T16:22:13Z</cp:lastPrinted>
  <dcterms:created xsi:type="dcterms:W3CDTF">2018-02-13T14:18:17Z</dcterms:created>
  <dcterms:modified xsi:type="dcterms:W3CDTF">2019-07-04T23:51:48Z</dcterms:modified>
</cp:coreProperties>
</file>