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7BB0B979-9710-484C-AED9-FA73EFA600C1}" xr6:coauthVersionLast="43" xr6:coauthVersionMax="43" xr10:uidLastSave="{00000000-0000-0000-0000-000000000000}"/>
  <bookViews>
    <workbookView xWindow="3510" yWindow="3510" windowWidth="7500" windowHeight="7170" tabRatio="924"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Contraportada" sheetId="59" r:id="rId30"/>
  </sheets>
  <definedNames>
    <definedName name="_xlnm._FilterDatabase" localSheetId="7" hidden="1">'6. FP RER'!$T$51:$V$54</definedName>
    <definedName name="_xlnm._FilterDatabase" localSheetId="8"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ANEXOI-3'!$A$1:$G$52</definedName>
    <definedName name="_xlnm.Print_Area" localSheetId="22">'21. ANEXOII-1'!$A$1:$F$81</definedName>
    <definedName name="_xlnm.Print_Area" localSheetId="24">'23. ANEXOII-3'!$A$1:$F$56</definedName>
    <definedName name="_xlnm.Print_Area" localSheetId="26">'25.ANEXO III -1'!$A$1:$F$12</definedName>
    <definedName name="_xlnm.Print_Area" localSheetId="27">'26.ANEXO III -2'!$A$1:$F$14</definedName>
    <definedName name="_xlnm.Print_Area" localSheetId="28">'27.ANEXO III - 3'!$A$1:$F$12</definedName>
    <definedName name="_xlnm.Print_Area" localSheetId="6">'5. RER'!$A$1:$K$61</definedName>
    <definedName name="_xlnm.Print_Area" localSheetId="7">'6. FP RER'!$A$1:$K$64</definedName>
    <definedName name="_xlnm.Print_Area" localSheetId="8">'7. Generacion empresa'!$A$1:$J$67</definedName>
    <definedName name="_xlnm.Print_Area" localSheetId="9">'8. Max Potencia'!$A$1:$K$62</definedName>
    <definedName name="_xlnm.Print_Area" localSheetId="10">'9. Pot. Empresa'!$A$1:$J$68</definedName>
    <definedName name="_xlnm.Print_Area" localSheetId="1">Índice!$A$1:$L$45</definedName>
    <definedName name="_xlnm.Print_Area" localSheetId="0">'Portada '!$A$1:$L$71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3" i="36" l="1"/>
  <c r="F62" i="36"/>
  <c r="F61" i="36"/>
  <c r="F60" i="36"/>
  <c r="F24" i="36" l="1"/>
  <c r="F23" i="36"/>
  <c r="F17" i="36"/>
  <c r="F16" i="36"/>
  <c r="H11" i="21" l="1"/>
  <c r="G11" i="21"/>
  <c r="G10" i="21"/>
  <c r="G9" i="21"/>
  <c r="H8" i="21"/>
  <c r="G7" i="21"/>
  <c r="I8" i="22" l="1"/>
  <c r="I9" i="22"/>
  <c r="I10" i="22"/>
  <c r="I11" i="22"/>
  <c r="I12" i="22"/>
  <c r="I7" i="22"/>
  <c r="J13" i="22"/>
  <c r="C7" i="44"/>
  <c r="C5" i="44"/>
  <c r="C6" i="44"/>
  <c r="I13" i="22" l="1"/>
  <c r="D37" i="6"/>
  <c r="M18" i="6"/>
  <c r="H14" i="6"/>
  <c r="I14" i="6"/>
  <c r="E5" i="36" l="1"/>
  <c r="E4" i="45" s="1"/>
  <c r="E4" i="46" s="1"/>
  <c r="E9" i="12"/>
  <c r="D9" i="12"/>
  <c r="C9" i="12"/>
  <c r="B9" i="12"/>
  <c r="B11" i="9"/>
  <c r="C11" i="9"/>
  <c r="D11" i="9"/>
  <c r="E11" i="9"/>
  <c r="F11" i="45"/>
  <c r="F12" i="45"/>
  <c r="F13" i="45"/>
  <c r="F14" i="45"/>
  <c r="F15" i="45"/>
  <c r="E3" i="45" l="1"/>
  <c r="E3" i="46" s="1"/>
  <c r="C13" i="22"/>
  <c r="D13" i="22"/>
  <c r="E13" i="22"/>
  <c r="F13" i="22"/>
  <c r="G13" i="22"/>
  <c r="H13" i="22"/>
  <c r="B13" i="22"/>
  <c r="B14" i="12" l="1"/>
  <c r="F14" i="8"/>
  <c r="G40" i="38"/>
  <c r="F40" i="38"/>
  <c r="A64" i="10" l="1"/>
  <c r="A43" i="10"/>
  <c r="E12" i="21" l="1"/>
  <c r="F12" i="21"/>
  <c r="D12" i="21"/>
  <c r="N14" i="18"/>
  <c r="G12" i="21" l="1"/>
  <c r="J11" i="9"/>
  <c r="H11" i="9"/>
  <c r="G11" i="9"/>
  <c r="D38" i="6" l="1"/>
  <c r="D6" i="16" l="1"/>
  <c r="C28" i="14" l="1"/>
  <c r="A38" i="22" l="1"/>
  <c r="F81" i="36" l="1"/>
  <c r="F80" i="36"/>
  <c r="F79" i="36"/>
  <c r="F6" i="36"/>
  <c r="F7" i="36"/>
  <c r="F8" i="36"/>
  <c r="F9" i="36"/>
  <c r="F10" i="36"/>
  <c r="F11" i="36"/>
  <c r="F12" i="36"/>
  <c r="F13" i="36"/>
  <c r="F14" i="36"/>
  <c r="F15" i="36"/>
  <c r="F18" i="36"/>
  <c r="F19" i="36"/>
  <c r="F20" i="36"/>
  <c r="F21" i="36"/>
  <c r="F22" i="36"/>
  <c r="F27" i="36"/>
  <c r="F28" i="36"/>
  <c r="F29" i="36"/>
  <c r="F30" i="36"/>
  <c r="F31" i="36"/>
  <c r="F32" i="36"/>
  <c r="F33" i="36"/>
  <c r="F34" i="36"/>
  <c r="F35" i="36"/>
  <c r="F36" i="36"/>
  <c r="F37" i="36"/>
  <c r="F38" i="36"/>
  <c r="F39" i="36"/>
  <c r="F40" i="36"/>
  <c r="F41" i="36"/>
  <c r="F42" i="36"/>
  <c r="F43" i="36"/>
  <c r="F44" i="36"/>
  <c r="F45" i="36"/>
  <c r="F46" i="36"/>
  <c r="F47" i="36"/>
  <c r="F48" i="36"/>
  <c r="F49" i="36"/>
  <c r="F50" i="36"/>
  <c r="F51" i="36"/>
  <c r="F52" i="36"/>
  <c r="F53" i="36"/>
  <c r="F54" i="36"/>
  <c r="F55" i="36"/>
  <c r="F56" i="36"/>
  <c r="F57" i="36"/>
  <c r="F58" i="36"/>
  <c r="F59" i="36"/>
  <c r="F64" i="36"/>
  <c r="F65" i="36"/>
  <c r="F66" i="36"/>
  <c r="F67" i="36"/>
  <c r="F68" i="36"/>
  <c r="F69" i="36"/>
  <c r="F70" i="36"/>
  <c r="F71" i="36"/>
  <c r="F72" i="36"/>
  <c r="F73" i="36"/>
  <c r="F74" i="36"/>
  <c r="F75" i="36"/>
  <c r="F76" i="36"/>
  <c r="F77" i="36"/>
  <c r="F78" i="36"/>
  <c r="F5" i="45"/>
  <c r="F6" i="45"/>
  <c r="F7" i="45"/>
  <c r="F8" i="45"/>
  <c r="F9" i="45"/>
  <c r="F10"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A63" i="11" l="1"/>
  <c r="F42" i="46" l="1"/>
  <c r="F41" i="46"/>
  <c r="F40" i="46"/>
  <c r="F39" i="46"/>
  <c r="F38" i="46"/>
  <c r="F37" i="46"/>
  <c r="F36" i="46"/>
  <c r="F35" i="46"/>
  <c r="F34" i="46"/>
  <c r="F33"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F22" i="8" l="1"/>
  <c r="B19" i="8"/>
  <c r="C19" i="8"/>
  <c r="D19" i="8"/>
  <c r="E19" i="8"/>
  <c r="J12" i="7"/>
  <c r="H12" i="7"/>
  <c r="G12" i="7"/>
  <c r="E12" i="7"/>
  <c r="D12" i="7"/>
  <c r="C12" i="7"/>
  <c r="B12" i="7"/>
  <c r="I18" i="12" l="1"/>
  <c r="F18" i="12"/>
  <c r="J14" i="12"/>
  <c r="H14" i="12"/>
  <c r="G14" i="12"/>
  <c r="E14" i="12"/>
  <c r="D14" i="12"/>
  <c r="C14" i="12"/>
  <c r="F14" i="12" l="1"/>
  <c r="I14" i="12"/>
  <c r="K14" i="12"/>
  <c r="F14" i="7" l="1"/>
  <c r="I14" i="7"/>
  <c r="K14" i="7"/>
  <c r="F15" i="7"/>
  <c r="I15" i="7"/>
  <c r="K15" i="7"/>
  <c r="C3" i="4"/>
  <c r="F43" i="46" l="1"/>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38" i="11" l="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12" i="9" l="1"/>
  <c r="F19" i="8" l="1"/>
  <c r="B47" i="4" l="1"/>
  <c r="A9" i="4"/>
  <c r="A50" i="21" l="1"/>
  <c r="A61" i="9" l="1"/>
  <c r="A34" i="9"/>
  <c r="A63" i="8"/>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F2" i="38" l="1"/>
  <c r="F9" i="8" l="1"/>
  <c r="C63" i="13" l="1"/>
  <c r="B63" i="13"/>
  <c r="D63" i="13" l="1"/>
  <c r="N29" i="18"/>
  <c r="N28" i="18"/>
  <c r="N27" i="18"/>
  <c r="N26" i="18"/>
  <c r="N25" i="18"/>
  <c r="N24" i="18"/>
  <c r="N23" i="18"/>
  <c r="N20" i="18"/>
  <c r="N19" i="18"/>
  <c r="N18" i="18"/>
  <c r="N17" i="18"/>
  <c r="N16" i="18"/>
  <c r="N15" i="18"/>
  <c r="N12" i="18"/>
  <c r="N11" i="18"/>
  <c r="N10" i="18"/>
  <c r="N9" i="18"/>
  <c r="N8" i="18"/>
  <c r="H47" i="4" l="1"/>
  <c r="B31" i="6" l="1"/>
  <c r="A54" i="22" l="1"/>
  <c r="B58" i="18"/>
  <c r="B40" i="18"/>
  <c r="B21" i="18"/>
  <c r="A58" i="12"/>
  <c r="F64" i="13"/>
  <c r="B18" i="12" l="1"/>
  <c r="B20" i="12" s="1"/>
  <c r="C18" i="12"/>
  <c r="D18" i="12"/>
  <c r="E18" i="12"/>
  <c r="E20" i="12" s="1"/>
  <c r="G18" i="12"/>
  <c r="H18" i="12"/>
  <c r="H20" i="12" s="1"/>
  <c r="J18" i="12"/>
  <c r="F38" i="6" l="1"/>
  <c r="F40" i="6"/>
  <c r="F11" i="14" l="1"/>
  <c r="F39" i="6" l="1"/>
  <c r="F37" i="6"/>
  <c r="A58" i="7" l="1"/>
  <c r="E36" i="6"/>
  <c r="E63" i="11" l="1"/>
  <c r="C45" i="10"/>
  <c r="D3" i="36" l="1"/>
  <c r="D2" i="45" s="1"/>
  <c r="D2" i="46" s="1"/>
  <c r="C3" i="36"/>
  <c r="C2" i="45" s="1"/>
  <c r="C2" i="46" s="1"/>
  <c r="F2" i="37"/>
  <c r="F3" i="23"/>
  <c r="C2" i="23"/>
  <c r="C1" i="37" s="1"/>
  <c r="C1" i="38" s="1"/>
  <c r="E17" i="22"/>
  <c r="A17" i="22"/>
  <c r="A14" i="22"/>
  <c r="A13" i="21"/>
  <c r="F6" i="21"/>
  <c r="E6" i="21"/>
  <c r="D6" i="21"/>
  <c r="B47" i="18"/>
  <c r="B28" i="18"/>
  <c r="B10" i="18"/>
  <c r="C31" i="16"/>
  <c r="E6" i="16"/>
  <c r="A64" i="13"/>
  <c r="B3" i="13"/>
  <c r="B5" i="11"/>
  <c r="C5" i="11" s="1"/>
  <c r="B4" i="11"/>
  <c r="G6" i="7"/>
  <c r="G4" i="8" s="1"/>
  <c r="G4" i="9" s="1"/>
  <c r="D7" i="7"/>
  <c r="E7" i="7" s="1"/>
  <c r="A57" i="6"/>
  <c r="B42" i="6"/>
  <c r="D5" i="8" l="1"/>
  <c r="C7" i="7"/>
  <c r="B7" i="7" s="1"/>
  <c r="B5" i="8" s="1"/>
  <c r="D4" i="46"/>
  <c r="C4" i="46"/>
  <c r="D3" i="46"/>
  <c r="C3" i="46"/>
  <c r="D4" i="45"/>
  <c r="C4" i="45"/>
  <c r="D3" i="45"/>
  <c r="C3" i="45"/>
  <c r="D4" i="36"/>
  <c r="D5" i="36"/>
  <c r="C5" i="36"/>
  <c r="C4" i="36"/>
  <c r="C6" i="13" l="1"/>
  <c r="B6" i="13"/>
  <c r="C5" i="13"/>
  <c r="B5" i="13"/>
  <c r="C5" i="8" l="1"/>
  <c r="C5" i="9" s="1"/>
  <c r="D5" i="9"/>
  <c r="B5" i="9"/>
  <c r="J23" i="8"/>
  <c r="E23" i="8"/>
  <c r="D23" i="8"/>
  <c r="C23" i="8"/>
  <c r="B23" i="8"/>
  <c r="K22" i="8"/>
  <c r="K21" i="8"/>
  <c r="I21" i="8"/>
  <c r="F21" i="8"/>
  <c r="F8" i="8"/>
  <c r="A2" i="8"/>
  <c r="A4" i="7"/>
  <c r="D36" i="6"/>
  <c r="D41" i="6"/>
  <c r="F39" i="9" l="1"/>
  <c r="F41" i="6"/>
  <c r="B12" i="9"/>
  <c r="G23" i="8"/>
  <c r="H23" i="8"/>
  <c r="I22" i="8"/>
  <c r="I20" i="4" l="1"/>
  <c r="C20" i="4"/>
  <c r="H12" i="21"/>
  <c r="F27" i="14"/>
  <c r="F26" i="14"/>
  <c r="F25" i="14"/>
  <c r="F24" i="14"/>
  <c r="F23" i="14"/>
  <c r="F22" i="14"/>
  <c r="F21" i="14"/>
  <c r="F20" i="14"/>
  <c r="F19" i="14"/>
  <c r="F18" i="14"/>
  <c r="F17" i="14"/>
  <c r="F16" i="14"/>
  <c r="F15" i="14"/>
  <c r="F14" i="14"/>
  <c r="F13" i="14"/>
  <c r="F12" i="14"/>
  <c r="F10" i="14"/>
  <c r="F9" i="14"/>
  <c r="F8" i="14"/>
  <c r="F7" i="14"/>
  <c r="K16" i="12"/>
  <c r="K13" i="12"/>
  <c r="I13" i="12"/>
  <c r="F13" i="12"/>
  <c r="K12" i="12"/>
  <c r="I12" i="12"/>
  <c r="F12" i="12"/>
  <c r="K11"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G20" i="12"/>
  <c r="J20" i="12"/>
  <c r="F10" i="12"/>
  <c r="K17" i="12"/>
  <c r="E12" i="9"/>
  <c r="C12" i="9"/>
  <c r="K7" i="9"/>
  <c r="I6" i="9"/>
  <c r="G19" i="8"/>
  <c r="F7" i="8"/>
  <c r="H19" i="8"/>
  <c r="J19" i="8"/>
  <c r="I12" i="7"/>
  <c r="E5" i="8"/>
  <c r="E5" i="9" s="1"/>
  <c r="I19" i="8" l="1"/>
  <c r="I20" i="12"/>
  <c r="K20" i="12"/>
  <c r="F40" i="9"/>
  <c r="M39" i="9" s="1"/>
  <c r="F20" i="12"/>
  <c r="K19" i="8"/>
  <c r="J12" i="9"/>
  <c r="G12" i="9"/>
  <c r="K12" i="7"/>
  <c r="I11" i="9"/>
  <c r="H12" i="9"/>
  <c r="F11" i="9"/>
  <c r="K11" i="9"/>
  <c r="D62" i="11" l="1"/>
  <c r="C62" i="11"/>
  <c r="B62" i="11"/>
</calcChain>
</file>

<file path=xl/sharedStrings.xml><?xml version="1.0" encoding="utf-8"?>
<sst xmlns="http://schemas.openxmlformats.org/spreadsheetml/2006/main" count="1607" uniqueCount="761">
  <si>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</si>
  <si>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</si>
  <si>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</si>
  <si>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</si>
  <si>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</si>
  <si>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</si>
  <si>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</si>
  <si>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</si>
  <si>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</si>
  <si>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</si>
  <si>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</si>
  <si>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</si>
  <si>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</si>
  <si>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</si>
  <si>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</si>
  <si>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</si>
  <si>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</si>
  <si>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</si>
  <si>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</si>
  <si>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</si>
  <si>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</si>
  <si>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</si>
  <si>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</si>
  <si>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</si>
  <si>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</si>
  <si>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</si>
  <si>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</si>
  <si>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</si>
  <si>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</si>
  <si>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</si>
  <si>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</si>
  <si>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</si>
  <si>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</si>
  <si>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</si>
  <si>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</si>
  <si>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</si>
  <si>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</si>
  <si>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</si>
  <si>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</si>
  <si>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</si>
  <si>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</si>
  <si>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</si>
  <si>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</si>
  <si>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</si>
  <si>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</si>
  <si>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</si>
  <si>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</si>
  <si>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</si>
  <si>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</si>
  <si>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</si>
  <si>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</si>
  <si>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</si>
  <si>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</si>
  <si>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</si>
  <si>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</si>
  <si>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</si>
  <si>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</si>
  <si>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</si>
  <si>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</si>
  <si>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</si>
  <si>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</si>
  <si>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</si>
  <si>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</si>
  <si>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</si>
  <si>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</si>
  <si>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</si>
  <si>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</si>
  <si>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</si>
  <si>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</si>
  <si>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</si>
  <si>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</si>
  <si>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</si>
  <si>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</si>
  <si>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</si>
  <si>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</si>
  <si>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</si>
  <si>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</si>
  <si>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</si>
  <si>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</si>
  <si>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</si>
  <si>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</si>
  <si>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</si>
  <si>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</si>
  <si>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</si>
  <si>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</si>
  <si>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</si>
  <si>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</si>
  <si>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</si>
  <si>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</si>
  <si>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</si>
  <si>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</si>
  <si>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</si>
  <si>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</si>
  <si>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</si>
  <si>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</si>
  <si>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</si>
  <si>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</si>
  <si>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</si>
  <si>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</si>
  <si>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</si>
  <si>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</si>
  <si>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</si>
  <si>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</si>
  <si>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</si>
  <si>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</si>
  <si>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</si>
  <si>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</si>
  <si>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</si>
  <si>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</si>
  <si>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</si>
  <si>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</si>
  <si>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</si>
  <si>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</si>
  <si>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</si>
  <si>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</si>
  <si>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</si>
  <si>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</si>
  <si>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</si>
  <si>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</si>
  <si>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</si>
  <si>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</si>
  <si>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</si>
  <si>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</si>
  <si>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</si>
  <si>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</si>
  <si>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</si>
  <si>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</si>
  <si>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</si>
  <si>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</si>
  <si>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</si>
  <si>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</si>
  <si>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</si>
  <si>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</si>
  <si>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</si>
  <si>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</si>
  <si>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</si>
  <si>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</si>
  <si>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</si>
  <si>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</si>
  <si>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</si>
  <si>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</si>
  <si>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</si>
  <si>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</si>
  <si>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</si>
  <si>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</si>
  <si>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</si>
  <si>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</si>
  <si>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</si>
  <si>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</si>
  <si>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</si>
  <si>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</si>
  <si>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</si>
  <si>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</si>
  <si>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</si>
  <si>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</si>
  <si>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</si>
  <si>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</si>
  <si>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</si>
  <si>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</si>
  <si>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</si>
  <si>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</si>
  <si>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</si>
  <si>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</si>
  <si>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</si>
  <si>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</si>
  <si>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</si>
  <si>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</si>
  <si>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</si>
  <si>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</si>
  <si>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</si>
  <si>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</si>
  <si>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</si>
  <si>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</si>
  <si>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</si>
  <si>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</si>
  <si>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</si>
  <si>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</si>
  <si>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</si>
  <si>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</si>
  <si>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</si>
  <si>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</si>
  <si>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</si>
  <si>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</si>
  <si>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</si>
  <si>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</si>
  <si>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</si>
  <si>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</si>
  <si>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</si>
  <si>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</si>
  <si>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</si>
  <si>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</si>
  <si>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</si>
  <si>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</si>
  <si>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</si>
  <si>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</si>
  <si>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</si>
  <si>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</si>
  <si>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</si>
  <si>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</si>
  <si>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</si>
  <si>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</si>
  <si>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</si>
  <si>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</si>
  <si>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</si>
  <si>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</si>
  <si>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</si>
  <si>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</si>
  <si>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</si>
  <si>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</si>
  <si>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</si>
  <si>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</si>
  <si>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</si>
  <si>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</si>
  <si>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</si>
  <si>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</si>
  <si>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</si>
  <si>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</si>
  <si>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</si>
  <si>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</si>
  <si>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</si>
  <si>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</si>
  <si>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</si>
  <si>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</si>
  <si>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HIDROELÉCTRICA</t>
  </si>
  <si>
    <t>TERMOELÉCTRICA</t>
  </si>
  <si>
    <t>EÓLICA</t>
  </si>
  <si>
    <t>Tensión  
(kV)</t>
  </si>
  <si>
    <t>Operación Comercial</t>
  </si>
  <si>
    <t>Central Solar</t>
  </si>
  <si>
    <t>POTENCIA INSTALADA (MW)</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</si>
  <si>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</si>
  <si>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</si>
  <si>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</si>
  <si>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</si>
  <si>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</si>
  <si>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</si>
  <si>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</si>
  <si>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</si>
  <si>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</si>
  <si>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</si>
  <si>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</si>
  <si>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</si>
  <si>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</si>
  <si>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</si>
  <si>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</si>
  <si>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</si>
  <si>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</si>
  <si>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</si>
  <si>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</si>
  <si>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</si>
  <si>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</si>
  <si>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</si>
  <si>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</si>
  <si>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</si>
  <si>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</si>
  <si>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</si>
  <si>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</si>
  <si>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</si>
  <si>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</si>
  <si>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</si>
  <si>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</si>
  <si>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</si>
  <si>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</si>
  <si>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</si>
  <si>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</si>
  <si>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</si>
  <si>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</si>
  <si>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</si>
  <si>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</si>
  <si>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</si>
  <si>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</si>
  <si>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</si>
  <si>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</si>
  <si>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</si>
  <si>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</si>
  <si>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</si>
  <si>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</si>
  <si>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</si>
  <si>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</si>
  <si>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</si>
  <si>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</si>
  <si>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</si>
  <si>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</si>
  <si>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</si>
  <si>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</si>
  <si>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</si>
  <si>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</si>
  <si>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</si>
  <si>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</si>
  <si>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</si>
  <si>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</si>
  <si>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</si>
  <si>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</si>
  <si>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</si>
  <si>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</si>
  <si>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</si>
  <si>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</si>
  <si>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</si>
  <si>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</si>
  <si>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</si>
  <si>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</si>
  <si>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</si>
  <si>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</si>
  <si>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</si>
  <si>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</si>
  <si>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</si>
  <si>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</si>
  <si>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</si>
  <si>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</si>
  <si>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</si>
  <si>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</si>
  <si>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</si>
  <si>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</si>
  <si>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</si>
  <si>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</si>
  <si>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</si>
  <si>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</si>
  <si>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</si>
  <si>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</si>
  <si>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</si>
  <si>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</si>
  <si>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</si>
  <si>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YANAPAMPA Total</t>
  </si>
  <si>
    <t>C.H. MANTARO</t>
  </si>
  <si>
    <t>C.H. RESTITUCION</t>
  </si>
  <si>
    <t>C.T. TUMBES</t>
  </si>
  <si>
    <t>ELECTROPERU Total</t>
  </si>
  <si>
    <t>C.H. CHAGLLA</t>
  </si>
  <si>
    <t>P.C.H CHAGLLA</t>
  </si>
  <si>
    <t>EMGE HUALLAGA Total</t>
  </si>
  <si>
    <t>C.H. HUANZA</t>
  </si>
  <si>
    <t>EMGE HUANZA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</si>
  <si>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</si>
  <si>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</si>
  <si>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</si>
  <si>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</si>
  <si>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</si>
  <si>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</si>
  <si>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</si>
  <si>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</si>
  <si>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</si>
  <si>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</si>
  <si>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</si>
  <si>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</si>
  <si>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</si>
  <si>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</si>
  <si>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</si>
  <si>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</si>
  <si>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</si>
  <si>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</si>
  <si>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</si>
  <si>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</si>
  <si>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</si>
  <si>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</si>
  <si>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</si>
  <si>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</si>
  <si>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</si>
  <si>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</si>
  <si>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</si>
  <si>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</si>
  <si>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</si>
  <si>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</si>
  <si>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</si>
  <si>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</si>
  <si>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</si>
  <si>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</si>
  <si>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</si>
  <si>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</si>
  <si>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</si>
  <si>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</si>
  <si>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</si>
  <si>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</si>
  <si>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</si>
  <si>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</si>
  <si>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</si>
  <si>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</si>
  <si>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</si>
  <si>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</si>
  <si>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</si>
  <si>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</si>
  <si>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</si>
  <si>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</si>
  <si>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</si>
  <si>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</si>
  <si>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</si>
  <si>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</si>
  <si>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</si>
  <si>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</si>
  <si>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</si>
  <si>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</si>
  <si>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</si>
  <si>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</si>
  <si>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</si>
  <si>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</si>
  <si>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</si>
  <si>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</si>
  <si>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</si>
  <si>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</si>
  <si>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</si>
  <si>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</si>
  <si>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</si>
  <si>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</si>
  <si>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</si>
  <si>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</si>
  <si>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</si>
  <si>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</si>
  <si>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</si>
  <si>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</si>
  <si>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</si>
  <si>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</si>
  <si>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</si>
  <si>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</si>
  <si>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</si>
  <si>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</si>
  <si>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</si>
  <si>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</si>
  <si>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</si>
  <si>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</si>
  <si>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</si>
  <si>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</si>
  <si>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</si>
  <si>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</si>
  <si>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</si>
  <si>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</si>
  <si>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</si>
  <si>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</si>
  <si>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</si>
  <si>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</si>
  <si>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</si>
  <si>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</si>
  <si>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</si>
  <si>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</si>
  <si>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</si>
  <si>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</si>
  <si>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</si>
  <si>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</si>
  <si>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</si>
  <si>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</si>
  <si>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</si>
  <si>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</si>
  <si>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</si>
  <si>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</si>
  <si>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</si>
  <si>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</si>
  <si>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</si>
  <si>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</si>
  <si>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</si>
  <si>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</si>
  <si>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</si>
  <si>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</si>
  <si>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</si>
  <si>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</si>
  <si>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</si>
  <si>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</si>
  <si>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</si>
  <si>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</si>
  <si>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</si>
  <si>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</si>
  <si>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</si>
  <si>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</si>
  <si>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</si>
  <si>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</si>
  <si>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</si>
  <si>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</si>
  <si>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</si>
  <si>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</si>
  <si>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</si>
  <si>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</si>
  <si>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</si>
  <si>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</si>
  <si>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</si>
  <si>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</si>
  <si>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</si>
  <si>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</si>
  <si>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</si>
  <si>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</si>
  <si>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</si>
  <si>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</si>
  <si>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</si>
  <si>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</si>
  <si>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ENLACE CENTRO - SUR</t>
  </si>
  <si>
    <t>Central Eólica</t>
  </si>
  <si>
    <t>Máxima Demanda:</t>
  </si>
  <si>
    <t>KALLPA</t>
  </si>
  <si>
    <t>PETRAMAS</t>
  </si>
  <si>
    <t>12:00</t>
  </si>
  <si>
    <t>HYDRO PATAPO</t>
  </si>
  <si>
    <t>C.H. ÁNGEL II</t>
  </si>
  <si>
    <t>C.H. ÁNGEL III</t>
  </si>
  <si>
    <t>C.H. ÁNGEL I</t>
  </si>
  <si>
    <t>C.H. HER 1</t>
  </si>
  <si>
    <t>HYDRO PATAPO Total</t>
  </si>
  <si>
    <t>Lagunas Rajucolta (ORAZUL)</t>
  </si>
  <si>
    <t>Central a Biogás</t>
  </si>
  <si>
    <t>TRANSMANTARO</t>
  </si>
  <si>
    <t>ANDEAN POWER</t>
  </si>
  <si>
    <t>ANDEAN POWER Total</t>
  </si>
  <si>
    <t>8. EVENTOS Y FALLAS QUE OCASIONARON INTERRUPCIÓN Y DISMINUCIÓN DE SUMINISTRO ELÉCTRICO</t>
  </si>
  <si>
    <t>Turbina Francis</t>
  </si>
  <si>
    <t>C.H. CARHUAC</t>
  </si>
  <si>
    <t>ELECTRO ZAÑA</t>
  </si>
  <si>
    <t>ELECTRO ZAÑA Total</t>
  </si>
  <si>
    <t>HIDROMARAÑON/ CELEPSA RENOVABLES Total</t>
  </si>
  <si>
    <t>C.H. Zaña</t>
  </si>
  <si>
    <t>TOTAL MWh</t>
  </si>
  <si>
    <t>Var (%)
2019/2018</t>
  </si>
  <si>
    <t>C.H. ZAÑA</t>
  </si>
  <si>
    <t>HIDROMARAÑON/ CELEPSA RENOVABLES</t>
  </si>
  <si>
    <t>Variación 2019/2018 (GWh)</t>
  </si>
  <si>
    <t>Variación 2019/2018 (MW)</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</si>
  <si>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</si>
  <si>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</si>
  <si>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</si>
  <si>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</si>
  <si>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</si>
  <si>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</si>
  <si>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</si>
  <si>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</si>
  <si>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</si>
  <si>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19:00</t>
  </si>
  <si>
    <t>TRANSFORMADOR 3D</t>
  </si>
  <si>
    <t>C.E. WAYRA I</t>
  </si>
  <si>
    <t>C.S. RUBI</t>
  </si>
  <si>
    <t>C.S. INTIPAMPA</t>
  </si>
  <si>
    <t>C.T. DOÑA CATALINA</t>
  </si>
  <si>
    <t>INLAND</t>
  </si>
  <si>
    <t>SAN JACINTO</t>
  </si>
  <si>
    <t>T62-161  T6-261</t>
  </si>
  <si>
    <t>MARCONA</t>
  </si>
  <si>
    <t>L-2051 L-2052  L-5034  L-5036</t>
  </si>
  <si>
    <t>C.H. CERRO DEL AGUILA</t>
  </si>
  <si>
    <t>C.T. OLLEROS</t>
  </si>
  <si>
    <t>C.H. SANTA TERESA</t>
  </si>
  <si>
    <t>INLAND Total</t>
  </si>
  <si>
    <t>SAN JACINTO Total</t>
  </si>
  <si>
    <t>Var. (2019/2018)</t>
  </si>
  <si>
    <t>2019 / 2018</t>
  </si>
  <si>
    <t>15.02.2019</t>
  </si>
  <si>
    <t>L. PUNO - POMATA - ILAVE - LINEA L-6027</t>
  </si>
  <si>
    <t>ELECTRO NOR OESTE</t>
  </si>
  <si>
    <t>HYDROPATAPO</t>
  </si>
  <si>
    <t>15.03.2019</t>
  </si>
  <si>
    <t>Turbina Kaplan</t>
  </si>
  <si>
    <t>C.H. Patapo</t>
  </si>
  <si>
    <t>18:45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</si>
  <si>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</si>
  <si>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y C.T. San Jacinto.</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</si>
  <si>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</si>
  <si>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</si>
  <si>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</si>
  <si>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</si>
  <si>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</si>
  <si>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</si>
  <si>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</si>
  <si>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G1 ; G2 ; G3</t>
  </si>
  <si>
    <t>Turbina Pelton</t>
  </si>
  <si>
    <t>5.2. EVOLUCIÓN DEL VOLUMEN DE LOS EMBALSES Y LAGUNAS</t>
  </si>
  <si>
    <t>5.1. VOLUMEN ÚTIL DE LOS EMBALSES Y LAGUNAS (Millones de m3)</t>
  </si>
  <si>
    <t>VARIACIÓN
%</t>
  </si>
  <si>
    <t>8.1. FALLAS POR TIPO DE EQUIPO Y CAUSA SEGÚN CLASIFICACIÓN CIER</t>
  </si>
  <si>
    <t>C.H. CALLAHUANCA  (3)</t>
  </si>
  <si>
    <t>C.T. SAN JACINTO  (4)</t>
  </si>
  <si>
    <t>C.H. ZAÑA  (1)</t>
  </si>
  <si>
    <t>C.H. PATAPO  (2)</t>
  </si>
  <si>
    <t>7.1. HORAS DE CONGESTIÓN POR ÁREA OPERATIVA</t>
  </si>
  <si>
    <t>2. MODIFICACIÓN DE LA OFERTA DE GENERACIÓN ELÉCTRICA DEL SEIN EN EL 2019</t>
  </si>
  <si>
    <t>EÓLICAS</t>
  </si>
  <si>
    <t>L. PARAMONGA N. - 09 DE OCTUBRE - LINEA L-6655</t>
  </si>
  <si>
    <t>16:00</t>
  </si>
  <si>
    <t>AGROINDUSTRIAS SAN JACINTO</t>
  </si>
  <si>
    <t>Turbina de Vapor</t>
  </si>
  <si>
    <t>C.T. San Jacinto</t>
  </si>
  <si>
    <t>TV1</t>
  </si>
  <si>
    <t>13.04.2019</t>
  </si>
  <si>
    <t>- Los valores de potencia efectiva de las centrales corresponden a la declaración de sus propietarios en los ingresos de operación comercial.</t>
  </si>
  <si>
    <t>RIO BAÑOS</t>
  </si>
  <si>
    <t>RIO BAÑOS Total</t>
  </si>
  <si>
    <t>C.H. RUCUY  (5)</t>
  </si>
  <si>
    <t>C.H. CHANCAY  (6)</t>
  </si>
  <si>
    <t>C.H. CALLAHUANCA (3)</t>
  </si>
  <si>
    <t>20:30</t>
  </si>
  <si>
    <t>CHAVARRIA 220</t>
  </si>
  <si>
    <t>(1) Inicio de operación comercial de la unidad G1 de la C.H. Zaña, propiedad de ELECTROZAÑA S.A.C. a las 00:00 horas del 15.02.2019</t>
  </si>
  <si>
    <t>(2) Inicio de operación comercial de la C.H. Patapo, propiedad de HYDROPATAPO. a las 00:00 horas del 15.03.2019</t>
  </si>
  <si>
    <t>(3)  Inicio de  operación comercial de la C.H. Callahuanca, propiedad de la empresa ENEL GENERACIÓN PERÚ.a las 00:00 horas del 30.03.2019</t>
  </si>
  <si>
    <t>(4) Inicio de  operación comercial de la C.T. San Jacinto, propiedad de la empresa AGROINDUSTRIAS SAN JACINTO S.A.A. a las 00:00 horas del 13.04.2019</t>
  </si>
  <si>
    <t>2.1.  INICIO DE OPERACIÓN COMERCIAL EN EL SEIN</t>
  </si>
  <si>
    <t>2.1. Inicio de Operación Comercial en el SEIN</t>
  </si>
  <si>
    <t>23:15</t>
  </si>
  <si>
    <t>SEAL</t>
  </si>
  <si>
    <t>COELVISAC</t>
  </si>
  <si>
    <t>L. INDEPENDENCIA - VILLACURÍ (COELVISAC) - LINEA L-6607</t>
  </si>
  <si>
    <t>L. ARICOTA 2 - TOMASIRI - LINEA L-6620</t>
  </si>
  <si>
    <t>EMPRESA DE GENERACION ELECTRICA SANTA ANA</t>
  </si>
  <si>
    <t>L. LA NIÑA 500 - TRUJILLO 500 - LINEA L-5010</t>
  </si>
  <si>
    <t>19:30</t>
  </si>
  <si>
    <t>19:45</t>
  </si>
  <si>
    <t>TRANSFORMADOR 2D</t>
  </si>
  <si>
    <t>JUNIO 2017</t>
  </si>
  <si>
    <t>C.T. ILO 1</t>
  </si>
  <si>
    <t>EMPRESA DE GENERACIÓN ELÉCTRICA RIO BAÑOS</t>
  </si>
  <si>
    <t>C.H. Rucuy</t>
  </si>
  <si>
    <t>01.06.2019</t>
  </si>
  <si>
    <t xml:space="preserve">G1 ; G2 </t>
  </si>
  <si>
    <t>SINDICATO ENERGETICO S.A.</t>
  </si>
  <si>
    <t>C.H. Chancay</t>
  </si>
  <si>
    <t>04.06.2019</t>
  </si>
  <si>
    <t>HIDROELÉCTRICAS</t>
  </si>
  <si>
    <t>(6) Inicio de  operación comercial de la  C.H. Chancay propiedad de SINDICATO ENERGÉTICO S.A. (SINERSA). a las 00:00 horas del 04.06.2019</t>
  </si>
  <si>
    <t>(5) Inicio de  operación comercial de la C.H. Rucuy propiedad de EMPRESA DE GENERACION ELECTRICA RIO BAÑOS S.A.C. a las 00:00 horas del 01.06.2019</t>
  </si>
  <si>
    <t>1.1. Producción de energía eléctrica en julio 2019 en comparación al mismo mes del año anterior</t>
  </si>
  <si>
    <t>julio</t>
  </si>
  <si>
    <t>ELECTRO CENTRO</t>
  </si>
  <si>
    <t>L. COBRIZA II - MACHAHUAY - LINEA L-6061</t>
  </si>
  <si>
    <t>Desconectó la línea L-6061 (Cobriza II - Machahuay) de 69 kV por falla monofásica a tierra en la fase “S”, de acuerdo a lo informado por ELECTROCENTRO, titular de la línea, la falla se produjo por descarga y colapso en pararrayos. El sistema de protección señalizó la activación de la función de distancia (21). Como consecuencia se interrumpió el suministro de las subestaciones Machahuay y Huanta con un total de 0,20 MW y 1,66 MW, respectivamente. A las 17:29 h, se conectó la línea y se inició la normalización del suministro interrumpido.</t>
  </si>
  <si>
    <t>S.E. TRUJILLO SUR - TRAFO TP-A026-30MVA</t>
  </si>
  <si>
    <t>Desconectó la barra "C" de 10 kV de la S.E. Trujillo Sur, por falla. De acuerdo con lo informado por HIDRANDINA, titular del equipo, la falla se produjo por contacto de animal con la barra. Como consecuencia se interrumpió parte del suministro de la S.E. Trujillo Sur con un total de 3,30 MW. A las 10:43 h, se energizó la barra y se inició la normalización del suministro interrumpido.</t>
  </si>
  <si>
    <t>SOUTHERN PERU CC</t>
  </si>
  <si>
    <t>L. MILL SITE - LIXIVIACIÓN - LINEA L-1389</t>
  </si>
  <si>
    <t>Desconectó la línea L-1389 (Mill Site – Lixiviación) de 138 kV, de acuerdo a lo informado por SOUTHERN PERÚ, titular de la línea, la desconexión se produjo durante la energización del transformador LT2 en la S.E. Lixiviación. Como consecuencia se interrumpió el suministro de la S.E. Lixiviación con un total de 26,20 MW. A las 12:15 h, se conectó la línea y inició la normalización del suministro interrumpido.</t>
  </si>
  <si>
    <t>L. LA NIÑA - BAYÓVAR - LINEA L-1137</t>
  </si>
  <si>
    <t>Desconectó la línea L-1137 (La Niña - Bayóvar) de 138 kV por falla monofásica a tierra en la fase “S”, cuya causa no fue informada por TRANSMANTARO, titular de la línea. El sistema de protección señalizó la activación de la función de distancia (21) en Zona 2 y ubicó la falla a 39,5 km de la S.E. La Niña. Como consecuencia se interrumpió el suministro de la S.E. Bayóvar con un total de 13,30 MW, aproximadamente. A las 23:16 h, se conectó la línea y se inició la normalización del suministro interrumpido.</t>
  </si>
  <si>
    <t>Se produjo un recierre monofásico exitoso en la línea L-5010 (Trujillo Nueva – La Niña) de 500 kV, por falla monofásica a tierra en la fase “S”. De acuerdo con lo informado por TRANSMANTARO, titular de la línea, el motivo de la falla se encuentra en investigación. El sistema de protección señalizó la activación de la función de distancia (21) y ubicó la falla a 286,0 km de la S.E. La Niña. Como consecuencia los usuarios libres SIDER PERÚ, MINERA YANACOCHA y CEMENTOS PACASMAYO redujeron su carga en 4,30 MW, 11,22 MW y 1,97 MW, respectivamente. No se produjo interrupción de suministros en el SEIN.</t>
  </si>
  <si>
    <t>L. MACHUPICCHU - CACHIMAYO - LINEA L-1001</t>
  </si>
  <si>
    <t>Desconectaron simultáneamente las líneas L-1001 (Machupicchu – Cachimayo) y L-1002 (Machupicchu - Quencoro) de 138 kV, por fallas monofásica a tierra en la fase “S” y bifásica entre las fases “R” y “S”, respectivamente. De acuerdo con lo informado por EGEMSA, titular de las líneas, la falla fue ocasionada por posible colisión de helicóptero. Como consecuencia el usuario libre INDUSTRIAS CACHIMAYO redujo su carga de 23,28 MW a 18,00 MW. A las 16:02 h, el CCO-COES coordinó con el CC-CAC normalizar el total de sus suministros reducidos. Las líneas quedaron fuera de servicio para su inspección.</t>
  </si>
  <si>
    <t>S.E. PQUE. INDUSTRIAL_AQ - TRAFO T41-31</t>
  </si>
  <si>
    <t>Desconectó el transformador T4 de 138/33 kV de la S.E. Parque Industrial, por falla. De acuerdo con lo informado por SEAL, titular del equipo, la falla se produjo en el cable subterráneo de salida del transformador. El sistema de protección señalizó la activación de la función diferencial del transformador (87). Como consecuencia se interrumpió el suministro de la S.E. Parque Industrial con un total de 28,05 MW. A las 11:22 h, se conectó el transformador y se inició la normalización del suministro interrumpido.</t>
  </si>
  <si>
    <t>S.E. COMBAPATA - TRAFO3D T46-162</t>
  </si>
  <si>
    <t>Desconectó el transformador T46-162 de 138/60/24 kV de la S.E. Combapata, por falla monofásica a tierra en la fase “S”. De acuerdo con lo informado por REP, titular del equipo, la falla se produjo por error de maniobra en el seccionador SB-6602 del lado de 60 kV. El sistema de protección señalizó la activación de la función de sobre corriente de fases (51). Como consecuencia se interrumpió el suministro de la S.E. Combapata con un total de 3,61 MW. A las 13:19 h, se energizó el transformador y se inició la normalización del suministro interrumpido.</t>
  </si>
  <si>
    <t>S.E. INDEPENDENCIA - BARRA BARRA10</t>
  </si>
  <si>
    <t>Desconectó la barra de 10 kV de la S.E. Independencia, cuya causa no fue informada por REP, titular del equipo. Como consecuencia se interrumpió el suministro de la barra de 10 kV de la S.E. Independencia con un total de 1,30 MW. A las 10:55 h, se energizó la barra y se inició la normalización del suministro interrumpido.</t>
  </si>
  <si>
    <t>1,86</t>
  </si>
  <si>
    <t>3,3</t>
  </si>
  <si>
    <t>26,2</t>
  </si>
  <si>
    <t>13,3</t>
  </si>
  <si>
    <t>17,49</t>
  </si>
  <si>
    <t>5,28</t>
  </si>
  <si>
    <t>28,05</t>
  </si>
  <si>
    <t>3,56</t>
  </si>
  <si>
    <t>1,3</t>
  </si>
  <si>
    <t>ABY TRANSMISIÓN SUR</t>
  </si>
  <si>
    <t>L. CHILCA CTM - POROMA - LINEA L-5032</t>
  </si>
  <si>
    <t>Se produjo un recierre monofásico exitoso en la línea L-5032 (Chilca – Poroma) de 500 kV, por falla monofásica a tierra en la fase “R”. De acuerdo con lo informado por ABY TRANSMISIÓN SUR, titular de la línea, la falla fue ocasionada por descarga en un aislador de soporte de la fase "R" del BCS-5382. El sistema de protección señalizó la activación de la función diferencial de línea (87). Como consecuencia los usuarios libres SOUTHERN PERÚ y MINERA CERRO VERDE redujeron su carga en 10,10 MW y 159,00 MW, respectivamente. No se produjo interrupción de suministros en el SEIN.</t>
  </si>
  <si>
    <t>L. PIURA OESTE - SULLANA - LINEA L-6698</t>
  </si>
  <si>
    <t>Desconectaron la línea L-6698 (Piura Oeste – Sullana) de 60 kV por falla monofásica a tierra en la fase “T” y la celda de la línea L-6662A (Sullana – La Huaca) de 60 kV en la S.E. La Huaca. De acuerdo con lo informado por ENOSA, titular de los equipos, la falla se produjo por contacto de ave de rapiña con la estructura N°128 de la línea L-6698. Como consecuencia se interrumpió el suministro de las subestaciones Sullana, Poechos y Quiroz con un total de 21,89 MW y desconectó la C.H. Poechos I cuando generaba 4,34 MW. A las 07:49 h, se conectó la línea L-6698 y se inició la normalización del suministro interrumpido.</t>
  </si>
  <si>
    <t>Se produjo un recierre monofásico exitoso en la línea L-5032 (Chilca – Poroma) de 500 kV, por falla monofásica a tierra en la fase “S”. De acuerdo con lo informado por TRANSMANTARO, titular de la línea, la falla fue ocasionada por contaminación en aisladores. El sistema de protección señalizó la activación de la función de distancia (21) y ubicó la falla a 61,0 km de la S.E. Trujillo Nueva. Como consecuencia, el usuario libre CEMENTOS PACASMAYO redujo su carga en 11,17 MW. A las 06:52 h, el CCO-COES coordinó con el CC-CNP normalizar el total de sus suministros reducidos. No se produjo interrupción de suministros en el SEIN.</t>
  </si>
  <si>
    <t>TRANSMISORA ELECTRICA DEL SUR 3 S.A.C. -TESUR 3</t>
  </si>
  <si>
    <t>S.E. LOS HÉROES - TRAFO3D TR-2</t>
  </si>
  <si>
    <t>Desconectó el transformador TR-2 220/66 kV de la S.E. Los Héroes, cuya causa no fue informada por TESUR 3, titular del equipo. Asimismo desconectaron las líneas L-6620 (Aricota 2 – Tomasiri) y L-6637 (Tomasiri – Los Héroes) de 66 kV. Como consecuencia se interrumpió el suministro de las subestaciones Los Héroes, Tacna, La Yarada, Parque Industrial, Tomasiri y Pucamarca con un total de 41,00 MW. A las 15:39 h, se conectó el transformador y se inició la normalización del suministro interrumpido.</t>
  </si>
  <si>
    <t>Desconectaron las líneas L-6637 (Los Héroes – Tomasiri) y L-6620 ( Tomasiri - Aricota 2) de 66 kV, de acuerdo a lo informado por EGESUR, titular de las líneas la desconexión de las líneas se produjo por perdida de aislamiento en la fase "T" de la línea L-6620 por presencia de humedad. El sistema de protección señalizó la activación de la función de sobre corriente de fase a tierra (51N). Como consecuencia se interrumpió el suministro de la S.E. Tomasiri con un total de 1,10 MW. A las 21:17 h, se conectó la línea L-6620 y se inició la normalización del suministro interrumpido. La línea L-6637 quedó fuera de servicio para su inspección. A las 13:49 h del 10/07/2019 la línea entró en servicio.</t>
  </si>
  <si>
    <t>INVERSIONES SHAQSHA S.A.C.</t>
  </si>
  <si>
    <t>S.E. COBRIZA II - SSEE SSEE</t>
  </si>
  <si>
    <t>A las 22:38 h, salió de servicio la S.E. Cobriza II de 69 kV, debido a inundación por derrame de relave de la Mina Cobriza, según informe de INVERSIONES SHAQSHA S.A.C., titular de la subestación, como consecuencia a las 22:43 h, desconectaron las líneas L-6061/L-6062 (Cobriza II - Machahuay - Huanta) de 69 kV, según informado por ELECTROCENTRO, titular de las líneas. El sistema de protección señalizó la activación de la función de distancia (21). Como consecuencia se interrumpió el suministro de la S.E. Cobriza II con un total de 9,45 MW. Asimismo se desconectó el transformador 69/10/4.16 kV de la S.E. Cobriza II por actuación de su protección diferencial (87T). Las líneas quedaron fuera de servicio para su inspección.</t>
  </si>
  <si>
    <t>EMPRESA TRANSMISORA DE  CAJABAMBA S.A.C.</t>
  </si>
  <si>
    <t>S.E. PAMPA HONDA - SSEE SS.EE.</t>
  </si>
  <si>
    <t>Desconectó el transformador TPO-083 de la S.E. Pampa Honda por actuación de la función de sobreflujo del relé principal SEL 487E. De acuerdo a lo informado por ATN, operador del transformador, la desconexión se produjo cuando se realizaba la desconexión del SVC de la SE Cajamarca Norte. Como consecuencia se interrumpió la carga de la S.E. Pampa Honda con 2.03 MW y en la S.E. Cerro Corona se produjo una reducción de carga de 4.45 MW   . A las 10:49 h, se conectó el transformador y se procedió a recuperar la carga interrumpida.</t>
  </si>
  <si>
    <t>MINERA ANTAMINA</t>
  </si>
  <si>
    <t>L. VIZCARRA - ANTAMINA - LINEA L-2255</t>
  </si>
  <si>
    <t>Se produjo reducción de carga de Minera Antamina de 100 MW hasta 30 MW, por causa que se investiga, CC-CMA informó que detectaron arranque de protecciones de las líneas L-2255/L-2286 (Vizcarra - Antamina) de 220 kV. A las 15:47 h, CC-CMA informó la reducción de carga de 70 MW y se coordinó recuperar toda su carga.</t>
  </si>
  <si>
    <t>L. CACHIMAYO - ABANCAY - LINEA L-1007</t>
  </si>
  <si>
    <t>Desconectó la línea L-1007 (Cachimayo - Abancay) de 138 kV por falla bifásica a tierra R-S, de acuerdo a lo informado por REP titular de la línea, cabe mencionar que las líneas L-1001 (Machupicchu - Cachimayo) de 138 kV y L-1002 (Machupicchu - Quencoro) de 138 kV se encontraban indisponibles. Como consecuencia se interrumpió 23.07 MW del cliente Industrias Cachimayo. A las 16:25 h entró en servicio la línea L-1007 y se coordinó recuperar la carga interrumpida.</t>
  </si>
  <si>
    <t>L. AZÁNGARO - ANTAUTA - LINEA L-6021</t>
  </si>
  <si>
    <t>Desconexión de la línea L-6021 (Azángaro-Antauta) de 60 kV por falla debido a actuación de su protección 87 L, según lo informado por ELPU. Como consecuencia se interrumpio 1.3 MW. A las 17:10 h, en servicio la línea L-6021.</t>
  </si>
  <si>
    <t>169,1</t>
  </si>
  <si>
    <t>21,89</t>
  </si>
  <si>
    <t>11,17</t>
  </si>
  <si>
    <t>44,1</t>
  </si>
  <si>
    <t>1,1</t>
  </si>
  <si>
    <t>9,45</t>
  </si>
  <si>
    <t>3,88</t>
  </si>
  <si>
    <t>Se produjo la desconexión de la línea L-6655 (Paramonga Nueva - 9 de octubre) de 66 KV de acuerdo a lo informado por Hidrandina, titular de la línea, el relé de la línea señalizó falla a tierra en la fase "T". Como consecuencia se interrumpieron los suministros de las SS.EE. Huarmey y Puerto Antamina con un total de 4.6 MW. A la 01:06 h, el CC-HDN declaró disponible la línea. A la 01:14 h, se conectó la línea con lo cual se inició el restablecimiento del suministro interrumpido.</t>
  </si>
  <si>
    <t>ENEL GENERACION PERU S.A.A.</t>
  </si>
  <si>
    <t>C.T. VENTANILLA - GT TV</t>
  </si>
  <si>
    <t>Desconectó la turbina a vapor TV de la CT Ventanilla (gas) con 145 MW por falla en los servicios auxiliares (480 VAC) cuando operaba en ciclo combinado 2x1 (TG3+TG4+TV). La causa se encuentra en investigación. Como consecuencia, se activó en forma incorrecta la Etapa 3 del ERACMF en las subestaciones El Carmen (0.11 MW) y Pueblo Nuevo (1.55 MW) de Electrodunas. La activación fue incorrecta ya que no se presentaron las condiciones para activar el ERACMF por derivada en Etapa 3.A las 03:31 h, se coordinó con Electrodunas normalizar el suministro interrumpido, A las 05:02 h, el CC-EDG, declaró disponible la unidad TV de la CT Ventanilla.</t>
  </si>
  <si>
    <t>L. Derv. PUNTAYACU - LA VIRGEN - LINEA L-6089</t>
  </si>
  <si>
    <t>Desconectó la línea L-6087/6089 (La Virgen - Derv. Puntayacu - Chanchamayo) de 60 kV, por falla cuyas causas no fueron informadas  por ELECTROCENTRO y EMPRESA DE GENERACIÓN ELÉCTRICA SANTA ANA, titulares de las líneas. El localizador de falla del relé de distancia REL650 instalado en la S.E. La Virgen ubico la falla a 12.7 km. Como consecuencia se interrumpió el suministro de la S.E. Chanchamayo con un total de 5 MW, aproximadamente y desconectó la C.H. Renovandes con un total de 20.28 MW. A las 12:16 h, se conectó la línea y se inició la normalización del suministro interrumpido.</t>
  </si>
  <si>
    <t>Desconectó la línea L-6087/6089 (La Virgen - Derv. Puntayacu - Chanchamayo) de 60 kV, por causas no informadas por la Empresa de Generación Eléctrica Santa Ana y Electrocentro, titulares de las líneas. El localizador de falla del relé de distancia REL650 instalado en la S.E. La Virgen ubico la falla a 12.6 km. Como consecuencia, se interrumpió el suministro de la S.E. Chanchamayo con un total de 4,50 MW, aproximadamente y desconectó la C.H. Renovandes con un total de 20.07 MW. A las 14:40 h, se conectó la línea L-6089 y se inició la normalización del suministro interrumpido. A las 14:42 h, se conectó la línea L-6085 (Chanchamayo-Renovandes) de 60 kV. A las 15:50 h, se conectó la C.H. Renovandes.</t>
  </si>
  <si>
    <t>Desconectó la línea L-6027 (Puno-Ilave-Pomata) de 60 kV por actuación de su protección de sobrecorriente originada por fuertes vientos según lo informado por parte de EPU, titular de la línea. Como consecuencia, salio de servicio las subestaciones Ilave-Pomata con 7.17 MW en total. A las 18:02 h, se conectó la línea L-6027 y EPU inicio la recuperación total de la carga.</t>
  </si>
  <si>
    <t>Desconectó la línea L-6027 (Puno-Ilave-Pomata) de 60 kV por actuación de su protección de sobrecorriente originada por falla cuya causa no ha sido informada por parte de EPU, titular de la línea. Como consecuencia, salio de servicio las subestaciones Ilave-Pomata con 7.88 MW en total. A las 18:58 h, se conectó la línea L-6027 y EPU inicio la recuperación total de la carga.</t>
  </si>
  <si>
    <t>Desconectó la línea L-6027 (Puno-Ilave-Pomata) de 60 kV por actuación de su protección de sobrecorriente originada por falla cuya causa no ha sido informada por parte de EPU, titular de la línea. Como consecuencia, salio de servicio las subestaciones Ilave-Pomata con 7.24 MW en total. A las 19:23 h, se conectó la línea L-6027 y EPU inicio la recuperación total de la carga.</t>
  </si>
  <si>
    <t>Desconectó la línea L-6607 (Independencia - Villacurí) de 60 kV, cuya causa no fue informada por COELVISAC, titular de la línea. Como consecuencia se interrumpio en las SS.EE. Villacuri y Huanrango un total de 23 MW. A las 11:08 h se cerró el enlace L-6508 (Huarango - Tacana) recuperando parcialmente la carga de las SS.EE. Villacuri y Huarango de acuerdo a la capacidad de la línea L-6508. A las 13:35 h la línea L-6607 entro en servicio procediendo a normalizar las cargas de las SS.EE. Villacuri y Huarango. A las 13:38 h se aperturo la línea L-6508 en el extremo de la S.E. Tacama.</t>
  </si>
  <si>
    <t>4,6</t>
  </si>
  <si>
    <t>1,66</t>
  </si>
  <si>
    <t>0,2</t>
  </si>
  <si>
    <t>4,3</t>
  </si>
  <si>
    <t>7,17</t>
  </si>
  <si>
    <t>7,88</t>
  </si>
  <si>
    <t>7,24</t>
  </si>
  <si>
    <t>01/07/2019</t>
  </si>
  <si>
    <t>02/07/2019</t>
  </si>
  <si>
    <t>17:00</t>
  </si>
  <si>
    <t>03/07/2019</t>
  </si>
  <si>
    <t>04/07/2019</t>
  </si>
  <si>
    <t>05/07/2019</t>
  </si>
  <si>
    <t>16:45</t>
  </si>
  <si>
    <t>06/07/2019</t>
  </si>
  <si>
    <t>12:15</t>
  </si>
  <si>
    <t>07/07/2019</t>
  </si>
  <si>
    <t>08/07/2019</t>
  </si>
  <si>
    <t>11:00</t>
  </si>
  <si>
    <t>19:15</t>
  </si>
  <si>
    <t>09/07/2019</t>
  </si>
  <si>
    <t>10/07/2019</t>
  </si>
  <si>
    <t>20:15</t>
  </si>
  <si>
    <t>11/07/2019</t>
  </si>
  <si>
    <t>12/07/2019</t>
  </si>
  <si>
    <t>13/07/2019</t>
  </si>
  <si>
    <t>14/07/2019</t>
  </si>
  <si>
    <t>15/07/2019</t>
  </si>
  <si>
    <t>16/07/2019</t>
  </si>
  <si>
    <t>15:30</t>
  </si>
  <si>
    <t>17/07/2019</t>
  </si>
  <si>
    <t>18/07/2019</t>
  </si>
  <si>
    <t>19/07/2019</t>
  </si>
  <si>
    <t>20/07/2019</t>
  </si>
  <si>
    <t>21/07/2019</t>
  </si>
  <si>
    <t>22/07/2019</t>
  </si>
  <si>
    <t>23/07/2019</t>
  </si>
  <si>
    <t>24/07/2019</t>
  </si>
  <si>
    <t>25/07/2019</t>
  </si>
  <si>
    <t>26/07/2019</t>
  </si>
  <si>
    <t>27/07/2019</t>
  </si>
  <si>
    <t>28/07/2019</t>
  </si>
  <si>
    <t>29/07/2019</t>
  </si>
  <si>
    <t>30/07/2019</t>
  </si>
  <si>
    <t>31/07/2019</t>
  </si>
  <si>
    <t>GENERADOR TERMOELÉCTRICO</t>
  </si>
  <si>
    <t>SUBESTACION</t>
  </si>
  <si>
    <t>SAN JUAN - SANTA ROSA N.</t>
  </si>
  <si>
    <t>CAMPO ARMIÑO - POMACOCHA</t>
  </si>
  <si>
    <t>POROMA - YARABAMBA</t>
  </si>
  <si>
    <t>L-2011</t>
  </si>
  <si>
    <t>L-2201  L-2202</t>
  </si>
  <si>
    <t>L-1133 L-1134</t>
  </si>
  <si>
    <t>CERRO DEL AGUILA</t>
  </si>
  <si>
    <t>CERRO DEL AGUILA Total</t>
  </si>
  <si>
    <t>ECELIM</t>
  </si>
  <si>
    <t>ECELIM Total</t>
  </si>
  <si>
    <t>VOLUMEN ÚTIL
31-07-2019</t>
  </si>
  <si>
    <t>VOLUMEN ÚTIL
31-07-2018</t>
  </si>
  <si>
    <t>La producción de energía eléctrica con centrales eólicas fue de 130,33 GWh y con centrales solares fue de 49,36 GWh, los cuales tuvieron una participación de 3,57% y 1,3% respectivamente.</t>
  </si>
  <si>
    <t>JULIO 2019</t>
  </si>
  <si>
    <t>JULIO 2018</t>
  </si>
  <si>
    <t>[2] La empresa ELÉCTRICA SANTA ROSA S.A.C. cambió su razón social al nombre ATRIA ENERGÍA S.A.C. con fecha 26 junio 2019.</t>
  </si>
  <si>
    <t xml:space="preserve">El total de la producción de energía eléctrica de la empresas generadoras integrantes del COES en el mes de julio 2019 fue de 4 397,94  GWh, lo que representa un incremento de 197,93 GWh (4,71%) en comparación con el año 2018.							</t>
  </si>
  <si>
    <t>La producción de electricidad con centrales hidroeléctricas durante el mes de julio 2019 fue de 2 070,95 GWh (3,66% mayor al registrado durante julio del año 2018).</t>
  </si>
  <si>
    <t xml:space="preserve">La producción de electricidad con centrales termoeléctricas durante el mes de julio 2019 fue de 2 112,52 GWh, 4,45% mayor al registrado durante julio del año 2018. La participación del gas natural de Camisea fue de 45,26%, mientras que las del gas que proviene de los yacimientos de Aguaytía y Malacas fue del 2,08%, la producción con diesel, residual, carbón, biogás y bagazo tuvieron una intervención del 0,02%, 0,00%, 0,09%, 0,14%, 0,44% respectivamente.	</t>
  </si>
  <si>
    <t>(8) La empresa ELÉCTRICA SANTA ROSA S.A.C. cambió su razón social al nombre ATRIA ENERGÍA S.A.C. con fecha 26 junio 2019.</t>
  </si>
  <si>
    <t/>
  </si>
  <si>
    <t>[1] Fusión por absorción por parte de Empresa de Generación Eléctrica Junín S.A.C. (sociedad absorbente) hacia Hidroeléctrica Santa Cruz S.A.C. (Sociedad Absorbida), Vigente desde las 00:00 horas del 01/06/2019.</t>
  </si>
  <si>
    <t>(7) Fusión por absorción por parte de Empresa de Generación Eléctrica Junín S.A.C. (sociedad absorbente) hacia Hidroeléctrica Santa Cruz S.A.C. (Sociedad Absorbida), Vigente desde las 00:00 horas del 01/06/2019.</t>
  </si>
  <si>
    <t>SANTA CRUZ / EMGEJUNIN [1]</t>
  </si>
  <si>
    <t>ELECTRICA SANTA ROSA / ATRIA [2]</t>
  </si>
  <si>
    <r>
      <t xml:space="preserve">SANTA CRUZ / EMGEJUNIN </t>
    </r>
    <r>
      <rPr>
        <sz val="6"/>
        <color theme="1"/>
        <rFont val="Arial"/>
        <family val="2"/>
      </rPr>
      <t>(7)</t>
    </r>
  </si>
  <si>
    <r>
      <t xml:space="preserve">ELECTRICA SANTA ROSA / ATRIA </t>
    </r>
    <r>
      <rPr>
        <sz val="6"/>
        <color theme="1"/>
        <rFont val="Arial"/>
        <family val="2"/>
      </rPr>
      <t>(8)</t>
    </r>
  </si>
  <si>
    <t>ELECTRICA SANTA ROSA / ATRIA (8)</t>
  </si>
  <si>
    <t>SANTA CRUZ / EMGEJUNIN (7)</t>
  </si>
  <si>
    <t>SANTA CRUZ / EMGEJUNIN  Total</t>
  </si>
  <si>
    <t>ELECTRICA SANTA ROSA / ATRIA Total</t>
  </si>
  <si>
    <t>ELECTRICA SANTA ROSA / ATRIA. Total</t>
  </si>
  <si>
    <t>SANTA CRUZ / EMGEJUNIN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</si>
</sst>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91">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
      <sz val="8"/>
      <color rgb="FFFF0000"/>
      <name val="Arial"/>
      <family val="2"/>
    </font>
    <font>
      <b/>
      <sz val="11"/>
      <color rgb="FFFF0000"/>
      <name val="Arial"/>
      <family val="2"/>
    </font>
    <font>
      <sz val="5"/>
      <color theme="0" tint="-0.34998626667073579"/>
      <name val="Arial"/>
      <family val="2"/>
    </font>
    <font>
      <b/>
      <sz val="5"/>
      <color theme="0" tint="-0.34998626667073579"/>
      <name val="Arial"/>
      <family val="2"/>
    </font>
    <font>
      <sz val="8"/>
      <color theme="0"/>
      <name val="Arial"/>
      <family val="2"/>
    </font>
    <font>
      <sz val="5"/>
      <color theme="0"/>
      <name val="Arial"/>
      <family val="2"/>
    </font>
    <font>
      <b/>
      <sz val="5"/>
      <color theme="0"/>
      <name val="Arial"/>
      <family val="2"/>
    </font>
    <font>
      <sz val="7"/>
      <color theme="0"/>
      <name val="Arial"/>
      <family val="2"/>
    </font>
    <font>
      <b/>
      <sz val="5.5"/>
      <name val="Arial"/>
      <family val="2"/>
    </font>
    <font>
      <b/>
      <sz val="8"/>
      <color theme="1" tint="0.249977111117893"/>
      <name val="Arial"/>
      <family val="2"/>
    </font>
    <font>
      <sz val="5"/>
      <color rgb="FFFF000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hair">
        <color theme="4"/>
      </left>
      <right style="hair">
        <color theme="4"/>
      </right>
      <top style="thin">
        <color theme="0" tint="-0.34998626667073579"/>
      </top>
      <bottom style="hair">
        <color theme="4"/>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4"/>
      </left>
      <right style="hair">
        <color theme="4"/>
      </right>
      <top style="hair">
        <color theme="4"/>
      </top>
      <bottom style="thin">
        <color theme="0" tint="-0.34998626667073579"/>
      </bottom>
      <diagonal/>
    </border>
    <border>
      <left style="hair">
        <color theme="4"/>
      </left>
      <right style="hair">
        <color theme="4"/>
      </right>
      <top style="thin">
        <color theme="0" tint="-0.34998626667073579"/>
      </top>
      <bottom style="thin">
        <color theme="0" tint="-0.34998626667073579"/>
      </bottom>
      <diagonal/>
    </border>
    <border>
      <left style="hair">
        <color theme="4"/>
      </left>
      <right style="thin">
        <color theme="0" tint="-0.34998626667073579"/>
      </right>
      <top style="thin">
        <color theme="0" tint="-0.34998626667073579"/>
      </top>
      <bottom style="thin">
        <color theme="0" tint="-0.34998626667073579"/>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hair">
        <color theme="4"/>
      </right>
      <top style="thin">
        <color theme="0" tint="-0.34998626667073579"/>
      </top>
      <bottom/>
      <diagonal/>
    </border>
    <border>
      <left style="hair">
        <color theme="4"/>
      </left>
      <right style="hair">
        <color theme="4"/>
      </right>
      <top style="thin">
        <color theme="0" tint="-0.34998626667073579"/>
      </top>
      <bottom/>
      <diagonal/>
    </border>
    <border>
      <left style="hair">
        <color theme="4"/>
      </left>
      <right style="thin">
        <color theme="0" tint="-0.34998626667073579"/>
      </right>
      <top style="thin">
        <color theme="0" tint="-0.34998626667073579"/>
      </top>
      <bottom/>
      <diagonal/>
    </border>
    <border>
      <left style="hair">
        <color theme="4"/>
      </left>
      <right style="hair">
        <color theme="4"/>
      </right>
      <top/>
      <bottom/>
      <diagonal/>
    </border>
    <border>
      <left style="hair">
        <color theme="4"/>
      </left>
      <right style="hair">
        <color theme="4"/>
      </right>
      <top/>
      <bottom style="thin">
        <color theme="0" tint="-0.34998626667073579"/>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1014">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4" fontId="27" fillId="0" borderId="96" xfId="0" applyNumberFormat="1" applyFont="1" applyBorder="1" applyAlignment="1">
      <alignment vertical="center"/>
    </xf>
    <xf numFmtId="4" fontId="27" fillId="0" borderId="96" xfId="0" applyNumberFormat="1" applyFont="1" applyBorder="1"/>
    <xf numFmtId="4" fontId="27" fillId="6" borderId="96" xfId="0" applyNumberFormat="1" applyFont="1" applyFill="1" applyBorder="1"/>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7"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14" fontId="27" fillId="0" borderId="96" xfId="0" applyNumberFormat="1" applyFont="1" applyBorder="1"/>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xf>
    <xf numFmtId="0" fontId="60" fillId="0" borderId="72" xfId="0" applyFont="1" applyBorder="1" applyAlignment="1">
      <alignment horizontal="justify" vertical="center"/>
    </xf>
    <xf numFmtId="0" fontId="60" fillId="0" borderId="72" xfId="0" applyFont="1" applyBorder="1" applyAlignment="1">
      <alignment horizontal="center"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4" fontId="32" fillId="3" borderId="0" xfId="0" applyNumberFormat="1"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0" xfId="0" applyFont="1" applyFill="1" applyBorder="1" applyAlignment="1">
      <alignment vertical="center"/>
    </xf>
    <xf numFmtId="170" fontId="27" fillId="4" borderId="100" xfId="0" applyNumberFormat="1" applyFont="1" applyFill="1" applyBorder="1" applyAlignment="1">
      <alignment vertical="center"/>
    </xf>
    <xf numFmtId="167" fontId="33" fillId="4" borderId="100"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8" borderId="0" xfId="0" applyFont="1" applyFill="1"/>
    <xf numFmtId="0" fontId="0" fillId="8"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7" borderId="0" xfId="3" applyFont="1" applyFill="1"/>
    <xf numFmtId="172" fontId="66" fillId="7"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9" xfId="0" applyFont="1" applyBorder="1"/>
    <xf numFmtId="43" fontId="31" fillId="0" borderId="89"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9"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73" fillId="0" borderId="0" xfId="0" applyFont="1" applyAlignment="1">
      <alignment horizontal="right"/>
    </xf>
    <xf numFmtId="0" fontId="63" fillId="0" borderId="0" xfId="0" applyFont="1" applyAlignment="1">
      <alignment horizontal="right"/>
    </xf>
    <xf numFmtId="168" fontId="31" fillId="2" borderId="84" xfId="0" applyNumberFormat="1" applyFont="1" applyFill="1" applyBorder="1" applyAlignment="1">
      <alignment horizontal="center" vertical="center" wrapText="1"/>
    </xf>
    <xf numFmtId="0" fontId="31" fillId="2" borderId="84" xfId="2" applyNumberFormat="1" applyFont="1" applyFill="1" applyBorder="1" applyAlignment="1">
      <alignment horizontal="center" vertical="center" wrapText="1"/>
    </xf>
    <xf numFmtId="2" fontId="31" fillId="2" borderId="84" xfId="2" applyNumberFormat="1" applyFont="1" applyFill="1" applyBorder="1" applyAlignment="1">
      <alignment horizontal="center" vertical="center" wrapText="1"/>
    </xf>
    <xf numFmtId="4" fontId="31" fillId="2" borderId="84" xfId="0" applyNumberFormat="1" applyFont="1" applyFill="1" applyBorder="1" applyAlignment="1">
      <alignment horizontal="center" vertical="center" wrapText="1"/>
    </xf>
    <xf numFmtId="0" fontId="31" fillId="2" borderId="84"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4" fillId="0" borderId="0" xfId="0" applyFont="1" applyAlignment="1">
      <alignment horizontal="right" vertical="center"/>
    </xf>
    <xf numFmtId="0" fontId="36" fillId="9" borderId="0" xfId="0" quotePrefix="1" applyFont="1" applyFill="1" applyAlignment="1">
      <alignment horizontal="center" vertical="center" wrapText="1"/>
    </xf>
    <xf numFmtId="17" fontId="36" fillId="9" borderId="82" xfId="0" applyNumberFormat="1" applyFont="1" applyFill="1" applyBorder="1" applyAlignment="1">
      <alignment horizontal="center" vertical="center" wrapText="1"/>
    </xf>
    <xf numFmtId="169" fontId="36" fillId="9" borderId="82" xfId="0" applyNumberFormat="1" applyFont="1" applyFill="1" applyBorder="1" applyAlignment="1">
      <alignment horizontal="center" vertical="center" wrapText="1"/>
    </xf>
    <xf numFmtId="0" fontId="36" fillId="9" borderId="82" xfId="0" applyFont="1" applyFill="1" applyBorder="1" applyAlignment="1">
      <alignment horizontal="center" vertical="center" wrapText="1"/>
    </xf>
    <xf numFmtId="0" fontId="36" fillId="9" borderId="83" xfId="0" applyFont="1" applyFill="1" applyBorder="1" applyAlignment="1">
      <alignment horizontal="center" vertical="center" wrapText="1"/>
    </xf>
    <xf numFmtId="0" fontId="36" fillId="9" borderId="97" xfId="0" quotePrefix="1" applyFont="1" applyFill="1" applyBorder="1" applyAlignment="1">
      <alignment horizontal="left" vertical="center"/>
    </xf>
    <xf numFmtId="168" fontId="36" fillId="9" borderId="98" xfId="0" applyNumberFormat="1" applyFont="1" applyFill="1" applyBorder="1" applyAlignment="1">
      <alignment horizontal="right" vertical="center"/>
    </xf>
    <xf numFmtId="168" fontId="36" fillId="9" borderId="98" xfId="0" applyNumberFormat="1" applyFont="1" applyFill="1" applyBorder="1" applyAlignment="1">
      <alignment horizontal="left" vertical="center"/>
    </xf>
    <xf numFmtId="0" fontId="36" fillId="9" borderId="98" xfId="2" applyNumberFormat="1" applyFont="1" applyFill="1" applyBorder="1" applyAlignment="1">
      <alignment horizontal="left" vertical="center"/>
    </xf>
    <xf numFmtId="0" fontId="36" fillId="9" borderId="99" xfId="2" applyNumberFormat="1" applyFont="1" applyFill="1" applyBorder="1" applyAlignment="1">
      <alignment horizontal="center" vertical="center"/>
    </xf>
    <xf numFmtId="4" fontId="36" fillId="9" borderId="84" xfId="0" applyNumberFormat="1" applyFont="1" applyFill="1" applyBorder="1" applyAlignment="1">
      <alignment horizontal="center" vertical="center"/>
    </xf>
    <xf numFmtId="0" fontId="36" fillId="9" borderId="84" xfId="0"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45" xfId="1" applyNumberFormat="1" applyFont="1" applyFill="1" applyBorder="1" applyAlignment="1">
      <alignment horizontal="center" vertical="center"/>
    </xf>
    <xf numFmtId="0" fontId="2" fillId="9" borderId="45" xfId="0" applyFont="1" applyFill="1" applyBorder="1" applyAlignment="1">
      <alignment horizontal="center" vertical="center"/>
    </xf>
    <xf numFmtId="0" fontId="2" fillId="9" borderId="57" xfId="1" applyNumberFormat="1" applyFont="1" applyFill="1" applyBorder="1" applyAlignment="1">
      <alignment horizontal="center" vertical="center"/>
    </xf>
    <xf numFmtId="0" fontId="2" fillId="9" borderId="57" xfId="0" applyFont="1" applyFill="1" applyBorder="1" applyAlignment="1">
      <alignment horizontal="center" vertical="center"/>
    </xf>
    <xf numFmtId="14" fontId="2" fillId="9" borderId="57" xfId="0" applyNumberFormat="1" applyFont="1" applyFill="1" applyBorder="1" applyAlignment="1">
      <alignment horizontal="center" vertical="center" wrapText="1"/>
    </xf>
    <xf numFmtId="20" fontId="2" fillId="9" borderId="57" xfId="0" applyNumberFormat="1" applyFont="1" applyFill="1" applyBorder="1" applyAlignment="1">
      <alignment horizontal="center" vertical="center" wrapText="1"/>
    </xf>
    <xf numFmtId="0" fontId="2" fillId="9" borderId="65" xfId="0"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17" fontId="2" fillId="9" borderId="66" xfId="0" quotePrefix="1" applyNumberFormat="1"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0" fontId="2" fillId="9" borderId="68" xfId="0" applyFont="1" applyFill="1" applyBorder="1" applyAlignment="1">
      <alignment horizontal="center" vertical="center" wrapText="1"/>
    </xf>
    <xf numFmtId="43" fontId="36" fillId="9" borderId="69" xfId="1" applyFont="1" applyFill="1" applyBorder="1" applyAlignment="1">
      <alignment horizontal="center" vertical="center" wrapText="1"/>
    </xf>
    <xf numFmtId="0" fontId="36" fillId="9" borderId="70" xfId="0" applyFont="1" applyFill="1" applyBorder="1" applyAlignment="1">
      <alignment horizontal="center" vertical="center" wrapText="1"/>
    </xf>
    <xf numFmtId="0" fontId="36" fillId="9" borderId="71" xfId="0" applyFont="1" applyFill="1" applyBorder="1" applyAlignment="1">
      <alignment horizontal="center" vertical="center" wrapText="1"/>
    </xf>
    <xf numFmtId="0" fontId="36" fillId="9" borderId="72" xfId="0" applyFont="1" applyFill="1" applyBorder="1" applyAlignment="1">
      <alignment vertical="center" wrapText="1"/>
    </xf>
    <xf numFmtId="0" fontId="36" fillId="9" borderId="73" xfId="0" applyFont="1" applyFill="1" applyBorder="1" applyAlignment="1">
      <alignment horizontal="center" vertical="center" wrapText="1"/>
    </xf>
    <xf numFmtId="0" fontId="36" fillId="9" borderId="74" xfId="0" applyFont="1" applyFill="1" applyBorder="1" applyAlignment="1">
      <alignment vertical="center" wrapText="1"/>
    </xf>
    <xf numFmtId="4" fontId="36" fillId="9" borderId="57" xfId="0" applyNumberFormat="1" applyFont="1" applyFill="1" applyBorder="1" applyAlignment="1">
      <alignment vertical="center"/>
    </xf>
    <xf numFmtId="0" fontId="36" fillId="9" borderId="93" xfId="0" applyFont="1" applyFill="1" applyBorder="1" applyAlignment="1">
      <alignment vertical="center"/>
    </xf>
    <xf numFmtId="4" fontId="36" fillId="9" borderId="93" xfId="0" applyNumberFormat="1" applyFont="1" applyFill="1" applyBorder="1" applyAlignment="1">
      <alignment vertical="center"/>
    </xf>
    <xf numFmtId="4" fontId="72" fillId="9" borderId="57" xfId="0" applyNumberFormat="1" applyFont="1" applyFill="1" applyBorder="1" applyAlignment="1">
      <alignment vertical="center"/>
    </xf>
    <xf numFmtId="17" fontId="36" fillId="11" borderId="45" xfId="6" quotePrefix="1" applyNumberFormat="1" applyFont="1" applyFill="1" applyBorder="1" applyAlignment="1">
      <alignment horizontal="center" vertical="center" wrapText="1"/>
    </xf>
    <xf numFmtId="0" fontId="36" fillId="11" borderId="45" xfId="6" quotePrefix="1" applyFont="1" applyFill="1" applyBorder="1" applyAlignment="1">
      <alignment horizontal="center" vertical="center" wrapText="1"/>
    </xf>
    <xf numFmtId="0" fontId="36" fillId="11" borderId="45" xfId="6" applyFont="1" applyFill="1" applyBorder="1" applyAlignment="1">
      <alignment horizontal="center" vertical="center" wrapText="1"/>
    </xf>
    <xf numFmtId="14" fontId="36" fillId="11" borderId="45" xfId="6" applyNumberFormat="1" applyFont="1" applyFill="1" applyBorder="1" applyAlignment="1">
      <alignment horizontal="center" vertical="center"/>
    </xf>
    <xf numFmtId="20" fontId="36" fillId="11" borderId="94" xfId="6" applyNumberFormat="1" applyFont="1" applyFill="1" applyBorder="1" applyAlignment="1">
      <alignment horizontal="center" vertical="center"/>
    </xf>
    <xf numFmtId="174" fontId="41" fillId="9" borderId="96" xfId="0" applyNumberFormat="1" applyFont="1" applyFill="1" applyBorder="1" applyAlignment="1">
      <alignment horizontal="center" vertical="center"/>
    </xf>
    <xf numFmtId="174" fontId="41" fillId="9" borderId="96" xfId="0" applyNumberFormat="1" applyFont="1" applyFill="1" applyBorder="1" applyAlignment="1">
      <alignment horizontal="center" vertical="center" wrapText="1"/>
    </xf>
    <xf numFmtId="0" fontId="36" fillId="9" borderId="72" xfId="0" applyFont="1" applyFill="1" applyBorder="1" applyAlignment="1">
      <alignment horizontal="center" vertical="center"/>
    </xf>
    <xf numFmtId="43" fontId="36" fillId="9" borderId="72" xfId="1" applyFont="1" applyFill="1" applyBorder="1" applyAlignment="1">
      <alignment horizontal="center" vertical="center"/>
    </xf>
    <xf numFmtId="4" fontId="36" fillId="9" borderId="72" xfId="0" applyNumberFormat="1" applyFont="1" applyFill="1" applyBorder="1" applyAlignment="1">
      <alignment horizontal="center" vertical="center"/>
    </xf>
    <xf numFmtId="0" fontId="36" fillId="9" borderId="72" xfId="0" applyFont="1" applyFill="1" applyBorder="1" applyAlignment="1">
      <alignment horizontal="center" vertical="center" wrapText="1"/>
    </xf>
    <xf numFmtId="0" fontId="72" fillId="9" borderId="93"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167" fontId="21" fillId="4" borderId="78" xfId="2" applyNumberFormat="1" applyFont="1" applyFill="1" applyBorder="1" applyAlignment="1">
      <alignment horizontal="center" vertical="center"/>
    </xf>
    <xf numFmtId="0" fontId="71" fillId="4" borderId="90" xfId="0" applyFont="1" applyFill="1" applyBorder="1"/>
    <xf numFmtId="43" fontId="71" fillId="4" borderId="90" xfId="1" applyFont="1" applyFill="1" applyBorder="1"/>
    <xf numFmtId="43" fontId="71" fillId="4" borderId="90" xfId="0" applyNumberFormat="1" applyFont="1" applyFill="1" applyBorder="1"/>
    <xf numFmtId="0" fontId="32" fillId="9" borderId="76" xfId="0" quotePrefix="1" applyFont="1" applyFill="1" applyBorder="1" applyAlignment="1">
      <alignment horizontal="center" vertical="center" wrapText="1"/>
    </xf>
    <xf numFmtId="0" fontId="32" fillId="9" borderId="76" xfId="0" applyFont="1" applyFill="1" applyBorder="1" applyAlignment="1">
      <alignment horizontal="center" vertical="center" wrapText="1"/>
    </xf>
    <xf numFmtId="0" fontId="32" fillId="9" borderId="77" xfId="0" applyFont="1" applyFill="1" applyBorder="1" applyAlignment="1">
      <alignment horizontal="center" vertical="center" wrapText="1"/>
    </xf>
    <xf numFmtId="0" fontId="32" fillId="9" borderId="75" xfId="0" applyFont="1" applyFill="1" applyBorder="1" applyAlignment="1">
      <alignment horizontal="center" vertical="center" wrapText="1"/>
    </xf>
    <xf numFmtId="166" fontId="65" fillId="0" borderId="0" xfId="7" applyNumberFormat="1" applyFont="1"/>
    <xf numFmtId="0" fontId="62" fillId="0" borderId="0" xfId="0" applyFont="1" applyAlignment="1">
      <alignment vertical="center" wrapText="1"/>
    </xf>
    <xf numFmtId="0" fontId="75" fillId="0" borderId="0" xfId="0" applyFont="1"/>
    <xf numFmtId="0" fontId="76" fillId="0" borderId="0" xfId="0" applyFont="1" applyAlignment="1">
      <alignment vertical="center"/>
    </xf>
    <xf numFmtId="0" fontId="76" fillId="0" borderId="0" xfId="0" applyFont="1" applyAlignment="1">
      <alignment horizontal="center"/>
    </xf>
    <xf numFmtId="0" fontId="76" fillId="0" borderId="0" xfId="0" applyFont="1" applyAlignment="1">
      <alignment horizontal="left" vertical="center" wrapText="1"/>
    </xf>
    <xf numFmtId="0" fontId="76" fillId="0" borderId="0" xfId="0" applyFont="1" applyAlignment="1">
      <alignment vertical="center" wrapText="1"/>
    </xf>
    <xf numFmtId="49" fontId="77" fillId="0" borderId="0" xfId="0" applyNumberFormat="1" applyFont="1" applyAlignment="1">
      <alignment horizontal="right"/>
    </xf>
    <xf numFmtId="1" fontId="77" fillId="0" borderId="0" xfId="0" applyNumberFormat="1" applyFont="1" applyAlignment="1">
      <alignment horizontal="right"/>
    </xf>
    <xf numFmtId="0" fontId="78" fillId="0" borderId="0" xfId="0" applyFont="1" applyAlignment="1">
      <alignment vertical="center"/>
    </xf>
    <xf numFmtId="0" fontId="78" fillId="0" borderId="0" xfId="0" applyFont="1" applyAlignment="1">
      <alignment vertical="center" wrapText="1"/>
    </xf>
    <xf numFmtId="0" fontId="36" fillId="9" borderId="102" xfId="0" applyFont="1" applyFill="1" applyBorder="1" applyAlignment="1">
      <alignment horizontal="center" vertical="center" wrapText="1"/>
    </xf>
    <xf numFmtId="0" fontId="36" fillId="9" borderId="103" xfId="0" applyFont="1" applyFill="1" applyBorder="1" applyAlignment="1">
      <alignment horizontal="center" vertical="center" wrapText="1"/>
    </xf>
    <xf numFmtId="0" fontId="36" fillId="9" borderId="104" xfId="0" applyFont="1" applyFill="1" applyBorder="1" applyAlignment="1">
      <alignment horizontal="center" vertical="center" wrapText="1"/>
    </xf>
    <xf numFmtId="0" fontId="36" fillId="9" borderId="105"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9" borderId="92" xfId="0" applyNumberFormat="1" applyFont="1" applyFill="1" applyBorder="1" applyAlignment="1">
      <alignment vertical="center"/>
    </xf>
    <xf numFmtId="20" fontId="33" fillId="0" borderId="96" xfId="0" applyNumberFormat="1" applyFont="1" applyBorder="1" applyAlignment="1">
      <alignment horizontal="center" vertical="center"/>
    </xf>
    <xf numFmtId="20" fontId="33" fillId="0" borderId="96" xfId="0" applyNumberFormat="1" applyFont="1" applyBorder="1" applyAlignment="1">
      <alignment horizontal="center"/>
    </xf>
    <xf numFmtId="4" fontId="33" fillId="6" borderId="96" xfId="0" applyNumberFormat="1" applyFont="1" applyFill="1" applyBorder="1" applyAlignment="1">
      <alignment horizontal="center"/>
    </xf>
    <xf numFmtId="4" fontId="0" fillId="0" borderId="106" xfId="0" applyNumberFormat="1" applyBorder="1" applyAlignment="1">
      <alignment vertical="center"/>
    </xf>
    <xf numFmtId="4" fontId="0" fillId="0" borderId="107" xfId="0" applyNumberFormat="1" applyBorder="1" applyAlignment="1">
      <alignment vertical="center"/>
    </xf>
    <xf numFmtId="4" fontId="0" fillId="0" borderId="108" xfId="0" applyNumberFormat="1" applyBorder="1" applyAlignment="1">
      <alignment vertical="center"/>
    </xf>
    <xf numFmtId="167" fontId="0" fillId="0" borderId="109" xfId="2" applyNumberFormat="1" applyFont="1" applyBorder="1" applyAlignment="1">
      <alignment vertical="center"/>
    </xf>
    <xf numFmtId="4" fontId="0" fillId="4" borderId="3" xfId="0" applyNumberFormat="1" applyFill="1" applyBorder="1" applyAlignment="1">
      <alignment vertical="center"/>
    </xf>
    <xf numFmtId="4" fontId="0" fillId="4" borderId="110" xfId="0" applyNumberFormat="1" applyFill="1" applyBorder="1" applyAlignment="1">
      <alignment vertical="center"/>
    </xf>
    <xf numFmtId="4" fontId="0" fillId="4" borderId="111" xfId="0" applyNumberFormat="1" applyFill="1" applyBorder="1" applyAlignment="1">
      <alignment vertical="center"/>
    </xf>
    <xf numFmtId="167" fontId="0" fillId="4" borderId="112" xfId="2" applyNumberFormat="1" applyFont="1" applyFill="1" applyBorder="1" applyAlignment="1">
      <alignment vertical="center"/>
    </xf>
    <xf numFmtId="4" fontId="0" fillId="0" borderId="3" xfId="0" applyNumberFormat="1" applyBorder="1" applyAlignment="1">
      <alignment vertical="center"/>
    </xf>
    <xf numFmtId="4" fontId="0" fillId="0" borderId="110" xfId="0" applyNumberFormat="1" applyBorder="1" applyAlignment="1">
      <alignment vertical="center"/>
    </xf>
    <xf numFmtId="4" fontId="0" fillId="0" borderId="111" xfId="0" applyNumberFormat="1" applyBorder="1" applyAlignment="1">
      <alignment vertical="center"/>
    </xf>
    <xf numFmtId="167" fontId="0" fillId="0" borderId="112" xfId="2" applyNumberFormat="1" applyFont="1" applyBorder="1" applyAlignment="1">
      <alignment vertical="center"/>
    </xf>
    <xf numFmtId="4" fontId="0" fillId="0" borderId="106" xfId="0" applyNumberFormat="1" applyBorder="1"/>
    <xf numFmtId="4" fontId="0" fillId="0" borderId="113" xfId="0" applyNumberFormat="1" applyBorder="1" applyAlignment="1">
      <alignment horizontal="right"/>
    </xf>
    <xf numFmtId="167" fontId="0" fillId="0" borderId="109" xfId="2" applyNumberFormat="1" applyFont="1" applyBorder="1"/>
    <xf numFmtId="4" fontId="0" fillId="4" borderId="3" xfId="0" applyNumberFormat="1" applyFill="1" applyBorder="1"/>
    <xf numFmtId="4" fontId="0" fillId="4" borderId="114" xfId="0" applyNumberFormat="1" applyFill="1" applyBorder="1" applyAlignment="1">
      <alignment horizontal="right"/>
    </xf>
    <xf numFmtId="167" fontId="0" fillId="4" borderId="112" xfId="2" applyNumberFormat="1" applyFont="1" applyFill="1" applyBorder="1"/>
    <xf numFmtId="4" fontId="0" fillId="0" borderId="3" xfId="0" applyNumberFormat="1" applyBorder="1"/>
    <xf numFmtId="4" fontId="0" fillId="0" borderId="114" xfId="0" applyNumberFormat="1" applyBorder="1" applyAlignment="1">
      <alignment horizontal="right"/>
    </xf>
    <xf numFmtId="167" fontId="0" fillId="0" borderId="112" xfId="2" applyNumberFormat="1" applyFont="1" applyBorder="1"/>
    <xf numFmtId="4" fontId="0" fillId="4" borderId="115" xfId="0" applyNumberFormat="1" applyFill="1" applyBorder="1"/>
    <xf numFmtId="4" fontId="0" fillId="4" borderId="116" xfId="0" applyNumberFormat="1" applyFill="1" applyBorder="1" applyAlignment="1">
      <alignment horizontal="right"/>
    </xf>
    <xf numFmtId="167" fontId="0" fillId="4" borderId="117" xfId="2" applyNumberFormat="1" applyFont="1" applyFill="1" applyBorder="1"/>
    <xf numFmtId="2" fontId="50" fillId="0" borderId="0" xfId="0" applyNumberFormat="1" applyFont="1"/>
    <xf numFmtId="0" fontId="60" fillId="0" borderId="72" xfId="0" applyFont="1" applyBorder="1" applyAlignment="1">
      <alignment horizontal="left" vertical="center" wrapText="1"/>
    </xf>
    <xf numFmtId="0" fontId="80" fillId="0" borderId="0" xfId="0" applyFont="1"/>
    <xf numFmtId="0" fontId="81" fillId="0" borderId="0" xfId="0" applyFont="1" applyAlignment="1">
      <alignment vertical="center"/>
    </xf>
    <xf numFmtId="49" fontId="80" fillId="0" borderId="0" xfId="0" applyNumberFormat="1" applyFont="1" applyAlignment="1">
      <alignment horizontal="center"/>
    </xf>
    <xf numFmtId="1" fontId="80" fillId="0" borderId="0" xfId="0" applyNumberFormat="1" applyFont="1" applyAlignment="1">
      <alignment horizontal="center"/>
    </xf>
    <xf numFmtId="49" fontId="80" fillId="0" borderId="0" xfId="0" applyNumberFormat="1" applyFont="1" applyAlignment="1">
      <alignment horizontal="left"/>
    </xf>
    <xf numFmtId="1" fontId="80" fillId="0" borderId="0" xfId="0" applyNumberFormat="1" applyFont="1" applyAlignment="1">
      <alignment horizontal="left"/>
    </xf>
    <xf numFmtId="165" fontId="80" fillId="0" borderId="0" xfId="0" applyNumberFormat="1" applyFont="1" applyAlignment="1">
      <alignment horizontal="center"/>
    </xf>
    <xf numFmtId="0" fontId="80" fillId="0" borderId="0" xfId="0" applyFont="1" applyAlignment="1">
      <alignment horizontal="center"/>
    </xf>
    <xf numFmtId="2" fontId="80" fillId="0" borderId="0" xfId="0" applyNumberFormat="1" applyFont="1"/>
    <xf numFmtId="10" fontId="80"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9" borderId="23" xfId="0" applyNumberFormat="1" applyFont="1" applyFill="1" applyBorder="1" applyAlignment="1">
      <alignment horizontal="center"/>
    </xf>
    <xf numFmtId="0" fontId="32" fillId="9" borderId="23" xfId="0" applyFont="1" applyFill="1" applyBorder="1" applyAlignment="1">
      <alignment horizontal="center" wrapText="1"/>
    </xf>
    <xf numFmtId="16" fontId="32" fillId="9" borderId="24" xfId="0" applyNumberFormat="1" applyFont="1" applyFill="1" applyBorder="1" applyAlignment="1">
      <alignment horizontal="center" vertical="center"/>
    </xf>
    <xf numFmtId="16" fontId="32" fillId="9" borderId="24" xfId="0" applyNumberFormat="1" applyFont="1" applyFill="1" applyBorder="1" applyAlignment="1">
      <alignment horizontal="center" wrapText="1"/>
    </xf>
    <xf numFmtId="20" fontId="32" fillId="9" borderId="26" xfId="0" quotePrefix="1" applyNumberFormat="1" applyFont="1" applyFill="1" applyBorder="1" applyAlignment="1">
      <alignment horizontal="center" vertical="center"/>
    </xf>
    <xf numFmtId="20" fontId="32" fillId="9"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9" borderId="57" xfId="0" applyNumberFormat="1" applyFont="1" applyFill="1" applyBorder="1" applyAlignment="1">
      <alignment vertical="center"/>
    </xf>
    <xf numFmtId="174" fontId="27" fillId="6" borderId="96" xfId="0" applyNumberFormat="1" applyFont="1" applyFill="1" applyBorder="1"/>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9" borderId="87" xfId="5" applyFont="1" applyFill="1" applyBorder="1" applyAlignment="1">
      <alignment horizontal="center" vertical="center"/>
    </xf>
    <xf numFmtId="0" fontId="36" fillId="9" borderId="91"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0" fontId="71" fillId="0" borderId="0" xfId="0" applyFont="1" applyBorder="1"/>
    <xf numFmtId="43" fontId="31" fillId="0" borderId="0" xfId="0" applyNumberFormat="1" applyFont="1" applyBorder="1"/>
    <xf numFmtId="0" fontId="30" fillId="0" borderId="0" xfId="0" applyFont="1" applyBorder="1"/>
    <xf numFmtId="0" fontId="82" fillId="0" borderId="0" xfId="0" applyFont="1"/>
    <xf numFmtId="0" fontId="0" fillId="0" borderId="0" xfId="0" applyFont="1"/>
    <xf numFmtId="17" fontId="36" fillId="9" borderId="119" xfId="0" applyNumberFormat="1" applyFont="1" applyFill="1" applyBorder="1" applyAlignment="1">
      <alignment horizontal="center" vertical="center"/>
    </xf>
    <xf numFmtId="0" fontId="36" fillId="9" borderId="121" xfId="5" applyFont="1" applyFill="1" applyBorder="1" applyAlignment="1">
      <alignment horizontal="center" vertical="center"/>
    </xf>
    <xf numFmtId="0" fontId="36" fillId="9" borderId="123"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9" borderId="126" xfId="0" applyNumberFormat="1" applyFont="1" applyFill="1" applyBorder="1" applyAlignment="1">
      <alignment vertical="center"/>
    </xf>
    <xf numFmtId="4" fontId="72" fillId="9" borderId="126" xfId="0" applyNumberFormat="1" applyFont="1" applyFill="1" applyBorder="1" applyAlignment="1">
      <alignment vertical="center"/>
    </xf>
    <xf numFmtId="0" fontId="36" fillId="9" borderId="125" xfId="0" applyFont="1" applyFill="1" applyBorder="1" applyAlignment="1">
      <alignment vertical="center"/>
    </xf>
    <xf numFmtId="0" fontId="0" fillId="0" borderId="127" xfId="0" applyBorder="1"/>
    <xf numFmtId="0" fontId="36" fillId="11" borderId="131" xfId="6" applyFont="1" applyFill="1" applyBorder="1" applyAlignment="1">
      <alignment horizontal="center" vertical="center" wrapText="1"/>
    </xf>
    <xf numFmtId="0" fontId="36" fillId="11" borderId="131" xfId="6" applyFont="1" applyFill="1" applyBorder="1" applyAlignment="1">
      <alignment horizontal="center" vertical="center"/>
    </xf>
    <xf numFmtId="0" fontId="36" fillId="11" borderId="133" xfId="6" applyFont="1" applyFill="1" applyBorder="1" applyAlignment="1">
      <alignment horizontal="center" vertical="center"/>
    </xf>
    <xf numFmtId="10" fontId="31" fillId="0" borderId="0" xfId="2" applyNumberFormat="1" applyFont="1" applyBorder="1"/>
    <xf numFmtId="20" fontId="36" fillId="11" borderId="135" xfId="6" applyNumberFormat="1" applyFont="1" applyFill="1" applyBorder="1" applyAlignment="1">
      <alignment horizontal="center" vertical="center"/>
    </xf>
    <xf numFmtId="0" fontId="36" fillId="11" borderId="136" xfId="6" applyFont="1" applyFill="1" applyBorder="1" applyAlignment="1">
      <alignment horizontal="center" vertical="center"/>
    </xf>
    <xf numFmtId="0" fontId="31" fillId="0" borderId="0" xfId="0" applyFont="1" applyBorder="1" applyAlignment="1">
      <alignment vertical="center" wrapText="1"/>
    </xf>
    <xf numFmtId="43" fontId="31" fillId="0" borderId="0" xfId="0" applyNumberFormat="1" applyFont="1" applyBorder="1" applyAlignment="1">
      <alignment vertical="center" wrapText="1"/>
    </xf>
    <xf numFmtId="43" fontId="31" fillId="2" borderId="0" xfId="0" applyNumberFormat="1" applyFont="1" applyFill="1" applyBorder="1"/>
    <xf numFmtId="10" fontId="36" fillId="9" borderId="126" xfId="2" applyNumberFormat="1" applyFont="1" applyFill="1" applyBorder="1" applyAlignment="1">
      <alignment vertical="center"/>
    </xf>
    <xf numFmtId="10" fontId="72" fillId="9" borderId="126" xfId="2" applyNumberFormat="1" applyFont="1" applyFill="1" applyBorder="1" applyAlignment="1">
      <alignment vertical="center"/>
    </xf>
    <xf numFmtId="0" fontId="72" fillId="9" borderId="125" xfId="0" applyFont="1" applyFill="1" applyBorder="1" applyAlignment="1">
      <alignment vertical="center"/>
    </xf>
    <xf numFmtId="0" fontId="21" fillId="2" borderId="90" xfId="0" quotePrefix="1" applyFont="1" applyFill="1" applyBorder="1" applyAlignment="1">
      <alignment vertical="center"/>
    </xf>
    <xf numFmtId="0" fontId="30" fillId="0" borderId="90"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83" fillId="2" borderId="0" xfId="0" applyFont="1" applyFill="1" applyAlignment="1">
      <alignment horizontal="left" vertical="center" wrapText="1"/>
    </xf>
    <xf numFmtId="0" fontId="82" fillId="0" borderId="0" xfId="0" applyFont="1" applyAlignment="1">
      <alignment vertical="center"/>
    </xf>
    <xf numFmtId="43" fontId="62" fillId="0" borderId="139" xfId="1" applyFont="1" applyBorder="1" applyAlignment="1">
      <alignment vertical="center" wrapText="1"/>
    </xf>
    <xf numFmtId="0" fontId="62" fillId="0" borderId="139" xfId="0" applyFont="1" applyBorder="1" applyAlignment="1">
      <alignment vertical="center" wrapText="1"/>
    </xf>
    <xf numFmtId="14" fontId="27" fillId="6" borderId="96" xfId="0" applyNumberFormat="1" applyFont="1" applyFill="1" applyBorder="1"/>
    <xf numFmtId="20" fontId="33" fillId="6" borderId="96" xfId="0" applyNumberFormat="1" applyFont="1" applyFill="1" applyBorder="1" applyAlignment="1">
      <alignment horizontal="center"/>
    </xf>
    <xf numFmtId="4" fontId="33" fillId="0" borderId="96" xfId="0" applyNumberFormat="1" applyFont="1" applyFill="1" applyBorder="1" applyAlignment="1">
      <alignment horizontal="center"/>
    </xf>
    <xf numFmtId="4" fontId="27" fillId="0" borderId="96" xfId="0" applyNumberFormat="1" applyFont="1" applyFill="1" applyBorder="1"/>
    <xf numFmtId="174" fontId="27" fillId="0" borderId="96" xfId="0" applyNumberFormat="1" applyFont="1" applyFill="1" applyBorder="1"/>
    <xf numFmtId="0" fontId="71" fillId="0" borderId="30" xfId="0" applyFont="1" applyBorder="1"/>
    <xf numFmtId="10" fontId="31" fillId="0" borderId="31" xfId="2" applyNumberFormat="1" applyFont="1" applyBorder="1"/>
    <xf numFmtId="0" fontId="71" fillId="4" borderId="140" xfId="0" applyFont="1" applyFill="1" applyBorder="1"/>
    <xf numFmtId="10" fontId="71" fillId="4" borderId="141" xfId="2" applyNumberFormat="1" applyFont="1" applyFill="1" applyBorder="1"/>
    <xf numFmtId="0" fontId="71" fillId="0" borderId="30" xfId="0" applyFont="1" applyBorder="1" applyAlignment="1">
      <alignment vertical="center" wrapText="1"/>
    </xf>
    <xf numFmtId="10" fontId="31" fillId="0" borderId="31" xfId="2" applyNumberFormat="1" applyFont="1" applyBorder="1" applyAlignment="1">
      <alignment vertical="center" wrapText="1"/>
    </xf>
    <xf numFmtId="43" fontId="31" fillId="0" borderId="31" xfId="1" applyFont="1" applyBorder="1"/>
    <xf numFmtId="43" fontId="71" fillId="4" borderId="141"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42" xfId="0" applyFont="1" applyFill="1" applyBorder="1"/>
    <xf numFmtId="0" fontId="71" fillId="4" borderId="125" xfId="0" applyFont="1" applyFill="1" applyBorder="1"/>
    <xf numFmtId="43" fontId="71" fillId="4" borderId="125" xfId="1" applyFont="1" applyFill="1" applyBorder="1"/>
    <xf numFmtId="43" fontId="71" fillId="4" borderId="143"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44" xfId="0" applyFont="1" applyBorder="1"/>
    <xf numFmtId="43" fontId="31" fillId="0" borderId="145"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44"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45" xfId="2" applyFont="1" applyBorder="1"/>
    <xf numFmtId="10" fontId="31" fillId="0" borderId="145" xfId="2" applyNumberFormat="1" applyFont="1" applyBorder="1"/>
    <xf numFmtId="10" fontId="31" fillId="2" borderId="31" xfId="2" applyNumberFormat="1" applyFont="1" applyFill="1" applyBorder="1"/>
    <xf numFmtId="43" fontId="62" fillId="0" borderId="146" xfId="1" applyFont="1" applyBorder="1" applyAlignment="1">
      <alignment vertical="center" wrapText="1"/>
    </xf>
    <xf numFmtId="0" fontId="62" fillId="0" borderId="146" xfId="0" applyFont="1" applyBorder="1" applyAlignment="1">
      <alignment vertical="center" wrapText="1"/>
    </xf>
    <xf numFmtId="4" fontId="13" fillId="0" borderId="146" xfId="0" applyNumberFormat="1" applyFont="1" applyBorder="1" applyAlignment="1">
      <alignment horizontal="center" vertical="center"/>
    </xf>
    <xf numFmtId="167" fontId="13" fillId="0" borderId="146" xfId="2" applyNumberFormat="1" applyFont="1" applyBorder="1" applyAlignment="1">
      <alignment horizontal="center" vertical="center"/>
    </xf>
    <xf numFmtId="43" fontId="62" fillId="0" borderId="147" xfId="1" applyFont="1" applyBorder="1" applyAlignment="1">
      <alignment vertical="center" wrapText="1"/>
    </xf>
    <xf numFmtId="0" fontId="62" fillId="0" borderId="147" xfId="0" applyFont="1" applyBorder="1" applyAlignment="1">
      <alignment vertical="center" wrapText="1"/>
    </xf>
    <xf numFmtId="4" fontId="13" fillId="0" borderId="147" xfId="0" applyNumberFormat="1" applyFont="1" applyBorder="1" applyAlignment="1">
      <alignment horizontal="center" vertical="center"/>
    </xf>
    <xf numFmtId="167" fontId="13" fillId="0" borderId="147" xfId="2" applyNumberFormat="1" applyFont="1" applyBorder="1" applyAlignment="1">
      <alignment horizontal="center" vertical="center"/>
    </xf>
    <xf numFmtId="167" fontId="13" fillId="0" borderId="148" xfId="2" applyNumberFormat="1" applyFont="1" applyBorder="1" applyAlignment="1">
      <alignment horizontal="center" vertical="center"/>
    </xf>
    <xf numFmtId="0" fontId="36" fillId="9" borderId="150" xfId="0" applyFont="1" applyFill="1" applyBorder="1" applyAlignment="1">
      <alignment horizontal="center" vertical="center" wrapText="1"/>
    </xf>
    <xf numFmtId="0" fontId="36" fillId="9" borderId="114" xfId="0" applyFont="1" applyFill="1" applyBorder="1" applyAlignment="1">
      <alignment horizontal="center" vertical="center" wrapText="1"/>
    </xf>
    <xf numFmtId="0" fontId="36" fillId="9" borderId="151" xfId="0" applyFont="1" applyFill="1" applyBorder="1" applyAlignment="1">
      <alignment horizontal="center" vertical="center" wrapText="1"/>
    </xf>
    <xf numFmtId="0" fontId="61" fillId="4" borderId="153" xfId="0" applyFont="1" applyFill="1" applyBorder="1" applyAlignment="1">
      <alignment horizontal="center" vertical="center"/>
    </xf>
    <xf numFmtId="4" fontId="61" fillId="4" borderId="154" xfId="0" applyNumberFormat="1" applyFont="1" applyFill="1" applyBorder="1" applyAlignment="1">
      <alignment horizontal="center" vertical="center"/>
    </xf>
    <xf numFmtId="0" fontId="31" fillId="0" borderId="0" xfId="0" applyFont="1" applyAlignment="1">
      <alignment vertical="center"/>
    </xf>
    <xf numFmtId="22" fontId="31" fillId="0" borderId="0" xfId="0" applyNumberFormat="1" applyFont="1" applyBorder="1" applyAlignment="1">
      <alignment horizontal="center" vertical="center" wrapText="1"/>
    </xf>
    <xf numFmtId="0" fontId="60" fillId="0" borderId="0" xfId="0" applyFont="1" applyBorder="1" applyAlignment="1">
      <alignment horizontal="justify" vertical="center" wrapText="1"/>
    </xf>
    <xf numFmtId="0" fontId="31" fillId="0" borderId="0" xfId="0" applyFont="1" applyBorder="1" applyAlignment="1">
      <alignment horizontal="center" vertical="center" wrapText="1"/>
    </xf>
    <xf numFmtId="0" fontId="85" fillId="0" borderId="0" xfId="0" applyFont="1"/>
    <xf numFmtId="0" fontId="84" fillId="0" borderId="0" xfId="0" applyFont="1"/>
    <xf numFmtId="0" fontId="86" fillId="0" borderId="0" xfId="0" applyFont="1" applyAlignment="1">
      <alignment vertical="center"/>
    </xf>
    <xf numFmtId="49" fontId="85" fillId="0" borderId="0" xfId="0" applyNumberFormat="1" applyFont="1" applyAlignment="1">
      <alignment horizontal="right"/>
    </xf>
    <xf numFmtId="1" fontId="85" fillId="0" borderId="0" xfId="0" applyNumberFormat="1" applyFont="1" applyAlignment="1">
      <alignment horizontal="right"/>
    </xf>
    <xf numFmtId="0" fontId="85" fillId="0" borderId="0" xfId="0" applyFont="1" applyAlignment="1">
      <alignment horizontal="right"/>
    </xf>
    <xf numFmtId="1" fontId="87" fillId="0" borderId="0" xfId="0" applyNumberFormat="1" applyFont="1"/>
    <xf numFmtId="0" fontId="84" fillId="0" borderId="0" xfId="0" applyFont="1" applyAlignment="1">
      <alignment horizontal="right"/>
    </xf>
    <xf numFmtId="1" fontId="87" fillId="0" borderId="0" xfId="0" applyNumberFormat="1" applyFont="1" applyAlignment="1">
      <alignment horizontal="right"/>
    </xf>
    <xf numFmtId="2" fontId="84" fillId="0" borderId="0" xfId="0" applyNumberFormat="1" applyFont="1" applyAlignment="1">
      <alignment horizontal="right"/>
    </xf>
    <xf numFmtId="0" fontId="88" fillId="4" borderId="152" xfId="0" applyFont="1" applyFill="1" applyBorder="1" applyAlignment="1">
      <alignment vertical="center"/>
    </xf>
    <xf numFmtId="0" fontId="60" fillId="2" borderId="84" xfId="0" quotePrefix="1" applyFont="1" applyFill="1" applyBorder="1" applyAlignment="1">
      <alignment vertical="center" wrapText="1"/>
    </xf>
    <xf numFmtId="0" fontId="27" fillId="4" borderId="49" xfId="0" applyFont="1" applyFill="1" applyBorder="1" applyAlignment="1">
      <alignment vertical="center" wrapText="1"/>
    </xf>
    <xf numFmtId="4" fontId="13" fillId="0" borderId="156" xfId="0" applyNumberFormat="1" applyFont="1" applyBorder="1" applyAlignment="1">
      <alignment horizontal="center" vertical="center"/>
    </xf>
    <xf numFmtId="167" fontId="13" fillId="0" borderId="157" xfId="2" applyNumberFormat="1" applyFont="1" applyBorder="1" applyAlignment="1">
      <alignment horizontal="center" vertical="center"/>
    </xf>
    <xf numFmtId="0" fontId="88" fillId="0" borderId="152" xfId="0" applyFont="1" applyFill="1" applyBorder="1" applyAlignment="1">
      <alignment vertical="center" wrapText="1"/>
    </xf>
    <xf numFmtId="0" fontId="62" fillId="0" borderId="153" xfId="0" applyFont="1" applyFill="1" applyBorder="1" applyAlignment="1">
      <alignment horizontal="center" vertical="center"/>
    </xf>
    <xf numFmtId="0" fontId="62" fillId="0" borderId="153" xfId="2" applyNumberFormat="1" applyFont="1" applyFill="1" applyBorder="1" applyAlignment="1">
      <alignment horizontal="center" vertical="center"/>
    </xf>
    <xf numFmtId="0" fontId="61" fillId="0" borderId="153" xfId="0" applyFont="1" applyFill="1" applyBorder="1" applyAlignment="1">
      <alignment horizontal="center" vertical="center"/>
    </xf>
    <xf numFmtId="4" fontId="62" fillId="0" borderId="154" xfId="0" applyNumberFormat="1" applyFont="1" applyFill="1" applyBorder="1" applyAlignment="1">
      <alignment horizontal="center" vertical="center"/>
    </xf>
    <xf numFmtId="0" fontId="62" fillId="0" borderId="153" xfId="0" applyFont="1" applyFill="1" applyBorder="1" applyAlignment="1">
      <alignment horizontal="center" vertical="center" wrapText="1"/>
    </xf>
    <xf numFmtId="0" fontId="88" fillId="0" borderId="152" xfId="0" applyFont="1" applyFill="1" applyBorder="1" applyAlignment="1">
      <alignment vertical="center"/>
    </xf>
    <xf numFmtId="49" fontId="36" fillId="11" borderId="45" xfId="6" applyNumberFormat="1" applyFont="1" applyFill="1" applyBorder="1" applyAlignment="1">
      <alignment horizontal="center" vertical="center" wrapText="1"/>
    </xf>
    <xf numFmtId="0" fontId="77" fillId="0" borderId="0" xfId="0" applyFont="1"/>
    <xf numFmtId="2" fontId="77" fillId="0" borderId="0" xfId="0" applyNumberFormat="1" applyFont="1" applyAlignment="1">
      <alignment horizontal="center" vertical="center" wrapText="1"/>
    </xf>
    <xf numFmtId="2" fontId="77" fillId="0" borderId="0" xfId="0" quotePrefix="1" applyNumberFormat="1" applyFont="1" applyAlignment="1">
      <alignment horizontal="center" vertical="center" wrapText="1"/>
    </xf>
    <xf numFmtId="17" fontId="77" fillId="0" borderId="0" xfId="0" quotePrefix="1" applyNumberFormat="1" applyFont="1" applyAlignment="1">
      <alignment horizontal="center" vertical="center" wrapText="1"/>
    </xf>
    <xf numFmtId="0" fontId="77" fillId="0" borderId="0" xfId="0" quotePrefix="1" applyFont="1" applyAlignment="1">
      <alignment horizontal="center" vertical="center" wrapText="1"/>
    </xf>
    <xf numFmtId="2" fontId="77" fillId="0" borderId="0" xfId="0" applyNumberFormat="1" applyFont="1" applyAlignment="1">
      <alignment horizontal="left"/>
    </xf>
    <xf numFmtId="2" fontId="76" fillId="0" borderId="0" xfId="0" applyNumberFormat="1" applyFont="1" applyAlignment="1">
      <alignment horizontal="center"/>
    </xf>
    <xf numFmtId="2" fontId="77" fillId="0" borderId="0" xfId="0" applyNumberFormat="1" applyFont="1" applyAlignment="1">
      <alignment horizontal="center"/>
    </xf>
    <xf numFmtId="43" fontId="77" fillId="0" borderId="0" xfId="1" applyFont="1" applyAlignment="1">
      <alignment horizontal="left"/>
    </xf>
    <xf numFmtId="0" fontId="77" fillId="0" borderId="0" xfId="0" applyFont="1" applyAlignment="1">
      <alignment vertical="top" wrapText="1"/>
    </xf>
    <xf numFmtId="0" fontId="77" fillId="0" borderId="0" xfId="0" applyFont="1" applyAlignment="1">
      <alignment horizontal="left" vertical="top" wrapText="1"/>
    </xf>
    <xf numFmtId="0" fontId="77" fillId="0" borderId="0" xfId="0" applyFont="1" applyAlignment="1">
      <alignment horizontal="left"/>
    </xf>
    <xf numFmtId="166" fontId="50" fillId="0" borderId="0" xfId="0" applyNumberFormat="1" applyFont="1" applyAlignment="1">
      <alignment vertical="center"/>
    </xf>
    <xf numFmtId="172" fontId="67" fillId="8" borderId="0" xfId="3" applyNumberFormat="1" applyFont="1" applyFill="1" applyAlignment="1">
      <alignment horizontal="center"/>
    </xf>
    <xf numFmtId="2" fontId="67" fillId="8" borderId="0" xfId="3" applyNumberFormat="1" applyFont="1" applyFill="1"/>
    <xf numFmtId="2" fontId="67" fillId="8" borderId="0" xfId="3" applyNumberFormat="1" applyFont="1" applyFill="1" applyAlignment="1">
      <alignment horizontal="center"/>
    </xf>
    <xf numFmtId="175" fontId="89" fillId="8" borderId="0" xfId="0" applyNumberFormat="1" applyFont="1" applyFill="1" applyAlignment="1">
      <alignment vertical="center"/>
    </xf>
    <xf numFmtId="175" fontId="65" fillId="0" borderId="0" xfId="0" applyNumberFormat="1" applyFont="1" applyAlignment="1">
      <alignment vertical="center"/>
    </xf>
    <xf numFmtId="0" fontId="89" fillId="0" borderId="0" xfId="0" applyFont="1"/>
    <xf numFmtId="176" fontId="21" fillId="0" borderId="39" xfId="2" applyNumberFormat="1" applyFont="1" applyBorder="1" applyAlignment="1">
      <alignment horizontal="right" vertical="center"/>
    </xf>
    <xf numFmtId="0" fontId="0" fillId="0" borderId="0" xfId="0"/>
    <xf numFmtId="0" fontId="90" fillId="0" borderId="0" xfId="0" applyFont="1"/>
    <xf numFmtId="175" fontId="90" fillId="0" borderId="0" xfId="0" applyNumberFormat="1" applyFont="1"/>
    <xf numFmtId="0" fontId="62" fillId="0" borderId="155" xfId="0" applyFont="1" applyBorder="1" applyAlignment="1">
      <alignment horizontal="center" vertical="center"/>
    </xf>
    <xf numFmtId="0" fontId="31" fillId="0" borderId="160" xfId="0" applyFont="1" applyBorder="1" applyAlignment="1">
      <alignment vertical="center" wrapText="1"/>
    </xf>
    <xf numFmtId="22" fontId="31" fillId="0" borderId="160" xfId="0" applyNumberFormat="1" applyFont="1" applyBorder="1" applyAlignment="1">
      <alignment horizontal="center" vertical="center" wrapText="1"/>
    </xf>
    <xf numFmtId="0" fontId="60" fillId="0" borderId="160" xfId="0" applyFont="1" applyBorder="1" applyAlignment="1">
      <alignment horizontal="justify" vertical="center" wrapText="1"/>
    </xf>
    <xf numFmtId="0" fontId="31" fillId="0" borderId="160" xfId="0" applyFont="1" applyBorder="1" applyAlignment="1">
      <alignment horizontal="center" vertical="center" wrapText="1"/>
    </xf>
    <xf numFmtId="0" fontId="31" fillId="0" borderId="161" xfId="0" applyFont="1" applyBorder="1" applyAlignment="1">
      <alignment vertical="center" wrapText="1"/>
    </xf>
    <xf numFmtId="22" fontId="31" fillId="0" borderId="161" xfId="0" applyNumberFormat="1" applyFont="1" applyBorder="1" applyAlignment="1">
      <alignment horizontal="center" vertical="center" wrapText="1"/>
    </xf>
    <xf numFmtId="0" fontId="60" fillId="0" borderId="161" xfId="0" applyFont="1" applyBorder="1" applyAlignment="1">
      <alignment horizontal="justify" vertical="center" wrapText="1"/>
    </xf>
    <xf numFmtId="0" fontId="31" fillId="0" borderId="161" xfId="0" applyFont="1" applyBorder="1" applyAlignment="1">
      <alignment horizontal="center" vertical="center" wrapText="1"/>
    </xf>
    <xf numFmtId="166" fontId="65" fillId="8" borderId="0" xfId="0" applyNumberFormat="1" applyFont="1" applyFill="1"/>
    <xf numFmtId="0" fontId="90" fillId="0" borderId="0" xfId="0" applyFont="1" applyAlignment="1">
      <alignment horizontal="center"/>
    </xf>
    <xf numFmtId="175" fontId="90"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4" xfId="0" applyFont="1" applyFill="1" applyBorder="1" applyAlignment="1">
      <alignment vertical="center"/>
    </xf>
    <xf numFmtId="174" fontId="32" fillId="3" borderId="94"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40" xfId="0" applyFont="1" applyFill="1" applyBorder="1" applyAlignment="1">
      <alignment wrapText="1"/>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9" borderId="34"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9" borderId="17" xfId="0" quotePrefix="1" applyFont="1" applyFill="1" applyBorder="1" applyAlignment="1">
      <alignment horizontal="left" vertical="center" wrapText="1"/>
    </xf>
    <xf numFmtId="0" fontId="2" fillId="9"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Font="1" applyFill="1" applyBorder="1" applyAlignment="1">
      <alignment horizontal="center" vertical="center"/>
    </xf>
    <xf numFmtId="0" fontId="2" fillId="9"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10" borderId="45" xfId="0" applyFont="1" applyFill="1" applyBorder="1" applyAlignment="1">
      <alignment horizontal="left" vertical="center"/>
    </xf>
    <xf numFmtId="43" fontId="2" fillId="9" borderId="45" xfId="1" applyFont="1" applyFill="1" applyBorder="1" applyAlignment="1">
      <alignment horizontal="center" vertical="center"/>
    </xf>
    <xf numFmtId="0" fontId="2" fillId="9"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9" borderId="23" xfId="1" applyFont="1" applyFill="1" applyBorder="1" applyAlignment="1">
      <alignment horizontal="center" vertical="center"/>
    </xf>
    <xf numFmtId="17" fontId="32" fillId="9" borderId="23" xfId="0" applyNumberFormat="1" applyFont="1" applyFill="1" applyBorder="1" applyAlignment="1">
      <alignment horizontal="center" vertical="center"/>
    </xf>
    <xf numFmtId="0" fontId="32" fillId="9" borderId="23" xfId="0" applyFont="1" applyFill="1" applyBorder="1" applyAlignment="1">
      <alignment horizontal="center" vertical="center"/>
    </xf>
    <xf numFmtId="167" fontId="32" fillId="9" borderId="23" xfId="2" applyNumberFormat="1" applyFont="1" applyFill="1" applyBorder="1" applyAlignment="1">
      <alignment horizontal="center" vertical="center" wrapText="1"/>
    </xf>
    <xf numFmtId="167" fontId="32" fillId="9" borderId="23" xfId="2" applyNumberFormat="1" applyFont="1" applyFill="1" applyBorder="1" applyAlignment="1">
      <alignment horizontal="center" vertical="center"/>
    </xf>
    <xf numFmtId="0" fontId="32" fillId="9"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10" borderId="57" xfId="0" applyFont="1" applyFill="1" applyBorder="1" applyAlignment="1">
      <alignment horizontal="center" vertical="center" wrapText="1"/>
    </xf>
    <xf numFmtId="0" fontId="2" fillId="10" borderId="59" xfId="0" applyFont="1" applyFill="1" applyBorder="1" applyAlignment="1">
      <alignment horizontal="center" vertical="center" wrapText="1"/>
    </xf>
    <xf numFmtId="43" fontId="2" fillId="9" borderId="57" xfId="1" applyFont="1" applyFill="1" applyBorder="1" applyAlignment="1">
      <alignment horizontal="center" vertical="center" wrapText="1"/>
    </xf>
    <xf numFmtId="0" fontId="2" fillId="9" borderId="57" xfId="0" applyFont="1" applyFill="1" applyBorder="1" applyAlignment="1">
      <alignment horizontal="center" vertical="center"/>
    </xf>
    <xf numFmtId="0" fontId="2" fillId="9" borderId="58" xfId="0" applyFont="1" applyFill="1" applyBorder="1" applyAlignment="1">
      <alignment horizontal="center" vertical="center"/>
    </xf>
    <xf numFmtId="0" fontId="21" fillId="2" borderId="0" xfId="0" applyFont="1" applyFill="1" applyAlignment="1">
      <alignment horizontal="center" vertical="top"/>
    </xf>
    <xf numFmtId="0" fontId="2" fillId="9" borderId="60" xfId="0" applyFont="1" applyFill="1" applyBorder="1" applyAlignment="1">
      <alignment horizontal="center" vertical="center"/>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1" xfId="0" applyNumberFormat="1" applyFont="1" applyFill="1" applyBorder="1" applyAlignment="1">
      <alignment horizontal="left" vertical="center" wrapText="1"/>
    </xf>
    <xf numFmtId="0" fontId="79" fillId="2" borderId="0" xfId="0" applyFont="1" applyFill="1" applyAlignment="1">
      <alignment horizontal="left" vertical="center"/>
    </xf>
    <xf numFmtId="43" fontId="62" fillId="0" borderId="156" xfId="1" applyFont="1" applyBorder="1" applyAlignment="1">
      <alignment horizontal="center" vertical="center" wrapText="1"/>
    </xf>
    <xf numFmtId="43" fontId="62" fillId="0" borderId="158" xfId="1" applyFont="1" applyBorder="1" applyAlignment="1">
      <alignment horizontal="center" vertical="center" wrapText="1"/>
    </xf>
    <xf numFmtId="43" fontId="62" fillId="0" borderId="159" xfId="1" applyFont="1" applyBorder="1" applyAlignment="1">
      <alignment horizontal="center"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43" fontId="36" fillId="9" borderId="85" xfId="1" applyFont="1" applyFill="1" applyBorder="1" applyAlignment="1">
      <alignment horizontal="center" vertical="center" wrapText="1"/>
    </xf>
    <xf numFmtId="43" fontId="36" fillId="9" borderId="14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6"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36" fillId="9" borderId="118" xfId="5" applyFont="1" applyFill="1" applyBorder="1" applyAlignment="1">
      <alignment horizontal="center" vertical="center"/>
    </xf>
    <xf numFmtId="0" fontId="36" fillId="9" borderId="120" xfId="5" applyFont="1" applyFill="1" applyBorder="1" applyAlignment="1">
      <alignment horizontal="center" vertical="center"/>
    </xf>
    <xf numFmtId="0" fontId="36" fillId="9" borderId="122" xfId="5" applyFont="1" applyFill="1" applyBorder="1" applyAlignment="1">
      <alignment horizontal="center" vertical="center"/>
    </xf>
    <xf numFmtId="0" fontId="36" fillId="9" borderId="88" xfId="5" applyFont="1" applyFill="1" applyBorder="1" applyAlignment="1">
      <alignment horizontal="center" vertical="center"/>
    </xf>
    <xf numFmtId="0" fontId="36" fillId="9" borderId="87" xfId="5" applyFont="1" applyFill="1" applyBorder="1" applyAlignment="1">
      <alignment horizontal="center" vertical="center"/>
    </xf>
    <xf numFmtId="0" fontId="36" fillId="9" borderId="91" xfId="5" applyFont="1" applyFill="1" applyBorder="1" applyAlignment="1">
      <alignment horizontal="center" vertical="center"/>
    </xf>
    <xf numFmtId="17" fontId="36" fillId="9" borderId="88" xfId="0" applyNumberFormat="1" applyFont="1" applyFill="1" applyBorder="1" applyAlignment="1">
      <alignment horizontal="center" vertical="center"/>
    </xf>
    <xf numFmtId="0" fontId="36" fillId="9" borderId="87" xfId="0"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88" xfId="5" applyFont="1" applyFill="1" applyBorder="1" applyAlignment="1">
      <alignment horizontal="center" vertical="center" wrapText="1"/>
    </xf>
    <xf numFmtId="0" fontId="36" fillId="9" borderId="124" xfId="5" applyFont="1" applyFill="1" applyBorder="1" applyAlignment="1">
      <alignment horizontal="center" vertical="center"/>
    </xf>
    <xf numFmtId="0" fontId="36" fillId="9"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1" borderId="128" xfId="6" applyFont="1" applyFill="1" applyBorder="1" applyAlignment="1">
      <alignment horizontal="center" vertical="center"/>
    </xf>
    <xf numFmtId="0" fontId="36" fillId="11" borderId="130" xfId="6" applyFont="1" applyFill="1" applyBorder="1" applyAlignment="1">
      <alignment horizontal="center" vertical="center"/>
    </xf>
    <xf numFmtId="0" fontId="36" fillId="11" borderId="134" xfId="6" applyFont="1" applyFill="1" applyBorder="1" applyAlignment="1">
      <alignment horizontal="center" vertical="center"/>
    </xf>
    <xf numFmtId="0" fontId="36" fillId="11" borderId="95" xfId="6" applyFont="1" applyFill="1" applyBorder="1" applyAlignment="1">
      <alignment horizontal="center" vertical="center"/>
    </xf>
    <xf numFmtId="0" fontId="36" fillId="11" borderId="45" xfId="6" applyFont="1" applyFill="1" applyBorder="1" applyAlignment="1">
      <alignment horizontal="center" vertical="center"/>
    </xf>
    <xf numFmtId="0" fontId="36" fillId="11" borderId="135" xfId="6" applyFont="1" applyFill="1" applyBorder="1" applyAlignment="1">
      <alignment horizontal="center" vertical="center"/>
    </xf>
    <xf numFmtId="0" fontId="36" fillId="11" borderId="129" xfId="6" applyFont="1" applyFill="1" applyBorder="1" applyAlignment="1">
      <alignment horizontal="center" vertical="center"/>
    </xf>
    <xf numFmtId="0" fontId="36" fillId="11" borderId="137" xfId="6" applyFont="1" applyFill="1" applyBorder="1" applyAlignment="1">
      <alignment horizontal="center" vertical="center"/>
    </xf>
    <xf numFmtId="0" fontId="36" fillId="11" borderId="132" xfId="6" applyFont="1" applyFill="1" applyBorder="1" applyAlignment="1">
      <alignment horizontal="center" vertical="center"/>
    </xf>
    <xf numFmtId="0" fontId="36" fillId="11" borderId="18" xfId="6" applyFont="1" applyFill="1" applyBorder="1" applyAlignment="1">
      <alignment horizontal="center" vertical="center"/>
    </xf>
    <xf numFmtId="0" fontId="36" fillId="11" borderId="94" xfId="6" applyFont="1" applyFill="1" applyBorder="1" applyAlignment="1">
      <alignment horizontal="center" vertical="center"/>
    </xf>
    <xf numFmtId="0" fontId="36" fillId="11" borderId="138" xfId="6" applyFont="1" applyFill="1" applyBorder="1" applyAlignment="1">
      <alignment horizontal="center" vertical="center"/>
    </xf>
    <xf numFmtId="0" fontId="41" fillId="9" borderId="96" xfId="0" applyFont="1" applyFill="1" applyBorder="1" applyAlignment="1">
      <alignment horizontal="center" vertical="center"/>
    </xf>
    <xf numFmtId="174" fontId="41" fillId="9" borderId="96"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2070.9468782574995</c:v>
                </c:pt>
                <c:pt idx="1">
                  <c:v>2081.8791732974996</c:v>
                </c:pt>
                <c:pt idx="2">
                  <c:v>4.104278055</c:v>
                </c:pt>
                <c:pt idx="3">
                  <c:v>1.0549771399999999</c:v>
                </c:pt>
                <c:pt idx="4">
                  <c:v>25.485014464999999</c:v>
                </c:pt>
                <c:pt idx="5">
                  <c:v>157.13154374249999</c:v>
                </c:pt>
                <c:pt idx="6">
                  <c:v>57.339797814999997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2081.8791732974996</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4.104278055</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1.0549771399999999</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25.485014464999999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157.13154374249999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57.339797814999997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 WAYRA I</c:v>
                </c:pt>
                <c:pt idx="1">
                  <c:v>C.E. TRES HERMANAS</c:v>
                </c:pt>
                <c:pt idx="2">
                  <c:v>C.E. CUPISNIQUE</c:v>
                </c:pt>
                <c:pt idx="3">
                  <c:v>C.E. MARCONA</c:v>
                </c:pt>
                <c:pt idx="4">
                  <c:v>C.E. TALARA</c:v>
                </c:pt>
              </c:strCache>
            </c:strRef>
          </c:cat>
          <c:val>
            <c:numRef>
              <c:f>'6. FP RER'!$O$31:$O$35</c:f>
              <c:numCache>
                <c:formatCode>0.00</c:formatCode>
                <c:ptCount val="5"/>
                <c:pt idx="0">
                  <c:v>58.411027837500001</c:v>
                </c:pt>
                <c:pt idx="1">
                  <c:v>44.431992664999996</c:v>
                </c:pt>
                <c:pt idx="2">
                  <c:v>25.40417446</c:v>
                </c:pt>
                <c:pt idx="3">
                  <c:v>15.786855662500001</c:v>
                </c:pt>
                <c:pt idx="4">
                  <c:v>13.097493117500001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RER'!$L$31:$L$35</c:f>
              <c:strCache>
                <c:ptCount val="5"/>
                <c:pt idx="0">
                  <c:v>C.E. WAYRA I</c:v>
                </c:pt>
                <c:pt idx="1">
                  <c:v>C.E. TRES HERMANAS</c:v>
                </c:pt>
                <c:pt idx="2">
                  <c:v>C.E. CUPISNIQUE</c:v>
                </c:pt>
                <c:pt idx="3">
                  <c:v>C.E. MARCONA</c:v>
                </c:pt>
                <c:pt idx="4">
                  <c:v>C.E. TALARA</c:v>
                </c:pt>
              </c:strCache>
            </c:strRef>
          </c:cat>
          <c:val>
            <c:numRef>
              <c:f>'6. FP RER'!$P$31:$P$35</c:f>
              <c:numCache>
                <c:formatCode>0.00</c:formatCode>
                <c:ptCount val="5"/>
                <c:pt idx="0">
                  <c:v>0.61320051059775749</c:v>
                </c:pt>
                <c:pt idx="1">
                  <c:v>0.63521462607937307</c:v>
                </c:pt>
                <c:pt idx="2">
                  <c:v>0.42433644785194086</c:v>
                </c:pt>
                <c:pt idx="3">
                  <c:v>0.68519338812934028</c:v>
                </c:pt>
                <c:pt idx="4">
                  <c:v>0.58946735784816728</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RER'!$L$36:$L$42</c:f>
              <c:strCache>
                <c:ptCount val="7"/>
                <c:pt idx="0">
                  <c:v>C.S. RUBI</c:v>
                </c:pt>
                <c:pt idx="1">
                  <c:v>C.S. INTIPAMPA</c:v>
                </c:pt>
                <c:pt idx="2">
                  <c:v>C.S. PANAMERICANA SOLAR</c:v>
                </c:pt>
                <c:pt idx="3">
                  <c:v>C.S. MOQUEGUA FV</c:v>
                </c:pt>
                <c:pt idx="4">
                  <c:v>C.S. REPARTICION</c:v>
                </c:pt>
                <c:pt idx="5">
                  <c:v>C.S. MAJES SOLAR</c:v>
                </c:pt>
                <c:pt idx="6">
                  <c:v>C.S. TACNA SOLAR</c:v>
                </c:pt>
              </c:strCache>
            </c:strRef>
          </c:cat>
          <c:val>
            <c:numRef>
              <c:f>'6. FP RER'!$O$36:$O$42</c:f>
              <c:numCache>
                <c:formatCode>0.00</c:formatCode>
                <c:ptCount val="7"/>
                <c:pt idx="0">
                  <c:v>31.818564655000003</c:v>
                </c:pt>
                <c:pt idx="1">
                  <c:v>7.9331178225000007</c:v>
                </c:pt>
                <c:pt idx="2">
                  <c:v>3.93006923</c:v>
                </c:pt>
                <c:pt idx="3">
                  <c:v>3.669384355</c:v>
                </c:pt>
                <c:pt idx="4">
                  <c:v>3.5730533725</c:v>
                </c:pt>
                <c:pt idx="5">
                  <c:v>3.4995767999999998</c:v>
                </c:pt>
                <c:pt idx="6">
                  <c:v>2.9160315799999998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RER'!$L$36:$L$42</c:f>
              <c:strCache>
                <c:ptCount val="7"/>
                <c:pt idx="0">
                  <c:v>C.S. RUBI</c:v>
                </c:pt>
                <c:pt idx="1">
                  <c:v>C.S. INTIPAMPA</c:v>
                </c:pt>
                <c:pt idx="2">
                  <c:v>C.S. PANAMERICANA SOLAR</c:v>
                </c:pt>
                <c:pt idx="3">
                  <c:v>C.S. MOQUEGUA FV</c:v>
                </c:pt>
                <c:pt idx="4">
                  <c:v>C.S. REPARTICION</c:v>
                </c:pt>
                <c:pt idx="5">
                  <c:v>C.S. MAJES SOLAR</c:v>
                </c:pt>
                <c:pt idx="6">
                  <c:v>C.S. TACNA SOLAR</c:v>
                </c:pt>
              </c:strCache>
            </c:strRef>
          </c:cat>
          <c:val>
            <c:numRef>
              <c:f>'6. FP RER'!$P$36:$P$42</c:f>
              <c:numCache>
                <c:formatCode>0.00</c:formatCode>
                <c:ptCount val="7"/>
                <c:pt idx="0">
                  <c:v>0.30587244538844288</c:v>
                </c:pt>
                <c:pt idx="1">
                  <c:v>0.24737806910455021</c:v>
                </c:pt>
                <c:pt idx="2">
                  <c:v>0.27292147430555558</c:v>
                </c:pt>
                <c:pt idx="3">
                  <c:v>0.31852294748263887</c:v>
                </c:pt>
                <c:pt idx="4">
                  <c:v>0.24812870642361112</c:v>
                </c:pt>
                <c:pt idx="5">
                  <c:v>0.24302616666666665</c:v>
                </c:pt>
                <c:pt idx="6">
                  <c:v>0.20250219305555556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C.T. PARAMONGA</c:v>
                </c:pt>
                <c:pt idx="1">
                  <c:v>C.T. HUAYCOLORO</c:v>
                </c:pt>
                <c:pt idx="2">
                  <c:v>C.T. LA GRINGA</c:v>
                </c:pt>
                <c:pt idx="3">
                  <c:v>C.T. DOÑA CATALINA</c:v>
                </c:pt>
              </c:strCache>
            </c:strRef>
          </c:cat>
          <c:val>
            <c:numRef>
              <c:f>'6. FP RER'!$O$43:$O$46</c:f>
              <c:numCache>
                <c:formatCode>0.00</c:formatCode>
                <c:ptCount val="4"/>
                <c:pt idx="0">
                  <c:v>8.3256122875000003</c:v>
                </c:pt>
                <c:pt idx="1">
                  <c:v>2.7446895099999997</c:v>
                </c:pt>
                <c:pt idx="2">
                  <c:v>1.8912772325</c:v>
                </c:pt>
                <c:pt idx="3">
                  <c:v>1.5962930499999999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RER'!$L$43:$L$46</c:f>
              <c:strCache>
                <c:ptCount val="4"/>
                <c:pt idx="0">
                  <c:v>C.T. PARAMONGA</c:v>
                </c:pt>
                <c:pt idx="1">
                  <c:v>C.T. HUAYCOLORO</c:v>
                </c:pt>
                <c:pt idx="2">
                  <c:v>C.T. LA GRINGA</c:v>
                </c:pt>
                <c:pt idx="3">
                  <c:v>C.T. DOÑA CATALINA</c:v>
                </c:pt>
              </c:strCache>
            </c:strRef>
          </c:cat>
          <c:val>
            <c:numRef>
              <c:f>'6. FP RER'!$P$43:$P$46</c:f>
              <c:numCache>
                <c:formatCode>0.00</c:formatCode>
                <c:ptCount val="4"/>
                <c:pt idx="0">
                  <c:v>0.90756651918841524</c:v>
                </c:pt>
                <c:pt idx="1">
                  <c:v>0.89432698273053091</c:v>
                </c:pt>
                <c:pt idx="2">
                  <c:v>0.88931642821809176</c:v>
                </c:pt>
                <c:pt idx="3">
                  <c:v>0.92378070023148151</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YARUCAYA</c:v>
                  </c:pt>
                  <c:pt idx="1">
                    <c:v>C.H. RENOVANDES H1</c:v>
                  </c:pt>
                  <c:pt idx="2">
                    <c:v>C.H. CARHUAQUERO IV</c:v>
                  </c:pt>
                  <c:pt idx="3">
                    <c:v>C.H. CAÑA BRAVA</c:v>
                  </c:pt>
                  <c:pt idx="4">
                    <c:v>C.H. LA JOYA</c:v>
                  </c:pt>
                  <c:pt idx="5">
                    <c:v>C.H. IMPERIAL</c:v>
                  </c:pt>
                  <c:pt idx="6">
                    <c:v>C.H. RUNATULLO III</c:v>
                  </c:pt>
                  <c:pt idx="7">
                    <c:v>C.H. POTRERO</c:v>
                  </c:pt>
                  <c:pt idx="8">
                    <c:v>C.H. LAS PIZARRAS</c:v>
                  </c:pt>
                  <c:pt idx="9">
                    <c:v>C.H. ZAÑA</c:v>
                  </c:pt>
                  <c:pt idx="10">
                    <c:v>C.H. CANCHAYLLO</c:v>
                  </c:pt>
                  <c:pt idx="11">
                    <c:v>C.H. HUASAHUASI II</c:v>
                  </c:pt>
                  <c:pt idx="12">
                    <c:v>C.H. YANAPAMPA</c:v>
                  </c:pt>
                  <c:pt idx="13">
                    <c:v>C.H. HUASAHUASI I</c:v>
                  </c:pt>
                  <c:pt idx="14">
                    <c:v>C.H. CARHUAC</c:v>
                  </c:pt>
                  <c:pt idx="15">
                    <c:v>C.H. POECHOS II</c:v>
                  </c:pt>
                  <c:pt idx="16">
                    <c:v>C.H. SANTA CRUZ II</c:v>
                  </c:pt>
                  <c:pt idx="17">
                    <c:v>C.H. SANTA CRUZ I</c:v>
                  </c:pt>
                  <c:pt idx="18">
                    <c:v>C.H. RUNATULLO II</c:v>
                  </c:pt>
                  <c:pt idx="19">
                    <c:v>C.H. HER 1</c:v>
                  </c:pt>
                  <c:pt idx="20">
                    <c:v>C.H. RONCADOR</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PANAMERICANA SOLAR</c:v>
                  </c:pt>
                  <c:pt idx="33">
                    <c:v>C.S. TACNA SOLAR</c:v>
                  </c:pt>
                  <c:pt idx="34">
                    <c:v>C.S. MAJES SOLAR</c:v>
                  </c:pt>
                  <c:pt idx="35">
                    <c:v>C.S. INTIPAMPA</c:v>
                  </c:pt>
                  <c:pt idx="36">
                    <c:v>C.S. REPARTICION</c:v>
                  </c:pt>
                  <c:pt idx="37">
                    <c:v>C.T. HUAYCOLORO</c:v>
                  </c:pt>
                  <c:pt idx="38">
                    <c:v>C.T. PARAMONGA</c:v>
                  </c:pt>
                  <c:pt idx="39">
                    <c:v>C.T. DOÑA CATALINA</c:v>
                  </c:pt>
                  <c:pt idx="40">
                    <c:v>C.T. LA GRINGA</c:v>
                  </c:pt>
                </c:lvl>
                <c:lvl>
                  <c:pt idx="0">
                    <c:v>HIDROELÉCTRICAS</c:v>
                  </c:pt>
                  <c:pt idx="25">
                    <c:v>EÓLICAS</c:v>
                  </c:pt>
                  <c:pt idx="30">
                    <c:v>SOLARES</c:v>
                  </c:pt>
                  <c:pt idx="37">
                    <c:v>TERMOELÉCTRICAS</c:v>
                  </c:pt>
                </c:lvl>
              </c:multiLvlStrCache>
            </c:multiLvlStrRef>
          </c:cat>
          <c:val>
            <c:numRef>
              <c:f>'6. FP RER'!$U$6:$U$46</c:f>
              <c:numCache>
                <c:formatCode>0.000</c:formatCode>
                <c:ptCount val="41"/>
                <c:pt idx="0">
                  <c:v>1</c:v>
                </c:pt>
                <c:pt idx="1">
                  <c:v>0.92702943358833012</c:v>
                </c:pt>
                <c:pt idx="2">
                  <c:v>0.84293252238514549</c:v>
                </c:pt>
                <c:pt idx="3">
                  <c:v>0.82099758890788466</c:v>
                </c:pt>
                <c:pt idx="4">
                  <c:v>0.81440564172564167</c:v>
                </c:pt>
                <c:pt idx="5">
                  <c:v>0.8021932058336404</c:v>
                </c:pt>
                <c:pt idx="6">
                  <c:v>0.76159283335719452</c:v>
                </c:pt>
                <c:pt idx="7">
                  <c:v>0.7538800854459009</c:v>
                </c:pt>
                <c:pt idx="8">
                  <c:v>0.75169793449912137</c:v>
                </c:pt>
                <c:pt idx="9">
                  <c:v>0.7510473887980631</c:v>
                </c:pt>
                <c:pt idx="10">
                  <c:v>0.70744135315195644</c:v>
                </c:pt>
                <c:pt idx="11">
                  <c:v>0.6947276285064341</c:v>
                </c:pt>
                <c:pt idx="12">
                  <c:v>0.69415846264407466</c:v>
                </c:pt>
                <c:pt idx="13">
                  <c:v>0.68445808217005066</c:v>
                </c:pt>
                <c:pt idx="14">
                  <c:v>0.66606059502751536</c:v>
                </c:pt>
                <c:pt idx="15">
                  <c:v>0.65880802486318157</c:v>
                </c:pt>
                <c:pt idx="16">
                  <c:v>0.63851774422110497</c:v>
                </c:pt>
                <c:pt idx="17">
                  <c:v>0.63025424609370018</c:v>
                </c:pt>
                <c:pt idx="18">
                  <c:v>0.62669924060824622</c:v>
                </c:pt>
                <c:pt idx="19">
                  <c:v>0.621464428206424</c:v>
                </c:pt>
                <c:pt idx="20">
                  <c:v>0.55299460529169409</c:v>
                </c:pt>
                <c:pt idx="21">
                  <c:v>0.47977354717683063</c:v>
                </c:pt>
                <c:pt idx="22">
                  <c:v>0.47371061283220872</c:v>
                </c:pt>
                <c:pt idx="23">
                  <c:v>0.43005923214227221</c:v>
                </c:pt>
                <c:pt idx="24">
                  <c:v>0.12166041267622175</c:v>
                </c:pt>
                <c:pt idx="25">
                  <c:v>0.57434254646349259</c:v>
                </c:pt>
                <c:pt idx="26">
                  <c:v>0.55707522702343026</c:v>
                </c:pt>
                <c:pt idx="27">
                  <c:v>0.49295078228247091</c:v>
                </c:pt>
                <c:pt idx="28">
                  <c:v>0.44169937798297759</c:v>
                </c:pt>
                <c:pt idx="29">
                  <c:v>0.41195506291155121</c:v>
                </c:pt>
                <c:pt idx="30">
                  <c:v>0.30861600991303056</c:v>
                </c:pt>
                <c:pt idx="31">
                  <c:v>0.29602837182150077</c:v>
                </c:pt>
                <c:pt idx="32">
                  <c:v>0.26766363342669031</c:v>
                </c:pt>
                <c:pt idx="33">
                  <c:v>0.25299442189956761</c:v>
                </c:pt>
                <c:pt idx="34">
                  <c:v>0.24270940315448114</c:v>
                </c:pt>
                <c:pt idx="35">
                  <c:v>0.23956347256626434</c:v>
                </c:pt>
                <c:pt idx="36">
                  <c:v>0.235783021545794</c:v>
                </c:pt>
                <c:pt idx="37">
                  <c:v>0.89638895002213215</c:v>
                </c:pt>
                <c:pt idx="38">
                  <c:v>0.81444546070124613</c:v>
                </c:pt>
                <c:pt idx="39">
                  <c:v>0.75586476799986946</c:v>
                </c:pt>
                <c:pt idx="40" formatCode="General">
                  <c:v>0.61082734192063304</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YARUCAYA</c:v>
                  </c:pt>
                  <c:pt idx="1">
                    <c:v>C.H. RENOVANDES H1</c:v>
                  </c:pt>
                  <c:pt idx="2">
                    <c:v>C.H. CARHUAQUERO IV</c:v>
                  </c:pt>
                  <c:pt idx="3">
                    <c:v>C.H. CAÑA BRAVA</c:v>
                  </c:pt>
                  <c:pt idx="4">
                    <c:v>C.H. LA JOYA</c:v>
                  </c:pt>
                  <c:pt idx="5">
                    <c:v>C.H. IMPERIAL</c:v>
                  </c:pt>
                  <c:pt idx="6">
                    <c:v>C.H. RUNATULLO III</c:v>
                  </c:pt>
                  <c:pt idx="7">
                    <c:v>C.H. POTRERO</c:v>
                  </c:pt>
                  <c:pt idx="8">
                    <c:v>C.H. LAS PIZARRAS</c:v>
                  </c:pt>
                  <c:pt idx="9">
                    <c:v>C.H. ZAÑA</c:v>
                  </c:pt>
                  <c:pt idx="10">
                    <c:v>C.H. CANCHAYLLO</c:v>
                  </c:pt>
                  <c:pt idx="11">
                    <c:v>C.H. HUASAHUASI II</c:v>
                  </c:pt>
                  <c:pt idx="12">
                    <c:v>C.H. YANAPAMPA</c:v>
                  </c:pt>
                  <c:pt idx="13">
                    <c:v>C.H. HUASAHUASI I</c:v>
                  </c:pt>
                  <c:pt idx="14">
                    <c:v>C.H. CARHUAC</c:v>
                  </c:pt>
                  <c:pt idx="15">
                    <c:v>C.H. POECHOS II</c:v>
                  </c:pt>
                  <c:pt idx="16">
                    <c:v>C.H. SANTA CRUZ II</c:v>
                  </c:pt>
                  <c:pt idx="17">
                    <c:v>C.H. SANTA CRUZ I</c:v>
                  </c:pt>
                  <c:pt idx="18">
                    <c:v>C.H. RUNATULLO II</c:v>
                  </c:pt>
                  <c:pt idx="19">
                    <c:v>C.H. HER 1</c:v>
                  </c:pt>
                  <c:pt idx="20">
                    <c:v>C.H. RONCADOR</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PANAMERICANA SOLAR</c:v>
                  </c:pt>
                  <c:pt idx="33">
                    <c:v>C.S. TACNA SOLAR</c:v>
                  </c:pt>
                  <c:pt idx="34">
                    <c:v>C.S. MAJES SOLAR</c:v>
                  </c:pt>
                  <c:pt idx="35">
                    <c:v>C.S. INTIPAMPA</c:v>
                  </c:pt>
                  <c:pt idx="36">
                    <c:v>C.S. REPARTICION</c:v>
                  </c:pt>
                  <c:pt idx="37">
                    <c:v>C.T. HUAYCOLORO</c:v>
                  </c:pt>
                  <c:pt idx="38">
                    <c:v>C.T. PARAMONGA</c:v>
                  </c:pt>
                  <c:pt idx="39">
                    <c:v>C.T. DOÑA CATALINA</c:v>
                  </c:pt>
                  <c:pt idx="40">
                    <c:v>C.T. LA GRINGA</c:v>
                  </c:pt>
                </c:lvl>
                <c:lvl>
                  <c:pt idx="0">
                    <c:v>HIDROELÉCTRICAS</c:v>
                  </c:pt>
                  <c:pt idx="25">
                    <c:v>EÓLICAS</c:v>
                  </c:pt>
                  <c:pt idx="30">
                    <c:v>SOLARES</c:v>
                  </c:pt>
                  <c:pt idx="37">
                    <c:v>TERMOELÉCTRICAS</c:v>
                  </c:pt>
                </c:lvl>
              </c:multiLvlStrCache>
            </c:multiLvlStrRef>
          </c:cat>
          <c:val>
            <c:numRef>
              <c:f>'6. FP RER'!$V$6:$V$46</c:f>
              <c:numCache>
                <c:formatCode>0.000</c:formatCode>
                <c:ptCount val="41"/>
                <c:pt idx="0">
                  <c:v>1</c:v>
                </c:pt>
                <c:pt idx="1">
                  <c:v>1</c:v>
                </c:pt>
                <c:pt idx="2">
                  <c:v>0.93177706895691381</c:v>
                </c:pt>
                <c:pt idx="3">
                  <c:v>0.82706626190395005</c:v>
                </c:pt>
                <c:pt idx="4">
                  <c:v>0.91210620638931794</c:v>
                </c:pt>
                <c:pt idx="5">
                  <c:v>0.81353149803108282</c:v>
                </c:pt>
                <c:pt idx="6">
                  <c:v>0.94004692450001104</c:v>
                </c:pt>
                <c:pt idx="7">
                  <c:v>0.77827952385662202</c:v>
                </c:pt>
                <c:pt idx="8">
                  <c:v>0.89521466973438768</c:v>
                </c:pt>
                <c:pt idx="10">
                  <c:v>0.92091094074907709</c:v>
                </c:pt>
                <c:pt idx="11">
                  <c:v>0.86209954063528194</c:v>
                </c:pt>
                <c:pt idx="12">
                  <c:v>0.92485197803925911</c:v>
                </c:pt>
                <c:pt idx="13">
                  <c:v>0.85079164925540574</c:v>
                </c:pt>
                <c:pt idx="15">
                  <c:v>0.8147972605580347</c:v>
                </c:pt>
                <c:pt idx="16">
                  <c:v>0.72151113961563096</c:v>
                </c:pt>
                <c:pt idx="17">
                  <c:v>0.69896172938380075</c:v>
                </c:pt>
                <c:pt idx="18">
                  <c:v>0.74903970729881086</c:v>
                </c:pt>
                <c:pt idx="20">
                  <c:v>1</c:v>
                </c:pt>
                <c:pt idx="24">
                  <c:v>0.20713906075736385</c:v>
                </c:pt>
                <c:pt idx="25">
                  <c:v>0.60594991108425422</c:v>
                </c:pt>
                <c:pt idx="26">
                  <c:v>0.62967444406018092</c:v>
                </c:pt>
                <c:pt idx="27">
                  <c:v>0.87717510995461923</c:v>
                </c:pt>
                <c:pt idx="28">
                  <c:v>0.44090602833138981</c:v>
                </c:pt>
                <c:pt idx="29">
                  <c:v>0.47212631368763947</c:v>
                </c:pt>
                <c:pt idx="30">
                  <c:v>0.36370993770142723</c:v>
                </c:pt>
                <c:pt idx="31">
                  <c:v>0.29481349981398813</c:v>
                </c:pt>
                <c:pt idx="32">
                  <c:v>0.31668357176565382</c:v>
                </c:pt>
                <c:pt idx="33">
                  <c:v>0.30338029604051564</c:v>
                </c:pt>
                <c:pt idx="34">
                  <c:v>0.2790377921270718</c:v>
                </c:pt>
                <c:pt idx="35">
                  <c:v>0.2951186994581893</c:v>
                </c:pt>
                <c:pt idx="36">
                  <c:v>0.24963172859116017</c:v>
                </c:pt>
                <c:pt idx="37">
                  <c:v>1</c:v>
                </c:pt>
                <c:pt idx="38">
                  <c:v>0.91247355666440699</c:v>
                </c:pt>
                <c:pt idx="40">
                  <c:v>0.45569663994330922</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empresa'!$L$5:$L$61</c:f>
              <c:strCache>
                <c:ptCount val="57"/>
                <c:pt idx="0">
                  <c:v>CERRO VERDE</c:v>
                </c:pt>
                <c:pt idx="1">
                  <c:v>PLANTA  ETEN</c:v>
                </c:pt>
                <c:pt idx="2">
                  <c:v>IYEPSA</c:v>
                </c:pt>
                <c:pt idx="3">
                  <c:v>SHOUGESA</c:v>
                </c:pt>
                <c:pt idx="4">
                  <c:v>HYDRO PATAPO</c:v>
                </c:pt>
                <c:pt idx="5">
                  <c:v>ELECTRICA SANTA ROSA</c:v>
                </c:pt>
                <c:pt idx="6">
                  <c:v>SAMAY I</c:v>
                </c:pt>
                <c:pt idx="7">
                  <c:v>MAJA ENERGIA</c:v>
                </c:pt>
                <c:pt idx="8">
                  <c:v>ELECTRICA YANAPAMPA</c:v>
                </c:pt>
                <c:pt idx="9">
                  <c:v>HIDROCAÑETE</c:v>
                </c:pt>
                <c:pt idx="10">
                  <c:v>EGECSAC</c:v>
                </c:pt>
                <c:pt idx="11">
                  <c:v>TACNA SOLAR</c:v>
                </c:pt>
                <c:pt idx="12">
                  <c:v>GTS MAJES</c:v>
                </c:pt>
                <c:pt idx="13">
                  <c:v>GTS REPARTICION</c:v>
                </c:pt>
                <c:pt idx="14">
                  <c:v>MOQUEGUA FV</c:v>
                </c:pt>
                <c:pt idx="15">
                  <c:v>AGUA AZUL</c:v>
                </c:pt>
                <c:pt idx="16">
                  <c:v>PANAMERICANA SOLAR</c:v>
                </c:pt>
                <c:pt idx="17">
                  <c:v>RIO DOBLE</c:v>
                </c:pt>
                <c:pt idx="18">
                  <c:v>SAN JACINTO</c:v>
                </c:pt>
                <c:pt idx="19">
                  <c:v>ELECTRO ZAÑA</c:v>
                </c:pt>
                <c:pt idx="20">
                  <c:v>AGROAURORA</c:v>
                </c:pt>
                <c:pt idx="21">
                  <c:v>SANTA CRUZ</c:v>
                </c:pt>
                <c:pt idx="22">
                  <c:v>PETRAMAS</c:v>
                </c:pt>
                <c:pt idx="23">
                  <c:v>EMGE JUNÍN</c:v>
                </c:pt>
                <c:pt idx="24">
                  <c:v>RIO BAÑOS</c:v>
                </c:pt>
                <c:pt idx="25">
                  <c:v>AIPSA</c:v>
                </c:pt>
                <c:pt idx="26">
                  <c:v>ANDEAN POWER</c:v>
                </c:pt>
                <c:pt idx="27">
                  <c:v>EGESUR</c:v>
                </c:pt>
                <c:pt idx="28">
                  <c:v>HIDROMARAÑON/ CELEPSA RENOVABLES</c:v>
                </c:pt>
                <c:pt idx="29">
                  <c:v>HUAURA POWER</c:v>
                </c:pt>
                <c:pt idx="30">
                  <c:v>HIDROELECTRICA HUANCHOR</c:v>
                </c:pt>
                <c:pt idx="31">
                  <c:v>SANTA ANA</c:v>
                </c:pt>
                <c:pt idx="32">
                  <c:v>P.E. MARCONA</c:v>
                </c:pt>
                <c:pt idx="33">
                  <c:v>SINERSA</c:v>
                </c:pt>
                <c:pt idx="34">
                  <c:v>GEPSA</c:v>
                </c:pt>
                <c:pt idx="35">
                  <c:v>SDF ENERGIA</c:v>
                </c:pt>
                <c:pt idx="36">
                  <c:v>TERMOSELVA</c:v>
                </c:pt>
                <c:pt idx="37">
                  <c:v>EMGE HUANZA</c:v>
                </c:pt>
                <c:pt idx="38">
                  <c:v>ENERGÍA EÓLICA</c:v>
                </c:pt>
                <c:pt idx="39">
                  <c:v>SAN GABAN</c:v>
                </c:pt>
                <c:pt idx="40">
                  <c:v>P.E. TRES HERMANAS</c:v>
                </c:pt>
                <c:pt idx="41">
                  <c:v>INLAND</c:v>
                </c:pt>
                <c:pt idx="42">
                  <c:v>CHINANGO</c:v>
                </c:pt>
                <c:pt idx="43">
                  <c:v>CELEPSA</c:v>
                </c:pt>
                <c:pt idx="44">
                  <c:v>ENEL GENERACION PIURA</c:v>
                </c:pt>
                <c:pt idx="45">
                  <c:v>EGASA</c:v>
                </c:pt>
                <c:pt idx="46">
                  <c:v>ENEL GREEN POWER PERU</c:v>
                </c:pt>
                <c:pt idx="47">
                  <c:v>ORAZUL ENERGY PERÚ</c:v>
                </c:pt>
                <c:pt idx="48">
                  <c:v>EMGE HUALLAGA</c:v>
                </c:pt>
                <c:pt idx="49">
                  <c:v>EGEMSA</c:v>
                </c:pt>
                <c:pt idx="50">
                  <c:v>STATKRAFT</c:v>
                </c:pt>
                <c:pt idx="51">
                  <c:v>TERMOCHILCA</c:v>
                </c:pt>
                <c:pt idx="52">
                  <c:v>FENIX POWER</c:v>
                </c:pt>
                <c:pt idx="53">
                  <c:v>ENEL GENERACION PERU</c:v>
                </c:pt>
                <c:pt idx="54">
                  <c:v>ENGIE</c:v>
                </c:pt>
                <c:pt idx="55">
                  <c:v>ELECTROPERU</c:v>
                </c:pt>
                <c:pt idx="56">
                  <c:v>KALLPA</c:v>
                </c:pt>
              </c:strCache>
            </c:strRef>
          </c:cat>
          <c:val>
            <c:numRef>
              <c:f>'7. Generacion empresa'!$M$5:$M$61</c:f>
              <c:numCache>
                <c:formatCode>General</c:formatCode>
                <c:ptCount val="57"/>
                <c:pt idx="0">
                  <c:v>0</c:v>
                </c:pt>
                <c:pt idx="1">
                  <c:v>2.5215424999999996E-3</c:v>
                </c:pt>
                <c:pt idx="2">
                  <c:v>2.73475525E-2</c:v>
                </c:pt>
                <c:pt idx="3">
                  <c:v>7.51934925E-2</c:v>
                </c:pt>
                <c:pt idx="4">
                  <c:v>9.8008250000000005E-2</c:v>
                </c:pt>
                <c:pt idx="5">
                  <c:v>0.24919130749999999</c:v>
                </c:pt>
                <c:pt idx="6">
                  <c:v>0.40410757000000003</c:v>
                </c:pt>
                <c:pt idx="7">
                  <c:v>1.1403937000000002</c:v>
                </c:pt>
                <c:pt idx="8">
                  <c:v>1.72368308</c:v>
                </c:pt>
                <c:pt idx="9">
                  <c:v>2.3740999999999999</c:v>
                </c:pt>
                <c:pt idx="10">
                  <c:v>2.6711766675000002</c:v>
                </c:pt>
                <c:pt idx="11">
                  <c:v>2.9160315799999998</c:v>
                </c:pt>
                <c:pt idx="12">
                  <c:v>3.4995767999999998</c:v>
                </c:pt>
                <c:pt idx="13">
                  <c:v>3.5730533725</c:v>
                </c:pt>
                <c:pt idx="14">
                  <c:v>3.669384355</c:v>
                </c:pt>
                <c:pt idx="15">
                  <c:v>3.8167390024999999</c:v>
                </c:pt>
                <c:pt idx="16">
                  <c:v>3.93006923</c:v>
                </c:pt>
                <c:pt idx="17">
                  <c:v>3.9679316425</c:v>
                </c:pt>
                <c:pt idx="18">
                  <c:v>5.0063399400000002</c:v>
                </c:pt>
                <c:pt idx="19">
                  <c:v>5.7604991300000004</c:v>
                </c:pt>
                <c:pt idx="20">
                  <c:v>5.9208024450000005</c:v>
                </c:pt>
                <c:pt idx="21">
                  <c:v>6.0541693274999995</c:v>
                </c:pt>
                <c:pt idx="22">
                  <c:v>6.232259792499999</c:v>
                </c:pt>
                <c:pt idx="23">
                  <c:v>7.8518114374999994</c:v>
                </c:pt>
                <c:pt idx="24">
                  <c:v>8.3234360350000003</c:v>
                </c:pt>
                <c:pt idx="25">
                  <c:v>8.3256122875000003</c:v>
                </c:pt>
                <c:pt idx="26">
                  <c:v>9.1813251700000009</c:v>
                </c:pt>
                <c:pt idx="27">
                  <c:v>9.4009940399999987</c:v>
                </c:pt>
                <c:pt idx="28">
                  <c:v>10.435492195</c:v>
                </c:pt>
                <c:pt idx="29">
                  <c:v>11.135751145</c:v>
                </c:pt>
                <c:pt idx="30">
                  <c:v>12.621841</c:v>
                </c:pt>
                <c:pt idx="31">
                  <c:v>14.703850147499999</c:v>
                </c:pt>
                <c:pt idx="32">
                  <c:v>15.786855662500001</c:v>
                </c:pt>
                <c:pt idx="33">
                  <c:v>15.966832397499999</c:v>
                </c:pt>
                <c:pt idx="34">
                  <c:v>17.591430482500002</c:v>
                </c:pt>
                <c:pt idx="35">
                  <c:v>20.584662175000002</c:v>
                </c:pt>
                <c:pt idx="36">
                  <c:v>27.007340322499999</c:v>
                </c:pt>
                <c:pt idx="37">
                  <c:v>35.189583937500004</c:v>
                </c:pt>
                <c:pt idx="38">
                  <c:v>38.501667577500001</c:v>
                </c:pt>
                <c:pt idx="39">
                  <c:v>42.822244964999996</c:v>
                </c:pt>
                <c:pt idx="40">
                  <c:v>44.431992664999996</c:v>
                </c:pt>
                <c:pt idx="41">
                  <c:v>48.790832967500002</c:v>
                </c:pt>
                <c:pt idx="42">
                  <c:v>51.123578004999999</c:v>
                </c:pt>
                <c:pt idx="43">
                  <c:v>56.944604062499998</c:v>
                </c:pt>
                <c:pt idx="44">
                  <c:v>64.338034284999992</c:v>
                </c:pt>
                <c:pt idx="45">
                  <c:v>71.220666857499992</c:v>
                </c:pt>
                <c:pt idx="46">
                  <c:v>90.229592492500004</c:v>
                </c:pt>
                <c:pt idx="47">
                  <c:v>91.60953804750001</c:v>
                </c:pt>
                <c:pt idx="48">
                  <c:v>92.340128859999993</c:v>
                </c:pt>
                <c:pt idx="49">
                  <c:v>93.4875355625</c:v>
                </c:pt>
                <c:pt idx="50">
                  <c:v>155.29043071249998</c:v>
                </c:pt>
                <c:pt idx="51">
                  <c:v>194.84912664500001</c:v>
                </c:pt>
                <c:pt idx="52">
                  <c:v>404.84561240500005</c:v>
                </c:pt>
                <c:pt idx="53">
                  <c:v>578.89770246500007</c:v>
                </c:pt>
                <c:pt idx="54">
                  <c:v>601.88591489999976</c:v>
                </c:pt>
                <c:pt idx="55">
                  <c:v>629.67828553749996</c:v>
                </c:pt>
                <c:pt idx="56">
                  <c:v>759.43477554499998</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empresa'!$L$5:$L$61</c:f>
              <c:strCache>
                <c:ptCount val="57"/>
                <c:pt idx="0">
                  <c:v>CERRO VERDE</c:v>
                </c:pt>
                <c:pt idx="1">
                  <c:v>PLANTA  ETEN</c:v>
                </c:pt>
                <c:pt idx="2">
                  <c:v>IYEPSA</c:v>
                </c:pt>
                <c:pt idx="3">
                  <c:v>SHOUGESA</c:v>
                </c:pt>
                <c:pt idx="4">
                  <c:v>HYDRO PATAPO</c:v>
                </c:pt>
                <c:pt idx="5">
                  <c:v>ELECTRICA SANTA ROSA</c:v>
                </c:pt>
                <c:pt idx="6">
                  <c:v>SAMAY I</c:v>
                </c:pt>
                <c:pt idx="7">
                  <c:v>MAJA ENERGIA</c:v>
                </c:pt>
                <c:pt idx="8">
                  <c:v>ELECTRICA YANAPAMPA</c:v>
                </c:pt>
                <c:pt idx="9">
                  <c:v>HIDROCAÑETE</c:v>
                </c:pt>
                <c:pt idx="10">
                  <c:v>EGECSAC</c:v>
                </c:pt>
                <c:pt idx="11">
                  <c:v>TACNA SOLAR</c:v>
                </c:pt>
                <c:pt idx="12">
                  <c:v>GTS MAJES</c:v>
                </c:pt>
                <c:pt idx="13">
                  <c:v>GTS REPARTICION</c:v>
                </c:pt>
                <c:pt idx="14">
                  <c:v>MOQUEGUA FV</c:v>
                </c:pt>
                <c:pt idx="15">
                  <c:v>AGUA AZUL</c:v>
                </c:pt>
                <c:pt idx="16">
                  <c:v>PANAMERICANA SOLAR</c:v>
                </c:pt>
                <c:pt idx="17">
                  <c:v>RIO DOBLE</c:v>
                </c:pt>
                <c:pt idx="18">
                  <c:v>SAN JACINTO</c:v>
                </c:pt>
                <c:pt idx="19">
                  <c:v>ELECTRO ZAÑA</c:v>
                </c:pt>
                <c:pt idx="20">
                  <c:v>AGROAURORA</c:v>
                </c:pt>
                <c:pt idx="21">
                  <c:v>SANTA CRUZ</c:v>
                </c:pt>
                <c:pt idx="22">
                  <c:v>PETRAMAS</c:v>
                </c:pt>
                <c:pt idx="23">
                  <c:v>EMGE JUNÍN</c:v>
                </c:pt>
                <c:pt idx="24">
                  <c:v>RIO BAÑOS</c:v>
                </c:pt>
                <c:pt idx="25">
                  <c:v>AIPSA</c:v>
                </c:pt>
                <c:pt idx="26">
                  <c:v>ANDEAN POWER</c:v>
                </c:pt>
                <c:pt idx="27">
                  <c:v>EGESUR</c:v>
                </c:pt>
                <c:pt idx="28">
                  <c:v>HIDROMARAÑON/ CELEPSA RENOVABLES</c:v>
                </c:pt>
                <c:pt idx="29">
                  <c:v>HUAURA POWER</c:v>
                </c:pt>
                <c:pt idx="30">
                  <c:v>HIDROELECTRICA HUANCHOR</c:v>
                </c:pt>
                <c:pt idx="31">
                  <c:v>SANTA ANA</c:v>
                </c:pt>
                <c:pt idx="32">
                  <c:v>P.E. MARCONA</c:v>
                </c:pt>
                <c:pt idx="33">
                  <c:v>SINERSA</c:v>
                </c:pt>
                <c:pt idx="34">
                  <c:v>GEPSA</c:v>
                </c:pt>
                <c:pt idx="35">
                  <c:v>SDF ENERGIA</c:v>
                </c:pt>
                <c:pt idx="36">
                  <c:v>TERMOSELVA</c:v>
                </c:pt>
                <c:pt idx="37">
                  <c:v>EMGE HUANZA</c:v>
                </c:pt>
                <c:pt idx="38">
                  <c:v>ENERGÍA EÓLICA</c:v>
                </c:pt>
                <c:pt idx="39">
                  <c:v>SAN GABAN</c:v>
                </c:pt>
                <c:pt idx="40">
                  <c:v>P.E. TRES HERMANAS</c:v>
                </c:pt>
                <c:pt idx="41">
                  <c:v>INLAND</c:v>
                </c:pt>
                <c:pt idx="42">
                  <c:v>CHINANGO</c:v>
                </c:pt>
                <c:pt idx="43">
                  <c:v>CELEPSA</c:v>
                </c:pt>
                <c:pt idx="44">
                  <c:v>ENEL GENERACION PIURA</c:v>
                </c:pt>
                <c:pt idx="45">
                  <c:v>EGASA</c:v>
                </c:pt>
                <c:pt idx="46">
                  <c:v>ENEL GREEN POWER PERU</c:v>
                </c:pt>
                <c:pt idx="47">
                  <c:v>ORAZUL ENERGY PERÚ</c:v>
                </c:pt>
                <c:pt idx="48">
                  <c:v>EMGE HUALLAGA</c:v>
                </c:pt>
                <c:pt idx="49">
                  <c:v>EGEMSA</c:v>
                </c:pt>
                <c:pt idx="50">
                  <c:v>STATKRAFT</c:v>
                </c:pt>
                <c:pt idx="51">
                  <c:v>TERMOCHILCA</c:v>
                </c:pt>
                <c:pt idx="52">
                  <c:v>FENIX POWER</c:v>
                </c:pt>
                <c:pt idx="53">
                  <c:v>ENEL GENERACION PERU</c:v>
                </c:pt>
                <c:pt idx="54">
                  <c:v>ENGIE</c:v>
                </c:pt>
                <c:pt idx="55">
                  <c:v>ELECTROPERU</c:v>
                </c:pt>
                <c:pt idx="56">
                  <c:v>KALLPA</c:v>
                </c:pt>
              </c:strCache>
            </c:strRef>
          </c:cat>
          <c:val>
            <c:numRef>
              <c:f>'7. Generacion empresa'!$N$5:$N$61</c:f>
              <c:numCache>
                <c:formatCode>General</c:formatCode>
                <c:ptCount val="57"/>
                <c:pt idx="0">
                  <c:v>0</c:v>
                </c:pt>
                <c:pt idx="1">
                  <c:v>1.8681192500000002E-2</c:v>
                </c:pt>
                <c:pt idx="2">
                  <c:v>3.8967750000000002E-2</c:v>
                </c:pt>
                <c:pt idx="3">
                  <c:v>2.56264264</c:v>
                </c:pt>
                <c:pt idx="5">
                  <c:v>0.10120691750000001</c:v>
                </c:pt>
                <c:pt idx="6">
                  <c:v>0.83955658499999997</c:v>
                </c:pt>
                <c:pt idx="7">
                  <c:v>1.3763512499999999</c:v>
                </c:pt>
                <c:pt idx="8">
                  <c:v>1.7380232949999999</c:v>
                </c:pt>
                <c:pt idx="9">
                  <c:v>2.3769</c:v>
                </c:pt>
                <c:pt idx="10">
                  <c:v>1.8083924999999998</c:v>
                </c:pt>
                <c:pt idx="11">
                  <c:v>2.4849694874999999</c:v>
                </c:pt>
                <c:pt idx="12">
                  <c:v>3.2094846449999999</c:v>
                </c:pt>
                <c:pt idx="13">
                  <c:v>3.12937362</c:v>
                </c:pt>
                <c:pt idx="14">
                  <c:v>3.2058893474999999</c:v>
                </c:pt>
                <c:pt idx="15">
                  <c:v>3.0547518500000002</c:v>
                </c:pt>
                <c:pt idx="16">
                  <c:v>3.4265142500000003</c:v>
                </c:pt>
                <c:pt idx="17">
                  <c:v>3.7573950974999999</c:v>
                </c:pt>
                <c:pt idx="20">
                  <c:v>0</c:v>
                </c:pt>
                <c:pt idx="21">
                  <c:v>8.0292738875000005</c:v>
                </c:pt>
                <c:pt idx="22">
                  <c:v>2.9110080250000001</c:v>
                </c:pt>
                <c:pt idx="23">
                  <c:v>11.214617865000001</c:v>
                </c:pt>
                <c:pt idx="25">
                  <c:v>8.1191125700000004</c:v>
                </c:pt>
                <c:pt idx="27">
                  <c:v>23.565598619999996</c:v>
                </c:pt>
                <c:pt idx="28">
                  <c:v>10.099239602499999</c:v>
                </c:pt>
                <c:pt idx="29">
                  <c:v>10.850510617499999</c:v>
                </c:pt>
                <c:pt idx="30">
                  <c:v>12.649584000000001</c:v>
                </c:pt>
                <c:pt idx="31">
                  <c:v>14.22320399</c:v>
                </c:pt>
                <c:pt idx="32">
                  <c:v>12.829955142500001</c:v>
                </c:pt>
                <c:pt idx="33">
                  <c:v>3.49702081</c:v>
                </c:pt>
                <c:pt idx="34">
                  <c:v>3.8786530300000006</c:v>
                </c:pt>
                <c:pt idx="35">
                  <c:v>20.7010441525</c:v>
                </c:pt>
                <c:pt idx="36">
                  <c:v>61.959598970000002</c:v>
                </c:pt>
                <c:pt idx="37">
                  <c:v>40.0290006225</c:v>
                </c:pt>
                <c:pt idx="38">
                  <c:v>30.511771475</c:v>
                </c:pt>
                <c:pt idx="39">
                  <c:v>44.984563982499999</c:v>
                </c:pt>
                <c:pt idx="40">
                  <c:v>38.870344745000004</c:v>
                </c:pt>
                <c:pt idx="41">
                  <c:v>50.1794445325</c:v>
                </c:pt>
                <c:pt idx="42">
                  <c:v>73.811786207500006</c:v>
                </c:pt>
                <c:pt idx="43">
                  <c:v>63.459608375000002</c:v>
                </c:pt>
                <c:pt idx="44">
                  <c:v>70.669869725000012</c:v>
                </c:pt>
                <c:pt idx="45">
                  <c:v>75.723573012499983</c:v>
                </c:pt>
                <c:pt idx="46">
                  <c:v>75.6085275975</c:v>
                </c:pt>
                <c:pt idx="47">
                  <c:v>88.898847340000003</c:v>
                </c:pt>
                <c:pt idx="48">
                  <c:v>81.005481285000002</c:v>
                </c:pt>
                <c:pt idx="49">
                  <c:v>95.862467440000003</c:v>
                </c:pt>
                <c:pt idx="50">
                  <c:v>159.53310032000002</c:v>
                </c:pt>
                <c:pt idx="51">
                  <c:v>193.17047228000001</c:v>
                </c:pt>
                <c:pt idx="52">
                  <c:v>333.9755148525</c:v>
                </c:pt>
                <c:pt idx="53">
                  <c:v>542.10331888999997</c:v>
                </c:pt>
                <c:pt idx="54">
                  <c:v>638.24097468499997</c:v>
                </c:pt>
                <c:pt idx="55">
                  <c:v>616.8177441675</c:v>
                </c:pt>
                <c:pt idx="56">
                  <c:v>648.89763769749993</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4580.6239199999991</c:v>
                </c:pt>
                <c:pt idx="1">
                  <c:v>4457.8647499999988</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2106.5043700000006</c:v>
                </c:pt>
                <c:pt idx="1">
                  <c:v>1943.7948299999998</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303.54068999999998</c:v>
                </c:pt>
                <c:pt idx="1">
                  <c:v>309.01528000000002</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Empresa'!$L$7:$L$63</c:f>
              <c:strCache>
                <c:ptCount val="57"/>
                <c:pt idx="0">
                  <c:v>AGROAURORA</c:v>
                </c:pt>
                <c:pt idx="1">
                  <c:v>CERRO VERDE</c:v>
                </c:pt>
                <c:pt idx="2">
                  <c:v>GTS MAJES</c:v>
                </c:pt>
                <c:pt idx="3">
                  <c:v>GTS REPARTICION</c:v>
                </c:pt>
                <c:pt idx="4">
                  <c:v>HYDRO PATAPO</c:v>
                </c:pt>
                <c:pt idx="5">
                  <c:v>IYEPSA</c:v>
                </c:pt>
                <c:pt idx="6">
                  <c:v>MOQUEGUA FV</c:v>
                </c:pt>
                <c:pt idx="7">
                  <c:v>PANAMERICANA SOLAR</c:v>
                </c:pt>
                <c:pt idx="8">
                  <c:v>PLANTA  ETEN</c:v>
                </c:pt>
                <c:pt idx="9">
                  <c:v>SAMAY I</c:v>
                </c:pt>
                <c:pt idx="10">
                  <c:v>SHOUGESA</c:v>
                </c:pt>
                <c:pt idx="11">
                  <c:v>TACNA SOLAR</c:v>
                </c:pt>
                <c:pt idx="12">
                  <c:v>ELECTRICA SANTA ROSA</c:v>
                </c:pt>
                <c:pt idx="13">
                  <c:v>MAJA ENERGIA</c:v>
                </c:pt>
                <c:pt idx="14">
                  <c:v>ELECTRICA YANAPAMPA</c:v>
                </c:pt>
                <c:pt idx="15">
                  <c:v>AGUA AZUL</c:v>
                </c:pt>
                <c:pt idx="16">
                  <c:v>HIDROCAÑETE</c:v>
                </c:pt>
                <c:pt idx="17">
                  <c:v>RIO DOBLE</c:v>
                </c:pt>
                <c:pt idx="18">
                  <c:v>EGECSAC</c:v>
                </c:pt>
                <c:pt idx="19">
                  <c:v>EMGE HUALLAGA</c:v>
                </c:pt>
                <c:pt idx="20">
                  <c:v>SAN JACINTO</c:v>
                </c:pt>
                <c:pt idx="21">
                  <c:v>ELECTRO ZAÑA</c:v>
                </c:pt>
                <c:pt idx="22">
                  <c:v>SANTA CRUZ</c:v>
                </c:pt>
                <c:pt idx="23">
                  <c:v>PETRAMAS</c:v>
                </c:pt>
                <c:pt idx="24">
                  <c:v>EMGE JUNÍN</c:v>
                </c:pt>
                <c:pt idx="25">
                  <c:v>RIO BAÑOS</c:v>
                </c:pt>
                <c:pt idx="26">
                  <c:v>HIDROMARAÑON/ CELEPSA RENOVABLES</c:v>
                </c:pt>
                <c:pt idx="27">
                  <c:v>AIPSA</c:v>
                </c:pt>
                <c:pt idx="28">
                  <c:v>HUAURA POWER</c:v>
                </c:pt>
                <c:pt idx="29">
                  <c:v>ANDEAN POWER</c:v>
                </c:pt>
                <c:pt idx="30">
                  <c:v>HIDROELECTRICA HUANCHOR</c:v>
                </c:pt>
                <c:pt idx="31">
                  <c:v>SANTA ANA</c:v>
                </c:pt>
                <c:pt idx="32">
                  <c:v>GEPSA</c:v>
                </c:pt>
                <c:pt idx="33">
                  <c:v>SINERSA</c:v>
                </c:pt>
                <c:pt idx="34">
                  <c:v>EGESUR</c:v>
                </c:pt>
                <c:pt idx="35">
                  <c:v>SDF ENERGIA</c:v>
                </c:pt>
                <c:pt idx="36">
                  <c:v>P.E. MARCONA</c:v>
                </c:pt>
                <c:pt idx="37">
                  <c:v>CELEPSA</c:v>
                </c:pt>
                <c:pt idx="38">
                  <c:v>EMGE HUANZA</c:v>
                </c:pt>
                <c:pt idx="39">
                  <c:v>ENERGÍA EÓLICA</c:v>
                </c:pt>
                <c:pt idx="40">
                  <c:v>INLAND</c:v>
                </c:pt>
                <c:pt idx="41">
                  <c:v>P.E. TRES HERMANAS</c:v>
                </c:pt>
                <c:pt idx="42">
                  <c:v>CHINANGO</c:v>
                </c:pt>
                <c:pt idx="43">
                  <c:v>ENEL GENERACION PIURA</c:v>
                </c:pt>
                <c:pt idx="44">
                  <c:v>SAN GABAN</c:v>
                </c:pt>
                <c:pt idx="45">
                  <c:v>EGEMSA</c:v>
                </c:pt>
                <c:pt idx="46">
                  <c:v>ENEL GREEN POWER PERU</c:v>
                </c:pt>
                <c:pt idx="47">
                  <c:v>ORAZUL ENERGY PERÚ</c:v>
                </c:pt>
                <c:pt idx="48">
                  <c:v>EGASA</c:v>
                </c:pt>
                <c:pt idx="49">
                  <c:v>TERMOSELVA</c:v>
                </c:pt>
                <c:pt idx="50">
                  <c:v>STATKRAFT</c:v>
                </c:pt>
                <c:pt idx="51">
                  <c:v>TERMOCHILCA</c:v>
                </c:pt>
                <c:pt idx="52">
                  <c:v>FENIX POWER</c:v>
                </c:pt>
                <c:pt idx="53">
                  <c:v>ELECTROPERU</c:v>
                </c:pt>
                <c:pt idx="54">
                  <c:v>ENGIE</c:v>
                </c:pt>
                <c:pt idx="55">
                  <c:v>KALLPA</c:v>
                </c:pt>
                <c:pt idx="56">
                  <c:v>ENEL GENERACION PERU</c:v>
                </c:pt>
              </c:strCache>
            </c:strRef>
          </c:cat>
          <c:val>
            <c:numRef>
              <c:f>'9. Pot. Empresa'!$M$7:$M$63</c:f>
              <c:numCache>
                <c:formatCode>0</c:formatCode>
                <c:ptCount val="57"/>
                <c:pt idx="0">
                  <c:v>0</c:v>
                </c:pt>
                <c:pt idx="1">
                  <c:v>0</c:v>
                </c:pt>
                <c:pt idx="2">
                  <c:v>0</c:v>
                </c:pt>
                <c:pt idx="3">
                  <c:v>0</c:v>
                </c:pt>
                <c:pt idx="4">
                  <c:v>0</c:v>
                </c:pt>
                <c:pt idx="5">
                  <c:v>0</c:v>
                </c:pt>
                <c:pt idx="6">
                  <c:v>0</c:v>
                </c:pt>
                <c:pt idx="7">
                  <c:v>0</c:v>
                </c:pt>
                <c:pt idx="8">
                  <c:v>0</c:v>
                </c:pt>
                <c:pt idx="9">
                  <c:v>0</c:v>
                </c:pt>
                <c:pt idx="10">
                  <c:v>0</c:v>
                </c:pt>
                <c:pt idx="11">
                  <c:v>0</c:v>
                </c:pt>
                <c:pt idx="12">
                  <c:v>1.728E-2</c:v>
                </c:pt>
                <c:pt idx="13">
                  <c:v>1.7833999999999999</c:v>
                </c:pt>
                <c:pt idx="14">
                  <c:v>1.8469500000000001</c:v>
                </c:pt>
                <c:pt idx="15">
                  <c:v>3.5552600000000001</c:v>
                </c:pt>
                <c:pt idx="16">
                  <c:v>3.6</c:v>
                </c:pt>
                <c:pt idx="17">
                  <c:v>4.5350599999999996</c:v>
                </c:pt>
                <c:pt idx="18">
                  <c:v>4.9809799999999997</c:v>
                </c:pt>
                <c:pt idx="19">
                  <c:v>6.4285699999999997</c:v>
                </c:pt>
                <c:pt idx="20">
                  <c:v>6.8680000000000003</c:v>
                </c:pt>
                <c:pt idx="21">
                  <c:v>6.9106399999999999</c:v>
                </c:pt>
                <c:pt idx="22">
                  <c:v>7.48794</c:v>
                </c:pt>
                <c:pt idx="23">
                  <c:v>7.7927999999999997</c:v>
                </c:pt>
                <c:pt idx="24">
                  <c:v>8.7378800000000005</c:v>
                </c:pt>
                <c:pt idx="25">
                  <c:v>12.18479</c:v>
                </c:pt>
                <c:pt idx="26">
                  <c:v>13.182869999999999</c:v>
                </c:pt>
                <c:pt idx="27">
                  <c:v>14.317920000000001</c:v>
                </c:pt>
                <c:pt idx="28">
                  <c:v>14.84337</c:v>
                </c:pt>
                <c:pt idx="29">
                  <c:v>15.855229999999999</c:v>
                </c:pt>
                <c:pt idx="30">
                  <c:v>18.527999999999999</c:v>
                </c:pt>
                <c:pt idx="31">
                  <c:v>20.00085</c:v>
                </c:pt>
                <c:pt idx="32">
                  <c:v>22.363440000000001</c:v>
                </c:pt>
                <c:pt idx="33">
                  <c:v>23.643570000000004</c:v>
                </c:pt>
                <c:pt idx="34">
                  <c:v>25.86</c:v>
                </c:pt>
                <c:pt idx="35">
                  <c:v>28.627479999999998</c:v>
                </c:pt>
                <c:pt idx="36">
                  <c:v>30.807130000000001</c:v>
                </c:pt>
                <c:pt idx="37">
                  <c:v>57.046239999999997</c:v>
                </c:pt>
                <c:pt idx="38">
                  <c:v>59.373419999999996</c:v>
                </c:pt>
                <c:pt idx="39">
                  <c:v>61.083310000000004</c:v>
                </c:pt>
                <c:pt idx="40">
                  <c:v>65.870020000000011</c:v>
                </c:pt>
                <c:pt idx="41">
                  <c:v>87.321700000000007</c:v>
                </c:pt>
                <c:pt idx="42">
                  <c:v>87.994110000000006</c:v>
                </c:pt>
                <c:pt idx="43">
                  <c:v>91.333510000000004</c:v>
                </c:pt>
                <c:pt idx="44">
                  <c:v>99.512879999999996</c:v>
                </c:pt>
                <c:pt idx="45">
                  <c:v>126.30718999999999</c:v>
                </c:pt>
                <c:pt idx="46">
                  <c:v>129.72591</c:v>
                </c:pt>
                <c:pt idx="47">
                  <c:v>147.59696</c:v>
                </c:pt>
                <c:pt idx="48">
                  <c:v>150.46375000000003</c:v>
                </c:pt>
                <c:pt idx="49">
                  <c:v>167.28831</c:v>
                </c:pt>
                <c:pt idx="50">
                  <c:v>225.76106999999999</c:v>
                </c:pt>
                <c:pt idx="51">
                  <c:v>287.88475</c:v>
                </c:pt>
                <c:pt idx="52">
                  <c:v>545.92955000000006</c:v>
                </c:pt>
                <c:pt idx="53">
                  <c:v>856.78128000000004</c:v>
                </c:pt>
                <c:pt idx="54">
                  <c:v>917.55417000000011</c:v>
                </c:pt>
                <c:pt idx="55">
                  <c:v>1052.8701000000001</c:v>
                </c:pt>
                <c:pt idx="56">
                  <c:v>1169.6795699999998</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Empresa'!$L$7:$L$63</c:f>
              <c:strCache>
                <c:ptCount val="57"/>
                <c:pt idx="0">
                  <c:v>AGROAURORA</c:v>
                </c:pt>
                <c:pt idx="1">
                  <c:v>CERRO VERDE</c:v>
                </c:pt>
                <c:pt idx="2">
                  <c:v>GTS MAJES</c:v>
                </c:pt>
                <c:pt idx="3">
                  <c:v>GTS REPARTICION</c:v>
                </c:pt>
                <c:pt idx="4">
                  <c:v>HYDRO PATAPO</c:v>
                </c:pt>
                <c:pt idx="5">
                  <c:v>IYEPSA</c:v>
                </c:pt>
                <c:pt idx="6">
                  <c:v>MOQUEGUA FV</c:v>
                </c:pt>
                <c:pt idx="7">
                  <c:v>PANAMERICANA SOLAR</c:v>
                </c:pt>
                <c:pt idx="8">
                  <c:v>PLANTA  ETEN</c:v>
                </c:pt>
                <c:pt idx="9">
                  <c:v>SAMAY I</c:v>
                </c:pt>
                <c:pt idx="10">
                  <c:v>SHOUGESA</c:v>
                </c:pt>
                <c:pt idx="11">
                  <c:v>TACNA SOLAR</c:v>
                </c:pt>
                <c:pt idx="12">
                  <c:v>ELECTRICA SANTA ROSA</c:v>
                </c:pt>
                <c:pt idx="13">
                  <c:v>MAJA ENERGIA</c:v>
                </c:pt>
                <c:pt idx="14">
                  <c:v>ELECTRICA YANAPAMPA</c:v>
                </c:pt>
                <c:pt idx="15">
                  <c:v>AGUA AZUL</c:v>
                </c:pt>
                <c:pt idx="16">
                  <c:v>HIDROCAÑETE</c:v>
                </c:pt>
                <c:pt idx="17">
                  <c:v>RIO DOBLE</c:v>
                </c:pt>
                <c:pt idx="18">
                  <c:v>EGECSAC</c:v>
                </c:pt>
                <c:pt idx="19">
                  <c:v>EMGE HUALLAGA</c:v>
                </c:pt>
                <c:pt idx="20">
                  <c:v>SAN JACINTO</c:v>
                </c:pt>
                <c:pt idx="21">
                  <c:v>ELECTRO ZAÑA</c:v>
                </c:pt>
                <c:pt idx="22">
                  <c:v>SANTA CRUZ</c:v>
                </c:pt>
                <c:pt idx="23">
                  <c:v>PETRAMAS</c:v>
                </c:pt>
                <c:pt idx="24">
                  <c:v>EMGE JUNÍN</c:v>
                </c:pt>
                <c:pt idx="25">
                  <c:v>RIO BAÑOS</c:v>
                </c:pt>
                <c:pt idx="26">
                  <c:v>HIDROMARAÑON/ CELEPSA RENOVABLES</c:v>
                </c:pt>
                <c:pt idx="27">
                  <c:v>AIPSA</c:v>
                </c:pt>
                <c:pt idx="28">
                  <c:v>HUAURA POWER</c:v>
                </c:pt>
                <c:pt idx="29">
                  <c:v>ANDEAN POWER</c:v>
                </c:pt>
                <c:pt idx="30">
                  <c:v>HIDROELECTRICA HUANCHOR</c:v>
                </c:pt>
                <c:pt idx="31">
                  <c:v>SANTA ANA</c:v>
                </c:pt>
                <c:pt idx="32">
                  <c:v>GEPSA</c:v>
                </c:pt>
                <c:pt idx="33">
                  <c:v>SINERSA</c:v>
                </c:pt>
                <c:pt idx="34">
                  <c:v>EGESUR</c:v>
                </c:pt>
                <c:pt idx="35">
                  <c:v>SDF ENERGIA</c:v>
                </c:pt>
                <c:pt idx="36">
                  <c:v>P.E. MARCONA</c:v>
                </c:pt>
                <c:pt idx="37">
                  <c:v>CELEPSA</c:v>
                </c:pt>
                <c:pt idx="38">
                  <c:v>EMGE HUANZA</c:v>
                </c:pt>
                <c:pt idx="39">
                  <c:v>ENERGÍA EÓLICA</c:v>
                </c:pt>
                <c:pt idx="40">
                  <c:v>INLAND</c:v>
                </c:pt>
                <c:pt idx="41">
                  <c:v>P.E. TRES HERMANAS</c:v>
                </c:pt>
                <c:pt idx="42">
                  <c:v>CHINANGO</c:v>
                </c:pt>
                <c:pt idx="43">
                  <c:v>ENEL GENERACION PIURA</c:v>
                </c:pt>
                <c:pt idx="44">
                  <c:v>SAN GABAN</c:v>
                </c:pt>
                <c:pt idx="45">
                  <c:v>EGEMSA</c:v>
                </c:pt>
                <c:pt idx="46">
                  <c:v>ENEL GREEN POWER PERU</c:v>
                </c:pt>
                <c:pt idx="47">
                  <c:v>ORAZUL ENERGY PERÚ</c:v>
                </c:pt>
                <c:pt idx="48">
                  <c:v>EGASA</c:v>
                </c:pt>
                <c:pt idx="49">
                  <c:v>TERMOSELVA</c:v>
                </c:pt>
                <c:pt idx="50">
                  <c:v>STATKRAFT</c:v>
                </c:pt>
                <c:pt idx="51">
                  <c:v>TERMOCHILCA</c:v>
                </c:pt>
                <c:pt idx="52">
                  <c:v>FENIX POWER</c:v>
                </c:pt>
                <c:pt idx="53">
                  <c:v>ELECTROPERU</c:v>
                </c:pt>
                <c:pt idx="54">
                  <c:v>ENGIE</c:v>
                </c:pt>
                <c:pt idx="55">
                  <c:v>KALLPA</c:v>
                </c:pt>
                <c:pt idx="56">
                  <c:v>ENEL GENERACION PERU</c:v>
                </c:pt>
              </c:strCache>
            </c:strRef>
          </c:cat>
          <c:val>
            <c:numRef>
              <c:f>'9. Pot. Empresa'!$N$7:$N$63</c:f>
              <c:numCache>
                <c:formatCode>0</c:formatCode>
                <c:ptCount val="57"/>
                <c:pt idx="0">
                  <c:v>0</c:v>
                </c:pt>
                <c:pt idx="1">
                  <c:v>0</c:v>
                </c:pt>
                <c:pt idx="2">
                  <c:v>0</c:v>
                </c:pt>
                <c:pt idx="3">
                  <c:v>0</c:v>
                </c:pt>
                <c:pt idx="5">
                  <c:v>0</c:v>
                </c:pt>
                <c:pt idx="6">
                  <c:v>0</c:v>
                </c:pt>
                <c:pt idx="7">
                  <c:v>0</c:v>
                </c:pt>
                <c:pt idx="8">
                  <c:v>0</c:v>
                </c:pt>
                <c:pt idx="9">
                  <c:v>0</c:v>
                </c:pt>
                <c:pt idx="10">
                  <c:v>0</c:v>
                </c:pt>
                <c:pt idx="11">
                  <c:v>0</c:v>
                </c:pt>
                <c:pt idx="12">
                  <c:v>0.30986999999999998</c:v>
                </c:pt>
                <c:pt idx="13">
                  <c:v>1.857</c:v>
                </c:pt>
                <c:pt idx="14">
                  <c:v>2.46305</c:v>
                </c:pt>
                <c:pt idx="15">
                  <c:v>4.2273899999999998</c:v>
                </c:pt>
                <c:pt idx="16">
                  <c:v>3.2</c:v>
                </c:pt>
                <c:pt idx="17">
                  <c:v>5.1794700000000002</c:v>
                </c:pt>
                <c:pt idx="18">
                  <c:v>2.1800000000000002</c:v>
                </c:pt>
                <c:pt idx="19">
                  <c:v>235.94978999999998</c:v>
                </c:pt>
                <c:pt idx="22">
                  <c:v>11.733280000000001</c:v>
                </c:pt>
                <c:pt idx="23">
                  <c:v>4.3132000000000001</c:v>
                </c:pt>
                <c:pt idx="24">
                  <c:v>11.62796</c:v>
                </c:pt>
                <c:pt idx="26">
                  <c:v>17.331960000000002</c:v>
                </c:pt>
                <c:pt idx="27">
                  <c:v>13.786569999999999</c:v>
                </c:pt>
                <c:pt idx="28">
                  <c:v>15.15048</c:v>
                </c:pt>
                <c:pt idx="30">
                  <c:v>17.027999999999999</c:v>
                </c:pt>
                <c:pt idx="31">
                  <c:v>19.981480000000001</c:v>
                </c:pt>
                <c:pt idx="32">
                  <c:v>5.2402199999999999</c:v>
                </c:pt>
                <c:pt idx="33">
                  <c:v>4.2768300000000004</c:v>
                </c:pt>
                <c:pt idx="34">
                  <c:v>46.913179999999997</c:v>
                </c:pt>
                <c:pt idx="35">
                  <c:v>28.065159999999999</c:v>
                </c:pt>
                <c:pt idx="36">
                  <c:v>15.02704</c:v>
                </c:pt>
                <c:pt idx="37">
                  <c:v>180.89832999999999</c:v>
                </c:pt>
                <c:pt idx="38">
                  <c:v>93.694500000000005</c:v>
                </c:pt>
                <c:pt idx="39">
                  <c:v>25.263779999999997</c:v>
                </c:pt>
                <c:pt idx="40">
                  <c:v>60.503439999999998</c:v>
                </c:pt>
                <c:pt idx="41">
                  <c:v>53.820979999999999</c:v>
                </c:pt>
                <c:pt idx="42">
                  <c:v>124.50915999999999</c:v>
                </c:pt>
                <c:pt idx="43">
                  <c:v>80.24427</c:v>
                </c:pt>
                <c:pt idx="44">
                  <c:v>76.185190000000006</c:v>
                </c:pt>
                <c:pt idx="45">
                  <c:v>115.89467</c:v>
                </c:pt>
                <c:pt idx="46">
                  <c:v>91.487089999999995</c:v>
                </c:pt>
                <c:pt idx="47">
                  <c:v>137.49227000000002</c:v>
                </c:pt>
                <c:pt idx="48">
                  <c:v>158.89804999999998</c:v>
                </c:pt>
                <c:pt idx="49">
                  <c:v>86.796319999999994</c:v>
                </c:pt>
                <c:pt idx="50">
                  <c:v>248.57145</c:v>
                </c:pt>
                <c:pt idx="51">
                  <c:v>294.18524000000002</c:v>
                </c:pt>
                <c:pt idx="52">
                  <c:v>275.32452999999998</c:v>
                </c:pt>
                <c:pt idx="53">
                  <c:v>851.62559999999996</c:v>
                </c:pt>
                <c:pt idx="54">
                  <c:v>1000.1083800000001</c:v>
                </c:pt>
                <c:pt idx="55">
                  <c:v>1198.1839100000002</c:v>
                </c:pt>
                <c:pt idx="56">
                  <c:v>801.48217000000011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formatCode="0.0">
                  <c:v>224.15199279999999</c:v>
                </c:pt>
                <c:pt idx="18" formatCode="0.0">
                  <c:v>224.378006</c:v>
                </c:pt>
                <c:pt idx="19" formatCode="0.0">
                  <c:v>224.60401920000001</c:v>
                </c:pt>
                <c:pt idx="20" formatCode="0.0">
                  <c:v>223.4909973</c:v>
                </c:pt>
                <c:pt idx="21" formatCode="0.0">
                  <c:v>222.62600710000001</c:v>
                </c:pt>
                <c:pt idx="22" formatCode="0.0">
                  <c:v>221.62399289999999</c:v>
                </c:pt>
                <c:pt idx="23" formatCode="0.0">
                  <c:v>218.3840027</c:v>
                </c:pt>
                <c:pt idx="24" formatCode="0.0">
                  <c:v>215.08099369999999</c:v>
                </c:pt>
                <c:pt idx="25" formatCode="0.0">
                  <c:v>210.41900630000001</c:v>
                </c:pt>
                <c:pt idx="26" formatCode="0.0">
                  <c:v>204.23</c:v>
                </c:pt>
                <c:pt idx="27" formatCode="0.0">
                  <c:v>201.1309967</c:v>
                </c:pt>
                <c:pt idx="28" formatCode="0.0">
                  <c:v>196.16000366210901</c:v>
                </c:pt>
                <c:pt idx="29" formatCode="0.0">
                  <c:v>193.86</c:v>
                </c:pt>
                <c:pt idx="30" formatCode="0.0">
                  <c:v>186.24800110000001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formatCode="0.000">
                  <c:v>315.3340149</c:v>
                </c:pt>
                <c:pt idx="20" formatCode="0.000">
                  <c:v>311.78100590000003</c:v>
                </c:pt>
                <c:pt idx="21" formatCode="0.000">
                  <c:v>310.60000609999997</c:v>
                </c:pt>
                <c:pt idx="22" formatCode="0.000">
                  <c:v>307.06500240000003</c:v>
                </c:pt>
                <c:pt idx="23" formatCode="0.000">
                  <c:v>302.9590149</c:v>
                </c:pt>
                <c:pt idx="24" formatCode="0.000">
                  <c:v>300.0379944</c:v>
                </c:pt>
                <c:pt idx="25" formatCode="0.000">
                  <c:v>296.06698610000001</c:v>
                </c:pt>
                <c:pt idx="26" formatCode="0.000">
                  <c:v>275.89</c:v>
                </c:pt>
                <c:pt idx="27" formatCode="0.000">
                  <c:v>248.58200070000001</c:v>
                </c:pt>
                <c:pt idx="28" formatCode="0.000">
                  <c:v>238.787994384765</c:v>
                </c:pt>
                <c:pt idx="29" formatCode="0.000">
                  <c:v>229.12</c:v>
                </c:pt>
                <c:pt idx="30" formatCode="0.000">
                  <c:v>219.05400090000001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1997.8919180625003</c:v>
                </c:pt>
                <c:pt idx="1">
                  <c:v>1984.3622375425005</c:v>
                </c:pt>
                <c:pt idx="2">
                  <c:v>10.7779047775</c:v>
                </c:pt>
                <c:pt idx="3">
                  <c:v>16.255491232499995</c:v>
                </c:pt>
                <c:pt idx="4">
                  <c:v>11.030120595</c:v>
                </c:pt>
                <c:pt idx="5">
                  <c:v>130.32940518999999</c:v>
                </c:pt>
                <c:pt idx="6">
                  <c:v>49.3644935425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2081.8791732974996</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4.104278055</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1.0549771399999999</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25.485014464999999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157.13154374249999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57.339797814999997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'12.Caudales'!$J$4:$K$190</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'12.Caudales'!$N$4:$N$190</c:f>
              <c:numCache>
                <c:formatCode>0.0</c:formatCode>
                <c:ptCount val="187"/>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pt idx="170">
                  <c:v>253.08542525714284</c:v>
                </c:pt>
                <c:pt idx="171">
                  <c:v>141.0458592</c:v>
                </c:pt>
                <c:pt idx="172">
                  <c:v>123.86656951428571</c:v>
                </c:pt>
                <c:pt idx="173">
                  <c:v>85.173857551428583</c:v>
                </c:pt>
                <c:pt idx="174">
                  <c:v>71.224285714285699</c:v>
                </c:pt>
                <c:pt idx="175">
                  <c:v>76.857142859999996</c:v>
                </c:pt>
                <c:pt idx="176">
                  <c:v>47.97114345</c:v>
                </c:pt>
                <c:pt idx="177">
                  <c:v>37.624285945285713</c:v>
                </c:pt>
                <c:pt idx="178">
                  <c:v>37.806285858571421</c:v>
                </c:pt>
                <c:pt idx="179">
                  <c:v>35.468714032857143</c:v>
                </c:pt>
                <c:pt idx="180">
                  <c:v>33.200142724285719</c:v>
                </c:pt>
                <c:pt idx="181">
                  <c:v>28.376285825714287</c:v>
                </c:pt>
                <c:pt idx="182">
                  <c:v>28.47</c:v>
                </c:pt>
                <c:pt idx="183">
                  <c:v>28.920333226666667</c:v>
                </c:pt>
                <c:pt idx="184">
                  <c:v>24.422333717346149</c:v>
                </c:pt>
                <c:pt idx="185">
                  <c:v>24.086666666666662</c:v>
                </c:pt>
                <c:pt idx="186">
                  <c:v>22.471285411428575</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'12.Caudales'!$J$4:$K$190</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'12.Caudales'!$O$4:$O$190</c:f>
              <c:numCache>
                <c:formatCode>0.0</c:formatCode>
                <c:ptCount val="187"/>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pt idx="170">
                  <c:v>152.6561442857143</c:v>
                </c:pt>
                <c:pt idx="171">
                  <c:v>83.844285145714295</c:v>
                </c:pt>
                <c:pt idx="172">
                  <c:v>125.28814153857142</c:v>
                </c:pt>
                <c:pt idx="173">
                  <c:v>66.347143447142855</c:v>
                </c:pt>
                <c:pt idx="174">
                  <c:v>42.216071428571425</c:v>
                </c:pt>
                <c:pt idx="175">
                  <c:v>58.324429100000003</c:v>
                </c:pt>
                <c:pt idx="176">
                  <c:v>34.032571519999998</c:v>
                </c:pt>
                <c:pt idx="177">
                  <c:v>40.524285998571429</c:v>
                </c:pt>
                <c:pt idx="178">
                  <c:v>25.010571342857141</c:v>
                </c:pt>
                <c:pt idx="179">
                  <c:v>18.242713997857145</c:v>
                </c:pt>
                <c:pt idx="180">
                  <c:v>16.013142995714286</c:v>
                </c:pt>
                <c:pt idx="181">
                  <c:v>12.961571557142857</c:v>
                </c:pt>
                <c:pt idx="182">
                  <c:v>11.39</c:v>
                </c:pt>
                <c:pt idx="183">
                  <c:v>11.405166626666668</c:v>
                </c:pt>
                <c:pt idx="184">
                  <c:v>10.173999945322651</c:v>
                </c:pt>
                <c:pt idx="185">
                  <c:v>9.1716666666666669</c:v>
                </c:pt>
                <c:pt idx="186">
                  <c:v>8.5915715354285727</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'12.Caudales'!$J$4:$K$190</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'12.Caudales'!$M$4:$M$190</c:f>
              <c:numCache>
                <c:formatCode>0.0</c:formatCode>
                <c:ptCount val="187"/>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pt idx="170">
                  <c:v>61.074856892857142</c:v>
                </c:pt>
                <c:pt idx="171">
                  <c:v>47.843714031428576</c:v>
                </c:pt>
                <c:pt idx="172">
                  <c:v>50.907143728571427</c:v>
                </c:pt>
                <c:pt idx="173">
                  <c:v>39.120999471428568</c:v>
                </c:pt>
                <c:pt idx="174">
                  <c:v>35.410856791428571</c:v>
                </c:pt>
                <c:pt idx="175">
                  <c:v>32.405142920000003</c:v>
                </c:pt>
                <c:pt idx="176">
                  <c:v>26.58385740142857</c:v>
                </c:pt>
                <c:pt idx="177">
                  <c:v>19.653714315714286</c:v>
                </c:pt>
                <c:pt idx="178">
                  <c:v>16.50400011857143</c:v>
                </c:pt>
                <c:pt idx="179">
                  <c:v>14.890428544285713</c:v>
                </c:pt>
                <c:pt idx="180">
                  <c:v>15.340000017142858</c:v>
                </c:pt>
                <c:pt idx="181">
                  <c:v>15.521142687142857</c:v>
                </c:pt>
                <c:pt idx="182">
                  <c:v>15.32</c:v>
                </c:pt>
                <c:pt idx="183">
                  <c:v>14.809428488571427</c:v>
                </c:pt>
                <c:pt idx="184">
                  <c:v>13.666428565978956</c:v>
                </c:pt>
                <c:pt idx="185">
                  <c:v>13.392857142857142</c:v>
                </c:pt>
                <c:pt idx="186">
                  <c:v>13.098428589999999</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'13.Caudales'!$N$4:$O$189</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'13.Caudales'!$Q$4:$Q$189</c:f>
              <c:numCache>
                <c:formatCode>0.0</c:formatCode>
                <c:ptCount val="186"/>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pt idx="170">
                  <c:v>20.040428705714284</c:v>
                </c:pt>
                <c:pt idx="171">
                  <c:v>16.072142737142858</c:v>
                </c:pt>
                <c:pt idx="172">
                  <c:v>15.383999960000001</c:v>
                </c:pt>
                <c:pt idx="173">
                  <c:v>16.026142665714286</c:v>
                </c:pt>
                <c:pt idx="174">
                  <c:v>14.769714355714287</c:v>
                </c:pt>
                <c:pt idx="175">
                  <c:v>13.81242861</c:v>
                </c:pt>
                <c:pt idx="176">
                  <c:v>12.849714414285714</c:v>
                </c:pt>
                <c:pt idx="177">
                  <c:v>12.105428559999998</c:v>
                </c:pt>
                <c:pt idx="178">
                  <c:v>11.272714207142856</c:v>
                </c:pt>
                <c:pt idx="179">
                  <c:v>10.867999894285715</c:v>
                </c:pt>
                <c:pt idx="180">
                  <c:v>10.167285918857143</c:v>
                </c:pt>
                <c:pt idx="181">
                  <c:v>9.3535717554285718</c:v>
                </c:pt>
                <c:pt idx="182">
                  <c:v>8.86</c:v>
                </c:pt>
                <c:pt idx="183">
                  <c:v>8.9135712215714289</c:v>
                </c:pt>
                <c:pt idx="184">
                  <c:v>9.1244284766060932</c:v>
                </c:pt>
                <c:pt idx="185">
                  <c:v>8.5528571428571407</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'13.Caudales'!$N$4:$O$189</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'13.Caudales'!$R$4:$R$189</c:f>
              <c:numCache>
                <c:formatCode>0.0</c:formatCode>
                <c:ptCount val="186"/>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pt idx="170">
                  <c:v>14.275999887714287</c:v>
                </c:pt>
                <c:pt idx="171">
                  <c:v>10.180143014285713</c:v>
                </c:pt>
                <c:pt idx="172">
                  <c:v>12.121571608857142</c:v>
                </c:pt>
                <c:pt idx="173">
                  <c:v>11.996285711571428</c:v>
                </c:pt>
                <c:pt idx="174">
                  <c:v>10.123285769857144</c:v>
                </c:pt>
                <c:pt idx="175">
                  <c:v>9.3731427190000005</c:v>
                </c:pt>
                <c:pt idx="176">
                  <c:v>7.085428442285715</c:v>
                </c:pt>
                <c:pt idx="177">
                  <c:v>7.3308571058571435</c:v>
                </c:pt>
                <c:pt idx="178">
                  <c:v>7.7242857718571427</c:v>
                </c:pt>
                <c:pt idx="179">
                  <c:v>8.8337143495714301</c:v>
                </c:pt>
                <c:pt idx="180">
                  <c:v>7.6592858184285708</c:v>
                </c:pt>
                <c:pt idx="181">
                  <c:v>6.2751428064285708</c:v>
                </c:pt>
                <c:pt idx="182">
                  <c:v>7.15</c:v>
                </c:pt>
                <c:pt idx="183">
                  <c:v>5.7058570728571425</c:v>
                </c:pt>
                <c:pt idx="184">
                  <c:v>6.4564285959516052</c:v>
                </c:pt>
                <c:pt idx="185">
                  <c:v>4.6828571428571433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'13.Caudales'!$N$4:$O$189</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'13.Caudales'!$S$4:$S$189</c:f>
              <c:numCache>
                <c:formatCode>0.0</c:formatCode>
                <c:ptCount val="186"/>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pt idx="170">
                  <c:v>168.45457024285716</c:v>
                </c:pt>
                <c:pt idx="171">
                  <c:v>131.80142647142856</c:v>
                </c:pt>
                <c:pt idx="172">
                  <c:v>143.84128789999997</c:v>
                </c:pt>
                <c:pt idx="173">
                  <c:v>111.12314277285714</c:v>
                </c:pt>
                <c:pt idx="174">
                  <c:v>89.41828482428572</c:v>
                </c:pt>
                <c:pt idx="175">
                  <c:v>79.212427410000004</c:v>
                </c:pt>
                <c:pt idx="176">
                  <c:v>62.717000688571432</c:v>
                </c:pt>
                <c:pt idx="177">
                  <c:v>41.633143151428598</c:v>
                </c:pt>
                <c:pt idx="178">
                  <c:v>13.189857278857144</c:v>
                </c:pt>
                <c:pt idx="179">
                  <c:v>78.434000150000003</c:v>
                </c:pt>
                <c:pt idx="180">
                  <c:v>77.872000559999989</c:v>
                </c:pt>
                <c:pt idx="181">
                  <c:v>76.447856358571428</c:v>
                </c:pt>
                <c:pt idx="182">
                  <c:v>77.430000000000007</c:v>
                </c:pt>
                <c:pt idx="183">
                  <c:v>76.24514443428572</c:v>
                </c:pt>
                <c:pt idx="184">
                  <c:v>66.31271307809007</c:v>
                </c:pt>
                <c:pt idx="185">
                  <c:v>72.048571428571435</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'13.Caudales'!$N$4:$O$189</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'13.Caudales'!$T$4:$T$189</c:f>
              <c:numCache>
                <c:formatCode>0.0</c:formatCode>
                <c:ptCount val="186"/>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pt idx="170">
                  <c:v>98.160714291428576</c:v>
                </c:pt>
                <c:pt idx="171">
                  <c:v>98.279714314285712</c:v>
                </c:pt>
                <c:pt idx="172">
                  <c:v>83.547571454285716</c:v>
                </c:pt>
                <c:pt idx="173">
                  <c:v>74.392857142857139</c:v>
                </c:pt>
                <c:pt idx="174">
                  <c:v>60.613000051428571</c:v>
                </c:pt>
                <c:pt idx="175">
                  <c:v>72.321428569999995</c:v>
                </c:pt>
                <c:pt idx="176">
                  <c:v>52.565571377142859</c:v>
                </c:pt>
                <c:pt idx="177">
                  <c:v>49.261999948571429</c:v>
                </c:pt>
                <c:pt idx="178">
                  <c:v>40.500142779999997</c:v>
                </c:pt>
                <c:pt idx="179">
                  <c:v>35.785857065714289</c:v>
                </c:pt>
                <c:pt idx="180">
                  <c:v>33.357000077142857</c:v>
                </c:pt>
                <c:pt idx="181">
                  <c:v>29.154571531428569</c:v>
                </c:pt>
                <c:pt idx="182">
                  <c:v>30.35</c:v>
                </c:pt>
                <c:pt idx="183">
                  <c:v>27.702285765714286</c:v>
                </c:pt>
                <c:pt idx="184">
                  <c:v>29.940428597586454</c:v>
                </c:pt>
                <c:pt idx="185">
                  <c:v>36.729999999999997</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'13.Caudales'!$U$4:$U$189</c:f>
              <c:numCache>
                <c:formatCode>0.0</c:formatCode>
                <c:ptCount val="186"/>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pt idx="170">
                  <c:v>27.713714872857139</c:v>
                </c:pt>
                <c:pt idx="171">
                  <c:v>22.869143077142859</c:v>
                </c:pt>
                <c:pt idx="172">
                  <c:v>20.273857388571425</c:v>
                </c:pt>
                <c:pt idx="173">
                  <c:v>18.103142875714287</c:v>
                </c:pt>
                <c:pt idx="174">
                  <c:v>15.728999954285714</c:v>
                </c:pt>
                <c:pt idx="175">
                  <c:v>20.647571429999999</c:v>
                </c:pt>
                <c:pt idx="176">
                  <c:v>14.46171447</c:v>
                </c:pt>
                <c:pt idx="177">
                  <c:v>12.621714454285712</c:v>
                </c:pt>
                <c:pt idx="178">
                  <c:v>10.571857179142857</c:v>
                </c:pt>
                <c:pt idx="179">
                  <c:v>9.2180000031428584</c:v>
                </c:pt>
                <c:pt idx="180">
                  <c:v>8.9321429390000002</c:v>
                </c:pt>
                <c:pt idx="181">
                  <c:v>8.3007144928571428</c:v>
                </c:pt>
                <c:pt idx="182">
                  <c:v>8.59</c:v>
                </c:pt>
                <c:pt idx="183">
                  <c:v>7.8261427880000003</c:v>
                </c:pt>
                <c:pt idx="184">
                  <c:v>7.6488569804600273</c:v>
                </c:pt>
                <c:pt idx="185">
                  <c:v>8.18</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'13.Caudales'!$N$4:$O$189</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'13.Caudales'!$V$4:$V$189</c:f>
              <c:numCache>
                <c:formatCode>0.0</c:formatCode>
                <c:ptCount val="186"/>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pt idx="170">
                  <c:v>17.810774395714287</c:v>
                </c:pt>
                <c:pt idx="171">
                  <c:v>12.210951395714286</c:v>
                </c:pt>
                <c:pt idx="172">
                  <c:v>12.949641501428573</c:v>
                </c:pt>
                <c:pt idx="173">
                  <c:v>11.493274145714285</c:v>
                </c:pt>
                <c:pt idx="174">
                  <c:v>10.883738517142858</c:v>
                </c:pt>
                <c:pt idx="175">
                  <c:v>11.153748650000001</c:v>
                </c:pt>
                <c:pt idx="176">
                  <c:v>12</c:v>
                </c:pt>
                <c:pt idx="177">
                  <c:v>10.442797251571431</c:v>
                </c:pt>
                <c:pt idx="178">
                  <c:v>10.979225701428572</c:v>
                </c:pt>
                <c:pt idx="179">
                  <c:v>11.096784181428571</c:v>
                </c:pt>
                <c:pt idx="180">
                  <c:v>10.461965969999998</c:v>
                </c:pt>
                <c:pt idx="181">
                  <c:v>11.259941372857144</c:v>
                </c:pt>
                <c:pt idx="182">
                  <c:v>10.758154460361988</c:v>
                </c:pt>
                <c:pt idx="183">
                  <c:v>11.139168601428571</c:v>
                </c:pt>
                <c:pt idx="184">
                  <c:v>10.810358456202879</c:v>
                </c:pt>
                <c:pt idx="185">
                  <c:v>12.61</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'13.Caudales'!$N$4:$O$189</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'13.Caudales'!$W$4:$W$189</c:f>
              <c:numCache>
                <c:formatCode>0.0</c:formatCode>
                <c:ptCount val="186"/>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pt idx="170">
                  <c:v>1.7205714498571432</c:v>
                </c:pt>
                <c:pt idx="171">
                  <c:v>1.789857131857143</c:v>
                </c:pt>
                <c:pt idx="172">
                  <c:v>1.6648571664285714</c:v>
                </c:pt>
                <c:pt idx="173">
                  <c:v>1.55</c:v>
                </c:pt>
                <c:pt idx="174">
                  <c:v>1.5914285865714286</c:v>
                </c:pt>
                <c:pt idx="175">
                  <c:v>1.5371428389999999</c:v>
                </c:pt>
                <c:pt idx="176">
                  <c:v>1.5128571304285714</c:v>
                </c:pt>
                <c:pt idx="177">
                  <c:v>1.5</c:v>
                </c:pt>
                <c:pt idx="178">
                  <c:v>1.5</c:v>
                </c:pt>
                <c:pt idx="179">
                  <c:v>1.5</c:v>
                </c:pt>
                <c:pt idx="180">
                  <c:v>1.5</c:v>
                </c:pt>
                <c:pt idx="181">
                  <c:v>1.5</c:v>
                </c:pt>
                <c:pt idx="182">
                  <c:v>1.59</c:v>
                </c:pt>
                <c:pt idx="183">
                  <c:v>1.6000000240000001</c:v>
                </c:pt>
                <c:pt idx="184">
                  <c:v>1.6000000238418504</c:v>
                </c:pt>
                <c:pt idx="185">
                  <c:v>1.6285714285714283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'13.Caudales'!$Y$4:$Y$189</c:f>
              <c:numCache>
                <c:formatCode>0.0</c:formatCode>
                <c:ptCount val="186"/>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pt idx="170">
                  <c:v>49.633285522857136</c:v>
                </c:pt>
                <c:pt idx="171">
                  <c:v>31.291000095714285</c:v>
                </c:pt>
                <c:pt idx="172">
                  <c:v>25.921857015714284</c:v>
                </c:pt>
                <c:pt idx="173">
                  <c:v>22.190428595714284</c:v>
                </c:pt>
                <c:pt idx="174">
                  <c:v>20.991285870000006</c:v>
                </c:pt>
                <c:pt idx="175">
                  <c:v>23.085714070000002</c:v>
                </c:pt>
                <c:pt idx="176">
                  <c:v>17.858285902857144</c:v>
                </c:pt>
                <c:pt idx="177">
                  <c:v>15.324571202857143</c:v>
                </c:pt>
                <c:pt idx="178">
                  <c:v>13.868142808571431</c:v>
                </c:pt>
                <c:pt idx="179">
                  <c:v>12.512571334285715</c:v>
                </c:pt>
                <c:pt idx="180">
                  <c:v>11.450428658571429</c:v>
                </c:pt>
                <c:pt idx="181">
                  <c:v>9.6660000944285702</c:v>
                </c:pt>
                <c:pt idx="182">
                  <c:v>8.27</c:v>
                </c:pt>
                <c:pt idx="183">
                  <c:v>7.4899999752857136</c:v>
                </c:pt>
                <c:pt idx="184">
                  <c:v>6.46428571428571</c:v>
                </c:pt>
                <c:pt idx="185">
                  <c:v>8.2285714285714295</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'13.Caudales'!$X$4:$X$189</c:f>
              <c:numCache>
                <c:formatCode>0.0</c:formatCode>
                <c:ptCount val="186"/>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pt idx="170">
                  <c:v>148.48785617142858</c:v>
                </c:pt>
                <c:pt idx="171">
                  <c:v>105.47928511571429</c:v>
                </c:pt>
                <c:pt idx="172">
                  <c:v>103.81928579571429</c:v>
                </c:pt>
                <c:pt idx="173">
                  <c:v>91.532855442857141</c:v>
                </c:pt>
                <c:pt idx="174">
                  <c:v>82.45500183</c:v>
                </c:pt>
                <c:pt idx="175">
                  <c:v>76.857142859999996</c:v>
                </c:pt>
                <c:pt idx="176">
                  <c:v>58.057856968571436</c:v>
                </c:pt>
                <c:pt idx="177">
                  <c:v>51.520714895714285</c:v>
                </c:pt>
                <c:pt idx="178">
                  <c:v>46.520714351428573</c:v>
                </c:pt>
                <c:pt idx="179">
                  <c:v>42.473571777142858</c:v>
                </c:pt>
                <c:pt idx="180">
                  <c:v>43.729285104285715</c:v>
                </c:pt>
                <c:pt idx="181">
                  <c:v>44.616428919999997</c:v>
                </c:pt>
                <c:pt idx="182">
                  <c:v>43.84</c:v>
                </c:pt>
                <c:pt idx="183">
                  <c:v>39.995714458571435</c:v>
                </c:pt>
                <c:pt idx="184">
                  <c:v>42.704285757882197</c:v>
                </c:pt>
                <c:pt idx="185">
                  <c:v>44.611428571428576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24739327172104933"/>
          <c:y val="0.16369553377365523"/>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9.9569444975717332</c:v>
                </c:pt>
                <c:pt idx="1">
                  <c:v>9.9119705937530451</c:v>
                </c:pt>
                <c:pt idx="2">
                  <c:v>9.8175481913718272</c:v>
                </c:pt>
                <c:pt idx="3">
                  <c:v>9.735997078338702</c:v>
                </c:pt>
                <c:pt idx="4">
                  <c:v>9.658821894998848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SANTA ROSA 220</c:v>
                </c:pt>
                <c:pt idx="3">
                  <c:v>CARABAYLLO 220</c:v>
                </c:pt>
                <c:pt idx="4">
                  <c:v>SAN JUAN 220</c:v>
                </c:pt>
                <c:pt idx="5">
                  <c:v>POMACOCHA 220</c:v>
                </c:pt>
                <c:pt idx="6">
                  <c:v>OROYA NUEVA 50</c:v>
                </c:pt>
              </c:strCache>
            </c:strRef>
          </c:cat>
          <c:val>
            <c:numRef>
              <c:f>'14. CMg'!$C$27:$I$27</c:f>
              <c:numCache>
                <c:formatCode>0.00</c:formatCode>
                <c:ptCount val="7"/>
                <c:pt idx="0">
                  <c:v>9.3848747957476597</c:v>
                </c:pt>
                <c:pt idx="1">
                  <c:v>9.3530483716662189</c:v>
                </c:pt>
                <c:pt idx="2">
                  <c:v>9.3417713061998828</c:v>
                </c:pt>
                <c:pt idx="3">
                  <c:v>9.3251124271107386</c:v>
                </c:pt>
                <c:pt idx="4">
                  <c:v>9.2715688846116038</c:v>
                </c:pt>
                <c:pt idx="5">
                  <c:v>9.2022531878390357</c:v>
                </c:pt>
                <c:pt idx="6">
                  <c:v>9.1373937309147717</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DOLORESPATA 138</c:v>
                </c:pt>
                <c:pt idx="3">
                  <c:v>SOCABAYA 220</c:v>
                </c:pt>
                <c:pt idx="4">
                  <c:v>MOQUEGUA 138</c:v>
                </c:pt>
                <c:pt idx="5">
                  <c:v>SAN GABAN 138</c:v>
                </c:pt>
                <c:pt idx="6">
                  <c:v>COTARUSE 220</c:v>
                </c:pt>
              </c:strCache>
            </c:strRef>
          </c:cat>
          <c:val>
            <c:numRef>
              <c:f>'14. CMg'!$C$46:$I$46</c:f>
              <c:numCache>
                <c:formatCode>0.00</c:formatCode>
                <c:ptCount val="7"/>
                <c:pt idx="0">
                  <c:v>10.379430727187078</c:v>
                </c:pt>
                <c:pt idx="1">
                  <c:v>10.18503715951174</c:v>
                </c:pt>
                <c:pt idx="2">
                  <c:v>10.049983752598822</c:v>
                </c:pt>
                <c:pt idx="3">
                  <c:v>9.9775399221973142</c:v>
                </c:pt>
                <c:pt idx="4">
                  <c:v>9.9638694996020636</c:v>
                </c:pt>
                <c:pt idx="5">
                  <c:v>9.8936851693710306</c:v>
                </c:pt>
                <c:pt idx="6">
                  <c:v>9.5892632674690805</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JULIO
 2017</c:v>
                </c:pt>
              </c:strCache>
            </c:strRef>
          </c:tx>
          <c:spPr>
            <a:solidFill>
              <a:schemeClr val="accent6"/>
            </a:solidFill>
          </c:spPr>
          <c:invertIfNegative val="0"/>
          <c:cat>
            <c:strRef>
              <c:f>'16. Congestiones'!$C$7:$C$11</c:f>
              <c:strCache>
                <c:ptCount val="5"/>
                <c:pt idx="0">
                  <c:v>SAN JUAN - SANTA ROSA N.</c:v>
                </c:pt>
                <c:pt idx="1">
                  <c:v>CAMPO ARMIÑO - POMACOCHA</c:v>
                </c:pt>
                <c:pt idx="2">
                  <c:v>MARCONA</c:v>
                </c:pt>
                <c:pt idx="3">
                  <c:v>POROMA - YARABAMBA</c:v>
                </c:pt>
                <c:pt idx="4">
                  <c:v>ENLACE CENTRO - SUR</c:v>
                </c:pt>
              </c:strCache>
            </c:strRef>
          </c:cat>
          <c:val>
            <c:numRef>
              <c:f>'16. Congestiones'!$F$7:$F$11</c:f>
              <c:numCache>
                <c:formatCode>#,##0.00</c:formatCode>
                <c:ptCount val="5"/>
                <c:pt idx="1">
                  <c:v>29.766666666666666</c:v>
                </c:pt>
                <c:pt idx="4">
                  <c:v>729.65</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JULIO
 2018</c:v>
                </c:pt>
              </c:strCache>
            </c:strRef>
          </c:tx>
          <c:invertIfNegative val="0"/>
          <c:cat>
            <c:strRef>
              <c:f>'16. Congestiones'!$C$7:$C$11</c:f>
              <c:strCache>
                <c:ptCount val="5"/>
                <c:pt idx="0">
                  <c:v>SAN JUAN - SANTA ROSA N.</c:v>
                </c:pt>
                <c:pt idx="1">
                  <c:v>CAMPO ARMIÑO - POMACOCHA</c:v>
                </c:pt>
                <c:pt idx="2">
                  <c:v>MARCONA</c:v>
                </c:pt>
                <c:pt idx="3">
                  <c:v>POROMA - YARABAMBA</c:v>
                </c:pt>
                <c:pt idx="4">
                  <c:v>ENLACE CENTRO - SUR</c:v>
                </c:pt>
              </c:strCache>
            </c:strRef>
          </c:cat>
          <c:val>
            <c:numRef>
              <c:f>'16. Congestiones'!$E$7:$E$11</c:f>
              <c:numCache>
                <c:formatCode>#,##0.00</c:formatCode>
                <c:ptCount val="5"/>
                <c:pt idx="0">
                  <c:v>7.0500000000000025</c:v>
                </c:pt>
                <c:pt idx="2">
                  <c:v>24.283333333333331</c:v>
                </c:pt>
                <c:pt idx="3">
                  <c:v>5.0166666666666675</c:v>
                </c:pt>
                <c:pt idx="4">
                  <c:v>14.133333333333336</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JULIO
 2019</c:v>
                </c:pt>
              </c:strCache>
            </c:strRef>
          </c:tx>
          <c:invertIfNegative val="0"/>
          <c:cat>
            <c:strRef>
              <c:f>'16. Congestiones'!$C$7:$C$11</c:f>
              <c:strCache>
                <c:ptCount val="5"/>
                <c:pt idx="0">
                  <c:v>SAN JUAN - SANTA ROSA N.</c:v>
                </c:pt>
                <c:pt idx="1">
                  <c:v>CAMPO ARMIÑO - POMACOCHA</c:v>
                </c:pt>
                <c:pt idx="2">
                  <c:v>MARCONA</c:v>
                </c:pt>
                <c:pt idx="3">
                  <c:v>POROMA - YARABAMBA</c:v>
                </c:pt>
                <c:pt idx="4">
                  <c:v>ENLACE CENTRO - SUR</c:v>
                </c:pt>
              </c:strCache>
            </c:strRef>
          </c:cat>
          <c:val>
            <c:numRef>
              <c:f>'16. Congestiones'!$D$7:$D$11</c:f>
              <c:numCache>
                <c:formatCode>#,##0.00</c:formatCode>
                <c:ptCount val="5"/>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1310888375246739"/>
          <c:y val="1.7496948728826747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0532127234892"/>
          <c:y val="0.13543598832398554"/>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6.3915157093541869E-2"/>
                  <c:y val="3.7736056758199722E-2"/>
                </c:manualLayout>
              </c:layout>
              <c:numFmt formatCode="General" sourceLinked="0"/>
              <c:spPr/>
              <c:txPr>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7.6318054295230642E-2"/>
                  <c:y val="-1.4628959965067362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0.1152826782388327"/>
                  <c:y val="7.9779295072553116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5934661289"/>
                      <c:h val="0.112946267216342"/>
                    </c:manualLayout>
                  </c15:layout>
                </c:ext>
                <c:ext xmlns:c16="http://schemas.microsoft.com/office/drawing/2014/chart" uri="{C3380CC4-5D6E-409C-BE32-E72D297353CC}">
                  <c16:uniqueId val="{00000004-E0CC-4AD3-904F-2124A98CD904}"/>
                </c:ext>
              </c:extLst>
            </c:dLbl>
            <c:dLbl>
              <c:idx val="3"/>
              <c:layout>
                <c:manualLayout>
                  <c:x val="-4.0264239215880106E-2"/>
                  <c:y val="0.16892976594764875"/>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9.3342407672713623E-2"/>
                  <c:y val="-0.18564890496083838"/>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825887088177094"/>
                      <c:h val="0.13624692458843149"/>
                    </c:manualLayout>
                  </c15:layout>
                </c:ext>
                <c:ext xmlns:c16="http://schemas.microsoft.com/office/drawing/2014/chart" uri="{C3380CC4-5D6E-409C-BE32-E72D297353CC}">
                  <c16:uniqueId val="{00000006-E0CC-4AD3-904F-2124A98CD904}"/>
                </c:ext>
              </c:extLst>
            </c:dLbl>
            <c:dLbl>
              <c:idx val="5"/>
              <c:layout>
                <c:manualLayout>
                  <c:x val="-0.3471992185841084"/>
                  <c:y val="0.69970429264157896"/>
                </c:manualLayout>
              </c:layout>
              <c:numFmt formatCode="General" sourceLinked="0"/>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32511399259665646"/>
                  <c:y val="0.69337068777302591"/>
                </c:manualLayout>
              </c:layout>
              <c:numFmt formatCode="General" sourceLinked="0"/>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b="1">
                    <a:solidFill>
                      <a:schemeClr val="tx1"/>
                    </a:solidFill>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3</c:v>
                </c:pt>
                <c:pt idx="1">
                  <c:v>5</c:v>
                </c:pt>
                <c:pt idx="2">
                  <c:v>0</c:v>
                </c:pt>
                <c:pt idx="3">
                  <c:v>2</c:v>
                </c:pt>
                <c:pt idx="4">
                  <c:v>16</c:v>
                </c:pt>
                <c:pt idx="5">
                  <c:v>0</c:v>
                </c:pt>
                <c:pt idx="6">
                  <c:v>1</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Eventos'!$A$7:$A$12</c:f>
              <c:strCache>
                <c:ptCount val="6"/>
                <c:pt idx="0">
                  <c:v>BARRA</c:v>
                </c:pt>
                <c:pt idx="1">
                  <c:v>GENERADOR TERMOELÉCTRICO</c:v>
                </c:pt>
                <c:pt idx="2">
                  <c:v>LINEA DE TRANSMISION</c:v>
                </c:pt>
                <c:pt idx="3">
                  <c:v>SUBESTACION</c:v>
                </c:pt>
                <c:pt idx="4">
                  <c:v>TRANSFORMADOR 2D</c:v>
                </c:pt>
                <c:pt idx="5">
                  <c:v>TRANSFORMADOR 3D</c:v>
                </c:pt>
              </c:strCache>
            </c:strRef>
          </c:cat>
          <c:val>
            <c:numRef>
              <c:f>'17. Eventos'!$J$7:$J$12</c:f>
              <c:numCache>
                <c:formatCode>#,##0.00</c:formatCode>
                <c:ptCount val="6"/>
                <c:pt idx="0">
                  <c:v>0.15</c:v>
                </c:pt>
                <c:pt idx="1">
                  <c:v>0.03</c:v>
                </c:pt>
                <c:pt idx="2">
                  <c:v>81.88000000000001</c:v>
                </c:pt>
                <c:pt idx="3">
                  <c:v>8.0499999999999989</c:v>
                </c:pt>
                <c:pt idx="4">
                  <c:v>16.53</c:v>
                </c:pt>
                <c:pt idx="5">
                  <c:v>19.910000000000004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generación'!$B$37:$C$37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generación'!$D$36:$E$36</c:f>
              <c:strCache>
                <c:ptCount val="2"/>
                <c:pt idx="0">
                  <c:v>JULIO 2019</c:v>
                </c:pt>
                <c:pt idx="1">
                  <c:v>JULIO 2018</c:v>
                </c:pt>
              </c:strCache>
            </c:strRef>
          </c:cat>
          <c:val>
            <c:numRef>
              <c:f>'2. Oferta de generación'!$D$37:$E$37</c:f>
              <c:numCache>
                <c:formatCode>#,##0.0</c:formatCode>
                <c:ptCount val="2"/>
                <c:pt idx="0">
                  <c:v>5122.3492474999994</c:v>
                </c:pt>
                <c:pt idx="1">
                  <c:v>4904.5012475000012</c:v>
                </c:pt>
              </c:numCache>
            </c:numRef>
          </c:val>
          <c:extLst>
            <c:ext xmlns:c16="http://schemas.microsoft.com/office/drawing/2014/chart" uri="{C3380CC4-5D6E-409C-BE32-E72D297353CC}">
              <c16:uniqueId val="{00000004-54B0-402D-913D-0304413B844F}"/>
            </c:ext>
          </c:extLst>
        </c:ser>
        <c:ser>
          <c:idx val="1"/>
          <c:order val="1"/>
          <c:tx>
            <c:strRef>
              <c:f>'2. Oferta de generación'!$B$38:$C$38</c:f>
              <c:strCache>
                <c:ptCount val="2"/>
                <c:pt idx="0">
                  <c:v>TERMOELÉCTRICA</c:v>
                </c:pt>
              </c:strCache>
            </c:strRef>
          </c:tx>
          <c:spPr>
            <a:solidFill>
              <a:schemeClr val="accent2"/>
            </a:solidFill>
          </c:spPr>
          <c:invertIfNegative val="0"/>
          <c:cat>
            <c:strRef>
              <c:f>'2. Oferta de generación'!$D$36:$E$36</c:f>
              <c:strCache>
                <c:ptCount val="2"/>
                <c:pt idx="0">
                  <c:v>JULIO 2019</c:v>
                </c:pt>
                <c:pt idx="1">
                  <c:v>JULIO 2018</c:v>
                </c:pt>
              </c:strCache>
            </c:strRef>
          </c:cat>
          <c:val>
            <c:numRef>
              <c:f>'2. Oferta de generación'!$D$38:$E$38</c:f>
              <c:numCache>
                <c:formatCode>#,##0.0</c:formatCode>
                <c:ptCount val="2"/>
                <c:pt idx="0">
                  <c:v>7417.6745000000001</c:v>
                </c:pt>
                <c:pt idx="1">
                  <c:v>7393.5644999999995</c:v>
                </c:pt>
              </c:numCache>
            </c:numRef>
          </c:val>
          <c:extLst>
            <c:ext xmlns:c16="http://schemas.microsoft.com/office/drawing/2014/chart" uri="{C3380CC4-5D6E-409C-BE32-E72D297353CC}">
              <c16:uniqueId val="{00000005-54B0-402D-913D-0304413B844F}"/>
            </c:ext>
          </c:extLst>
        </c:ser>
        <c:ser>
          <c:idx val="2"/>
          <c:order val="2"/>
          <c:tx>
            <c:strRef>
              <c:f>'2. Oferta de generación'!$B$39:$C$39</c:f>
              <c:strCache>
                <c:ptCount val="2"/>
                <c:pt idx="0">
                  <c:v>EÓLICA</c:v>
                </c:pt>
              </c:strCache>
            </c:strRef>
          </c:tx>
          <c:spPr>
            <a:solidFill>
              <a:srgbClr val="6DA6D9"/>
            </a:solidFill>
          </c:spPr>
          <c:invertIfNegative val="0"/>
          <c:cat>
            <c:strRef>
              <c:f>'2. Oferta de generación'!$D$36:$E$36</c:f>
              <c:strCache>
                <c:ptCount val="2"/>
                <c:pt idx="0">
                  <c:v>JULIO 2019</c:v>
                </c:pt>
                <c:pt idx="1">
                  <c:v>JULIO 2018</c:v>
                </c:pt>
              </c:strCache>
            </c:strRef>
          </c:cat>
          <c:val>
            <c:numRef>
              <c:f>'2. Oferta de generación'!$D$39:$E$39</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generación'!$B$40:$C$40</c:f>
              <c:strCache>
                <c:ptCount val="2"/>
                <c:pt idx="0">
                  <c:v>SOLAR</c:v>
                </c:pt>
              </c:strCache>
            </c:strRef>
          </c:tx>
          <c:invertIfNegative val="0"/>
          <c:cat>
            <c:strRef>
              <c:f>'2. Oferta de generación'!$D$36:$E$36</c:f>
              <c:strCache>
                <c:ptCount val="2"/>
                <c:pt idx="0">
                  <c:v>JULIO 2019</c:v>
                </c:pt>
                <c:pt idx="1">
                  <c:v>JULIO 2018</c:v>
                </c:pt>
              </c:strCache>
            </c:strRef>
          </c:cat>
          <c:val>
            <c:numRef>
              <c:f>'2. Oferta de generación'!$D$40:$E$40</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4081784423871655"/>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BARRA</c:v>
                </c:pt>
                <c:pt idx="1">
                  <c:v>GENERADOR TERMOELÉCTRICO</c:v>
                </c:pt>
                <c:pt idx="2">
                  <c:v>LINEA DE TRANSMISION</c:v>
                </c:pt>
                <c:pt idx="3">
                  <c:v>SUBESTACION</c:v>
                </c:pt>
                <c:pt idx="4">
                  <c:v>TRANSFORMADOR 2D</c:v>
                </c:pt>
                <c:pt idx="5">
                  <c:v>TRANSFORMADOR 3D</c:v>
                </c:pt>
              </c:strCache>
            </c:strRef>
          </c:cat>
          <c:val>
            <c:numRef>
              <c:f>'17. Eventos'!$B$7:$B$12</c:f>
              <c:numCache>
                <c:formatCode>General</c:formatCode>
                <c:ptCount val="6"/>
                <c:pt idx="2">
                  <c:v>3</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BARRA</c:v>
                </c:pt>
                <c:pt idx="1">
                  <c:v>GENERADOR TERMOELÉCTRICO</c:v>
                </c:pt>
                <c:pt idx="2">
                  <c:v>LINEA DE TRANSMISION</c:v>
                </c:pt>
                <c:pt idx="3">
                  <c:v>SUBESTACION</c:v>
                </c:pt>
                <c:pt idx="4">
                  <c:v>TRANSFORMADOR 2D</c:v>
                </c:pt>
                <c:pt idx="5">
                  <c:v>TRANSFORMADOR 3D</c:v>
                </c:pt>
              </c:strCache>
            </c:strRef>
          </c:cat>
          <c:val>
            <c:numRef>
              <c:f>'17. Eventos'!$C$7:$C$12</c:f>
              <c:numCache>
                <c:formatCode>General</c:formatCode>
                <c:ptCount val="6"/>
                <c:pt idx="2">
                  <c:v>4</c:v>
                </c:pt>
                <c:pt idx="4">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BARRA</c:v>
                </c:pt>
                <c:pt idx="1">
                  <c:v>GENERADOR TERMOELÉCTRICO</c:v>
                </c:pt>
                <c:pt idx="2">
                  <c:v>LINEA DE TRANSMISION</c:v>
                </c:pt>
                <c:pt idx="3">
                  <c:v>SUBESTACION</c:v>
                </c:pt>
                <c:pt idx="4">
                  <c:v>TRANSFORMADOR 2D</c:v>
                </c:pt>
                <c:pt idx="5">
                  <c:v>TRANSFORMADOR 3D</c:v>
                </c:pt>
              </c:strCache>
            </c:strRef>
          </c:cat>
          <c:val>
            <c:numRef>
              <c:f>'17. Eventos'!$D$7:$D$12</c:f>
              <c:numCache>
                <c:formatCode>General</c:formatCode>
                <c:ptCount val="6"/>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BARRA</c:v>
                </c:pt>
                <c:pt idx="1">
                  <c:v>GENERADOR TERMOELÉCTRICO</c:v>
                </c:pt>
                <c:pt idx="2">
                  <c:v>LINEA DE TRANSMISION</c:v>
                </c:pt>
                <c:pt idx="3">
                  <c:v>SUBESTACION</c:v>
                </c:pt>
                <c:pt idx="4">
                  <c:v>TRANSFORMADOR 2D</c:v>
                </c:pt>
                <c:pt idx="5">
                  <c:v>TRANSFORMADOR 3D</c:v>
                </c:pt>
              </c:strCache>
            </c:strRef>
          </c:cat>
          <c:val>
            <c:numRef>
              <c:f>'17. Eventos'!$E$7:$E$12</c:f>
              <c:numCache>
                <c:formatCode>General</c:formatCode>
                <c:ptCount val="6"/>
                <c:pt idx="2">
                  <c:v>1</c:v>
                </c:pt>
                <c:pt idx="4">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6"/>
                <c:pt idx="0">
                  <c:v>BARRA</c:v>
                </c:pt>
                <c:pt idx="1">
                  <c:v>GENERADOR TERMOELÉCTRICO</c:v>
                </c:pt>
                <c:pt idx="2">
                  <c:v>LINEA DE TRANSMISION</c:v>
                </c:pt>
                <c:pt idx="3">
                  <c:v>SUBESTACION</c:v>
                </c:pt>
                <c:pt idx="4">
                  <c:v>TRANSFORMADOR 2D</c:v>
                </c:pt>
                <c:pt idx="5">
                  <c:v>TRANSFORMADOR 3D</c:v>
                </c:pt>
              </c:strCache>
            </c:strRef>
          </c:cat>
          <c:val>
            <c:numRef>
              <c:f>'17. Eventos'!$F$7:$F$12</c:f>
              <c:numCache>
                <c:formatCode>General</c:formatCode>
                <c:ptCount val="6"/>
                <c:pt idx="0">
                  <c:v>1</c:v>
                </c:pt>
                <c:pt idx="1">
                  <c:v>1</c:v>
                </c:pt>
                <c:pt idx="2">
                  <c:v>11</c:v>
                </c:pt>
                <c:pt idx="3">
                  <c:v>2</c:v>
                </c:pt>
                <c:pt idx="5">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BARRA</c:v>
                </c:pt>
                <c:pt idx="1">
                  <c:v>GENERADOR TERMOELÉCTRICO</c:v>
                </c:pt>
                <c:pt idx="2">
                  <c:v>LINEA DE TRANSMISION</c:v>
                </c:pt>
                <c:pt idx="3">
                  <c:v>SUBESTACION</c:v>
                </c:pt>
                <c:pt idx="4">
                  <c:v>TRANSFORMADOR 2D</c:v>
                </c:pt>
                <c:pt idx="5">
                  <c:v>TRANSFORMADOR 3D</c:v>
                </c:pt>
              </c:strCache>
            </c:strRef>
          </c:cat>
          <c:val>
            <c:numRef>
              <c:f>'17. Eventos'!$G$7:$G$12</c:f>
              <c:numCache>
                <c:formatCode>General</c:formatCode>
                <c:ptCount val="6"/>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BARRA</c:v>
                </c:pt>
                <c:pt idx="1">
                  <c:v>GENERADOR TERMOELÉCTRICO</c:v>
                </c:pt>
                <c:pt idx="2">
                  <c:v>LINEA DE TRANSMISION</c:v>
                </c:pt>
                <c:pt idx="3">
                  <c:v>SUBESTACION</c:v>
                </c:pt>
                <c:pt idx="4">
                  <c:v>TRANSFORMADOR 2D</c:v>
                </c:pt>
                <c:pt idx="5">
                  <c:v>TRANSFORMADOR 3D</c:v>
                </c:pt>
              </c:strCache>
            </c:strRef>
          </c:cat>
          <c:val>
            <c:numRef>
              <c:f>'17. Eventos'!$H$7:$H$12</c:f>
              <c:numCache>
                <c:formatCode>General</c:formatCode>
                <c:ptCount val="6"/>
                <c:pt idx="5">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generación'!$L$17:$L$21</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generación'!$L$17:$L$21</c:f>
              <c:strCache>
                <c:ptCount val="5"/>
                <c:pt idx="0">
                  <c:v>Central Solar</c:v>
                </c:pt>
                <c:pt idx="1">
                  <c:v>Central Hidroeléctrica</c:v>
                </c:pt>
                <c:pt idx="2">
                  <c:v>Turbina de Vapor</c:v>
                </c:pt>
                <c:pt idx="3">
                  <c:v>Central Eólica</c:v>
                </c:pt>
                <c:pt idx="4">
                  <c:v>Central a Biogás</c:v>
                </c:pt>
              </c:strCache>
            </c:strRef>
          </c:cat>
          <c:val>
            <c:numRef>
              <c:f>'2. Oferta de generación'!$M$17:$M$21</c:f>
              <c:numCache>
                <c:formatCode>#,##0.00</c:formatCode>
                <c:ptCount val="5"/>
                <c:pt idx="1">
                  <c:v>131.69999999999999</c:v>
                </c:pt>
                <c:pt idx="2">
                  <c:v>7.48</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17284.832149602615</c:v>
                </c:pt>
                <c:pt idx="1">
                  <c:v>10509.09254780483</c:v>
                </c:pt>
                <c:pt idx="2">
                  <c:v>541.74678969389709</c:v>
                </c:pt>
                <c:pt idx="3">
                  <c:v>122.21345060204001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18325.8867875875</c:v>
                </c:pt>
                <c:pt idx="1">
                  <c:v>9826.5087753150001</c:v>
                </c:pt>
                <c:pt idx="2">
                  <c:v>788.91402797000001</c:v>
                </c:pt>
                <c:pt idx="3">
                  <c:v>380.15961603249997</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18664.044752220005</c:v>
                </c:pt>
                <c:pt idx="1">
                  <c:v>10731.105528872504</c:v>
                </c:pt>
                <c:pt idx="2">
                  <c:v>952.25199118749993</c:v>
                </c:pt>
                <c:pt idx="3">
                  <c:v>398.70179571499995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18664.044752220005</c:v>
                </c:pt>
                <c:pt idx="1">
                  <c:v>9986.6223478845313</c:v>
                </c:pt>
                <c:pt idx="2">
                  <c:v>315.18083659999991</c:v>
                </c:pt>
                <c:pt idx="3">
                  <c:v>134.0848241875</c:v>
                </c:pt>
                <c:pt idx="4">
                  <c:v>0</c:v>
                </c:pt>
                <c:pt idx="5">
                  <c:v>22.387534665</c:v>
                </c:pt>
                <c:pt idx="6">
                  <c:v>42.024336214999991</c:v>
                </c:pt>
                <c:pt idx="7">
                  <c:v>0.226881735</c:v>
                </c:pt>
                <c:pt idx="8">
                  <c:v>97.011641615468776</c:v>
                </c:pt>
                <c:pt idx="9">
                  <c:v>95.716811860000007</c:v>
                </c:pt>
                <c:pt idx="10">
                  <c:v>37.850314109999999</c:v>
                </c:pt>
                <c:pt idx="11">
                  <c:v>398.70179571499995</c:v>
                </c:pt>
                <c:pt idx="12">
                  <c:v>952.25199118749993</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18325.8867875875</c:v>
                </c:pt>
                <c:pt idx="1">
                  <c:v>9168.6644676100004</c:v>
                </c:pt>
                <c:pt idx="2">
                  <c:v>290.84472570249994</c:v>
                </c:pt>
                <c:pt idx="3">
                  <c:v>175.03820562000001</c:v>
                </c:pt>
                <c:pt idx="4">
                  <c:v>0</c:v>
                </c:pt>
                <c:pt idx="5">
                  <c:v>37.679417740000005</c:v>
                </c:pt>
                <c:pt idx="6">
                  <c:v>4.3479444000000003</c:v>
                </c:pt>
                <c:pt idx="7">
                  <c:v>1.99292362</c:v>
                </c:pt>
                <c:pt idx="8">
                  <c:v>71.633362834999986</c:v>
                </c:pt>
                <c:pt idx="9">
                  <c:v>50.502784532499994</c:v>
                </c:pt>
                <c:pt idx="10">
                  <c:v>25.804943254999998</c:v>
                </c:pt>
                <c:pt idx="11">
                  <c:v>380.15961603249997</c:v>
                </c:pt>
                <c:pt idx="12">
                  <c:v>788.91402797000001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17284.832149602615</c:v>
                </c:pt>
                <c:pt idx="1">
                  <c:v>9172.7644845748946</c:v>
                </c:pt>
                <c:pt idx="2">
                  <c:v>229.67548908790988</c:v>
                </c:pt>
                <c:pt idx="3">
                  <c:v>43.204347514600897</c:v>
                </c:pt>
                <c:pt idx="4">
                  <c:v>9.7034091828799998</c:v>
                </c:pt>
                <c:pt idx="5">
                  <c:v>465.26369014819176</c:v>
                </c:pt>
                <c:pt idx="6">
                  <c:v>80.571427396593961</c:v>
                </c:pt>
                <c:pt idx="7">
                  <c:v>0.24963529262500003</c:v>
                </c:pt>
                <c:pt idx="8">
                  <c:v>436.27031135880492</c:v>
                </c:pt>
                <c:pt idx="9">
                  <c:v>48.957428242631231</c:v>
                </c:pt>
                <c:pt idx="10">
                  <c:v>22.432325005696626</c:v>
                </c:pt>
                <c:pt idx="11">
                  <c:v>122.21345060204001</c:v>
                </c:pt>
                <c:pt idx="12">
                  <c:v>541.74678969389709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665.73395083403761</c:v>
                </c:pt>
                <c:pt idx="1">
                  <c:v>541.74678969389709</c:v>
                </c:pt>
                <c:pt idx="2">
                  <c:v>122.21345060204001</c:v>
                </c:pt>
                <c:pt idx="3">
                  <c:v>48.957428242631231</c:v>
                </c:pt>
                <c:pt idx="4">
                  <c:v>22.432325005696626</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741.27550776999999</c:v>
                </c:pt>
                <c:pt idx="1">
                  <c:v>788.91402797000001</c:v>
                </c:pt>
                <c:pt idx="2">
                  <c:v>380.15961603249997</c:v>
                </c:pt>
                <c:pt idx="3">
                  <c:v>50.502784532499994</c:v>
                </c:pt>
                <c:pt idx="4">
                  <c:v>25.804943254999998</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1079.5675434675002</c:v>
                </c:pt>
                <c:pt idx="1">
                  <c:v>952.25199118749993</c:v>
                </c:pt>
                <c:pt idx="2">
                  <c:v>398.70179571499995</c:v>
                </c:pt>
                <c:pt idx="3">
                  <c:v>95.716811860000007</c:v>
                </c:pt>
                <c:pt idx="4">
                  <c:v>37.850314109999999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9874441997744324E-2"/>
                  <c:y val="-8.388329117530235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8,213%</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4036.7316627724977</c:v>
                </c:pt>
                <c:pt idx="1">
                  <c:v>121.25612798000002</c:v>
                </c:pt>
                <c:pt idx="2">
                  <c:v>157.13154374249999</c:v>
                </c:pt>
                <c:pt idx="3">
                  <c:v>57.339797814999997</c:v>
                </c:pt>
                <c:pt idx="4">
                  <c:v>19.2527546725</c:v>
                </c:pt>
                <c:pt idx="5">
                  <c:v>6.2322597924999998</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RENOVANDES H1</c:v>
                </c:pt>
                <c:pt idx="1">
                  <c:v>C.H. YARUCAYA</c:v>
                </c:pt>
                <c:pt idx="2">
                  <c:v>C.H. CARHUAC</c:v>
                </c:pt>
                <c:pt idx="3">
                  <c:v>C.H. CARHUAQUERO IV</c:v>
                </c:pt>
                <c:pt idx="4">
                  <c:v>C.H. ZAÑA</c:v>
                </c:pt>
                <c:pt idx="5">
                  <c:v>C.H. LA JOYA</c:v>
                </c:pt>
                <c:pt idx="6">
                  <c:v>C.H. RUNATULLO III</c:v>
                </c:pt>
                <c:pt idx="7">
                  <c:v>C.H. ÁNGEL III</c:v>
                </c:pt>
                <c:pt idx="8">
                  <c:v>C.H. ÁNGEL II</c:v>
                </c:pt>
                <c:pt idx="9">
                  <c:v>C.H. LAS PIZARRAS</c:v>
                </c:pt>
                <c:pt idx="10">
                  <c:v>C.H. POTRERO</c:v>
                </c:pt>
                <c:pt idx="11">
                  <c:v>C.H. ÁNGEL I</c:v>
                </c:pt>
                <c:pt idx="12">
                  <c:v>C.H. POECHOS II</c:v>
                </c:pt>
                <c:pt idx="13">
                  <c:v>C.H. RUNATULLO II</c:v>
                </c:pt>
                <c:pt idx="14">
                  <c:v>C.H. CANCHAYLLO</c:v>
                </c:pt>
                <c:pt idx="15">
                  <c:v>C.H. IMPERIAL</c:v>
                </c:pt>
                <c:pt idx="16">
                  <c:v>C.H. CAÑA BRAVA</c:v>
                </c:pt>
                <c:pt idx="17">
                  <c:v>C.H. HUASAHUASI II</c:v>
                </c:pt>
                <c:pt idx="18">
                  <c:v>C.H. YANAPAMPA</c:v>
                </c:pt>
                <c:pt idx="19">
                  <c:v>C.H. HUASAHUASI I</c:v>
                </c:pt>
                <c:pt idx="20">
                  <c:v>C.H. SANTA CRUZ II</c:v>
                </c:pt>
                <c:pt idx="21">
                  <c:v>C.H. RONCADOR</c:v>
                </c:pt>
                <c:pt idx="22">
                  <c:v>C.H. SANTA CRUZ I</c:v>
                </c:pt>
                <c:pt idx="23">
                  <c:v>C.H. HER 1</c:v>
                </c:pt>
                <c:pt idx="24">
                  <c:v>C.H. PURMACANA</c:v>
                </c:pt>
              </c:strCache>
            </c:strRef>
          </c:cat>
          <c:val>
            <c:numRef>
              <c:f>'6. FP RER'!$O$6:$O$30</c:f>
              <c:numCache>
                <c:formatCode>0.00</c:formatCode>
                <c:ptCount val="25"/>
                <c:pt idx="0">
                  <c:v>14.703850147499999</c:v>
                </c:pt>
                <c:pt idx="1">
                  <c:v>11.135751145</c:v>
                </c:pt>
                <c:pt idx="2">
                  <c:v>9.1813251700000009</c:v>
                </c:pt>
                <c:pt idx="3">
                  <c:v>6.301174595</c:v>
                </c:pt>
                <c:pt idx="4">
                  <c:v>5.7604991300000004</c:v>
                </c:pt>
                <c:pt idx="5">
                  <c:v>5.0562747150000007</c:v>
                </c:pt>
                <c:pt idx="6">
                  <c:v>4.6890980099999995</c:v>
                </c:pt>
                <c:pt idx="7">
                  <c:v>4.6470235449999997</c:v>
                </c:pt>
                <c:pt idx="8">
                  <c:v>4.5969377849999997</c:v>
                </c:pt>
                <c:pt idx="9">
                  <c:v>3.9679316425</c:v>
                </c:pt>
                <c:pt idx="10">
                  <c:v>3.8167390024999999</c:v>
                </c:pt>
                <c:pt idx="11">
                  <c:v>3.2911944374999997</c:v>
                </c:pt>
                <c:pt idx="12">
                  <c:v>3.2388042024999999</c:v>
                </c:pt>
                <c:pt idx="13">
                  <c:v>3.1627134275</c:v>
                </c:pt>
                <c:pt idx="14">
                  <c:v>2.6711766675000002</c:v>
                </c:pt>
                <c:pt idx="15">
                  <c:v>2.3740999999999999</c:v>
                </c:pt>
                <c:pt idx="16">
                  <c:v>1.97133793</c:v>
                </c:pt>
                <c:pt idx="17">
                  <c:v>1.9491663349999999</c:v>
                </c:pt>
                <c:pt idx="18">
                  <c:v>1.72368308</c:v>
                </c:pt>
                <c:pt idx="19">
                  <c:v>1.7043253775</c:v>
                </c:pt>
                <c:pt idx="20">
                  <c:v>1.3226018549999998</c:v>
                </c:pt>
                <c:pt idx="21">
                  <c:v>1.1403937000000002</c:v>
                </c:pt>
                <c:pt idx="22">
                  <c:v>1.0780757599999999</c:v>
                </c:pt>
                <c:pt idx="23">
                  <c:v>0.47129478250000001</c:v>
                </c:pt>
                <c:pt idx="24">
                  <c:v>0.24919130749999999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RENOVANDES H1</c:v>
                </c:pt>
                <c:pt idx="1">
                  <c:v>C.H. YARUCAYA</c:v>
                </c:pt>
                <c:pt idx="2">
                  <c:v>C.H. CARHUAC</c:v>
                </c:pt>
                <c:pt idx="3">
                  <c:v>C.H. CARHUAQUERO IV</c:v>
                </c:pt>
                <c:pt idx="4">
                  <c:v>C.H. ZAÑA</c:v>
                </c:pt>
                <c:pt idx="5">
                  <c:v>C.H. LA JOYA</c:v>
                </c:pt>
                <c:pt idx="6">
                  <c:v>C.H. RUNATULLO III</c:v>
                </c:pt>
                <c:pt idx="7">
                  <c:v>C.H. ÁNGEL III</c:v>
                </c:pt>
                <c:pt idx="8">
                  <c:v>C.H. ÁNGEL II</c:v>
                </c:pt>
                <c:pt idx="9">
                  <c:v>C.H. LAS PIZARRAS</c:v>
                </c:pt>
                <c:pt idx="10">
                  <c:v>C.H. POTRERO</c:v>
                </c:pt>
                <c:pt idx="11">
                  <c:v>C.H. ÁNGEL I</c:v>
                </c:pt>
                <c:pt idx="12">
                  <c:v>C.H. POECHOS II</c:v>
                </c:pt>
                <c:pt idx="13">
                  <c:v>C.H. RUNATULLO II</c:v>
                </c:pt>
                <c:pt idx="14">
                  <c:v>C.H. CANCHAYLLO</c:v>
                </c:pt>
                <c:pt idx="15">
                  <c:v>C.H. IMPERIAL</c:v>
                </c:pt>
                <c:pt idx="16">
                  <c:v>C.H. CAÑA BRAVA</c:v>
                </c:pt>
                <c:pt idx="17">
                  <c:v>C.H. HUASAHUASI II</c:v>
                </c:pt>
                <c:pt idx="18">
                  <c:v>C.H. YANAPAMPA</c:v>
                </c:pt>
                <c:pt idx="19">
                  <c:v>C.H. HUASAHUASI I</c:v>
                </c:pt>
                <c:pt idx="20">
                  <c:v>C.H. SANTA CRUZ II</c:v>
                </c:pt>
                <c:pt idx="21">
                  <c:v>C.H. RONCADOR</c:v>
                </c:pt>
                <c:pt idx="22">
                  <c:v>C.H. SANTA CRUZ I</c:v>
                </c:pt>
                <c:pt idx="23">
                  <c:v>C.H. HER 1</c:v>
                </c:pt>
                <c:pt idx="24">
                  <c:v>C.H. PURMACANA</c:v>
                </c:pt>
              </c:strCache>
            </c:strRef>
          </c:cat>
          <c:val>
            <c:numRef>
              <c:f>'6. FP RER'!$P$6:$P$30</c:f>
              <c:numCache>
                <c:formatCode>0.00</c:formatCode>
                <c:ptCount val="25"/>
                <c:pt idx="0">
                  <c:v>1.0416737614766642</c:v>
                </c:pt>
                <c:pt idx="1">
                  <c:v>1.0310880689814814</c:v>
                </c:pt>
                <c:pt idx="2">
                  <c:v>0.6375920256944444</c:v>
                </c:pt>
                <c:pt idx="3">
                  <c:v>0.87665344905784282</c:v>
                </c:pt>
                <c:pt idx="4">
                  <c:v>0.60611312394781158</c:v>
                </c:pt>
                <c:pt idx="5">
                  <c:v>0.90672740746718328</c:v>
                </c:pt>
                <c:pt idx="6">
                  <c:v>0.32618632299909844</c:v>
                </c:pt>
                <c:pt idx="7">
                  <c:v>0.32014877817735887</c:v>
                </c:pt>
                <c:pt idx="8">
                  <c:v>0.31669820498511903</c:v>
                </c:pt>
                <c:pt idx="9">
                  <c:v>0.28703956718346257</c:v>
                </c:pt>
                <c:pt idx="10">
                  <c:v>0.26638323579704082</c:v>
                </c:pt>
                <c:pt idx="11">
                  <c:v>0.22674123935598542</c:v>
                </c:pt>
                <c:pt idx="12">
                  <c:v>0.4702424388604316</c:v>
                </c:pt>
                <c:pt idx="13">
                  <c:v>0.2199958700953796</c:v>
                </c:pt>
                <c:pt idx="14">
                  <c:v>0.71496773824436322</c:v>
                </c:pt>
                <c:pt idx="15">
                  <c:v>0.83182671824195542</c:v>
                </c:pt>
                <c:pt idx="16">
                  <c:v>0.48288701009210272</c:v>
                </c:pt>
                <c:pt idx="17">
                  <c:v>0.26483813982369181</c:v>
                </c:pt>
                <c:pt idx="18">
                  <c:v>0.61130641047793088</c:v>
                </c:pt>
                <c:pt idx="19">
                  <c:v>0.24031660709249864</c:v>
                </c:pt>
                <c:pt idx="20">
                  <c:v>0.24743359655621402</c:v>
                </c:pt>
                <c:pt idx="21">
                  <c:v>0.45513797094508307</c:v>
                </c:pt>
                <c:pt idx="22">
                  <c:v>0.21519509118201269</c:v>
                </c:pt>
                <c:pt idx="23">
                  <c:v>0.9351086954365081</c:v>
                </c:pt>
                <c:pt idx="24">
                  <c:v>0.20192475974004928</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20"/>
        <c:minorUnit val="5"/>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8 de agosto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Julio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INFSGI-MES-07-2019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63</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(9,66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(9,91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(9,74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(9,96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(9,59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(10,05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(9,82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(10,19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(9,98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(9,89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(9,38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(9,14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(10,38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(9,27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(9,34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(9,96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14</xdr:row>
      <xdr:rowOff>124238</xdr:rowOff>
    </xdr:from>
    <xdr:to>
      <xdr:col>7</xdr:col>
      <xdr:colOff>430696</xdr:colOff>
      <xdr:row>48</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359580</xdr:colOff>
      <xdr:row>15</xdr:row>
      <xdr:rowOff>8091</xdr:rowOff>
    </xdr:from>
    <xdr:to>
      <xdr:col>3</xdr:col>
      <xdr:colOff>315872</xdr:colOff>
      <xdr:row>30</xdr:row>
      <xdr:rowOff>65573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17</xdr:row>
      <xdr:rowOff>54428</xdr:rowOff>
    </xdr:from>
    <xdr:to>
      <xdr:col>9</xdr:col>
      <xdr:colOff>527957</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Edgar</a:t>
          </a:r>
          <a:r>
            <a:rPr lang="es-PE" sz="1200" baseline="0">
              <a:effectLst/>
              <a:latin typeface="Arial" panose="020B0604020202020204" pitchFamily="34" charset="0"/>
              <a:ea typeface="+mn-ea"/>
              <a:cs typeface="Arial" panose="020B0604020202020204" pitchFamily="34" charset="0"/>
            </a:rPr>
            <a:t> Egúsquiza Aranda</a:t>
          </a:r>
          <a:endParaRPr lang="es-PE" sz="120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17</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19</xdr:row>
      <xdr:rowOff>70757</xdr:rowOff>
    </xdr:from>
    <xdr:to>
      <xdr:col>8</xdr:col>
      <xdr:colOff>429240</xdr:colOff>
      <xdr:row>29</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19</xdr:row>
      <xdr:rowOff>43962</xdr:rowOff>
    </xdr:from>
    <xdr:to>
      <xdr:col>1</xdr:col>
      <xdr:colOff>621076</xdr:colOff>
      <xdr:row>20</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7A5"/>
    <pageSetUpPr fitToPage="1"/>
  </sheetPr>
  <dimension ref="I11:I15"/>
  <sheetViews>
    <sheetView showGridLines="0" tabSelected="1" view="pageBreakPreview" topLeftCell="A22" zoomScaleNormal="70" zoomScaleSheetLayoutView="100" zoomScalePageLayoutView="85" workbookViewId="0">
      <selection activeCell="U69" sqref="T69:U69"/>
    </sheetView>
  </sheetViews>
  <sheetFormatPr defaultColWidth="9.33203125" defaultRowHeight="11.25"/>
  <cols>
    <col min="9" max="9" width="14.6640625" customWidth="1"/>
    <col min="12" max="12" width="20.5" customWidth="1"/>
  </cols>
  <sheetData>
    <row r="11" spans="9:9" ht="15.75">
      <c r="I11" s="508"/>
    </row>
    <row r="12" spans="9:9" ht="15.75">
      <c r="I12" s="508"/>
    </row>
    <row r="13" spans="9:9" ht="15.75">
      <c r="I13" s="508"/>
    </row>
    <row r="14" spans="9:9" ht="15.75">
      <c r="I14" s="508"/>
    </row>
    <row r="15" spans="9:9" ht="15.75">
      <c r="I15" s="508"/>
    </row>
  </sheetData>
  <pageMargins left="0.59055118110236227" right="0.39370078740157483" top="1.3779527559055118" bottom="0.62992125984251968" header="0.31496062992125984" footer="0.31496062992125984"/>
  <pageSetup paperSize="9" scale="91" orientation="portrait" r:id="rId1"/>
  <headerFooter>
    <oddHeader>&amp;R&amp;7Informe de la Operación Mensual-Julio 2019
INFSGI-MES-07-2019
08/08/2019
Versión: 01</oddHeader>
    <oddFooter>&amp;LCOES, 2019&amp;RDirección Ejecutiva
Sub Dirección de Gestión de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7A5"/>
  </sheetPr>
  <dimension ref="A1:L62"/>
  <sheetViews>
    <sheetView showGridLines="0" view="pageBreakPreview" zoomScale="130" zoomScaleNormal="100" zoomScaleSheetLayoutView="130" workbookViewId="0">
      <selection activeCell="U69" sqref="T69:U69"/>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44" t="s">
        <v>260</v>
      </c>
      <c r="B2" s="944"/>
      <c r="C2" s="944"/>
      <c r="D2" s="944"/>
      <c r="E2" s="944"/>
      <c r="F2" s="944"/>
      <c r="G2" s="944"/>
      <c r="H2" s="944"/>
      <c r="I2" s="944"/>
      <c r="J2" s="944"/>
      <c r="K2" s="944"/>
    </row>
    <row r="3" spans="1:12" ht="11.25" customHeight="1">
      <c r="A3" s="17"/>
      <c r="B3" s="17"/>
      <c r="C3" s="17"/>
      <c r="D3" s="17"/>
      <c r="E3" s="17"/>
      <c r="F3" s="17"/>
      <c r="G3" s="17"/>
      <c r="H3" s="17"/>
      <c r="I3" s="17"/>
      <c r="J3" s="17"/>
      <c r="K3" s="17"/>
      <c r="L3" s="36"/>
    </row>
    <row r="4" spans="1:12" ht="11.25" customHeight="1">
      <c r="A4" s="945" t="s">
        <v>446</v>
      </c>
      <c r="B4" s="945"/>
      <c r="C4" s="945"/>
      <c r="D4" s="945"/>
      <c r="E4" s="945"/>
      <c r="F4" s="945"/>
      <c r="G4" s="945"/>
      <c r="H4" s="945"/>
      <c r="I4" s="945"/>
      <c r="J4" s="945"/>
      <c r="K4" s="945"/>
      <c r="L4" s="36"/>
    </row>
    <row r="5" spans="1:12" ht="11.25" customHeight="1">
      <c r="A5" s="17"/>
      <c r="B5" s="67"/>
      <c r="C5" s="68"/>
      <c r="D5" s="69"/>
      <c r="E5" s="69"/>
      <c r="F5" s="69"/>
      <c r="G5" s="69"/>
      <c r="H5" s="70"/>
      <c r="I5" s="66"/>
      <c r="J5" s="66"/>
      <c r="K5" s="71"/>
      <c r="L5" s="8"/>
    </row>
    <row r="6" spans="1:12" ht="12.75" customHeight="1">
      <c r="A6" s="951" t="s">
        <v>218</v>
      </c>
      <c r="B6" s="946" t="s">
        <v>263</v>
      </c>
      <c r="C6" s="947"/>
      <c r="D6" s="947"/>
      <c r="E6" s="947" t="s">
        <v>34</v>
      </c>
      <c r="F6" s="947"/>
      <c r="G6" s="948" t="s">
        <v>262</v>
      </c>
      <c r="H6" s="948"/>
      <c r="I6" s="948"/>
      <c r="J6" s="948"/>
      <c r="K6" s="948"/>
      <c r="L6" s="15"/>
    </row>
    <row r="7" spans="1:12" ht="12.75" customHeight="1">
      <c r="A7" s="951"/>
      <c r="B7" s="649">
        <v>43586</v>
      </c>
      <c r="C7" s="649">
        <v>43617</v>
      </c>
      <c r="D7" s="649">
        <v>43647</v>
      </c>
      <c r="E7" s="649">
        <v>43282</v>
      </c>
      <c r="F7" s="949" t="s">
        <v>124</v>
      </c>
      <c r="G7" s="650">
        <v>2019</v>
      </c>
      <c r="H7" s="650">
        <v>2018</v>
      </c>
      <c r="I7" s="949" t="s">
        <v>505</v>
      </c>
      <c r="J7" s="650">
        <v>2017</v>
      </c>
      <c r="K7" s="949" t="s">
        <v>42</v>
      </c>
      <c r="L7" s="13"/>
    </row>
    <row r="8" spans="1:12" ht="12.75" customHeight="1">
      <c r="A8" s="951"/>
      <c r="B8" s="651">
        <v>43594.791666666664</v>
      </c>
      <c r="C8" s="651">
        <v>43635.75</v>
      </c>
      <c r="D8" s="651">
        <v>43668.854166666664</v>
      </c>
      <c r="E8" s="651">
        <v>43294.791666666664</v>
      </c>
      <c r="F8" s="950"/>
      <c r="G8" s="652">
        <v>43549.791666666664</v>
      </c>
      <c r="H8" s="652">
        <v>43214.78125</v>
      </c>
      <c r="I8" s="950"/>
      <c r="J8" s="652">
        <v>42801.8125</v>
      </c>
      <c r="K8" s="950"/>
      <c r="L8" s="14"/>
    </row>
    <row r="9" spans="1:12" ht="12.75" customHeight="1">
      <c r="A9" s="951"/>
      <c r="B9" s="653">
        <f>+B8</f>
        <v>43594.791666666664</v>
      </c>
      <c r="C9" s="653">
        <f t="shared" ref="C9:E9" si="0">+C8</f>
        <v>43635.75</v>
      </c>
      <c r="D9" s="653">
        <f t="shared" si="0"/>
        <v>43668.854166666664</v>
      </c>
      <c r="E9" s="653">
        <f t="shared" si="0"/>
        <v>43294.791666666664</v>
      </c>
      <c r="F9" s="950"/>
      <c r="G9" s="654">
        <v>43549.791666666664</v>
      </c>
      <c r="H9" s="654">
        <v>43214.78125</v>
      </c>
      <c r="I9" s="950"/>
      <c r="J9" s="654">
        <v>42801.8125</v>
      </c>
      <c r="K9" s="950"/>
      <c r="L9" s="14"/>
    </row>
    <row r="10" spans="1:12" ht="12.75" customHeight="1">
      <c r="A10" s="655" t="s">
        <v>36</v>
      </c>
      <c r="B10" s="656">
        <v>4336.5917100000006</v>
      </c>
      <c r="C10" s="657">
        <v>3797.8033799999985</v>
      </c>
      <c r="D10" s="658">
        <v>2904.1955399999997</v>
      </c>
      <c r="E10" s="656">
        <v>3444.4161900000004</v>
      </c>
      <c r="F10" s="659">
        <f>+IF(E10=0,"",D10/E10-1)</f>
        <v>-0.15683953976537335</v>
      </c>
      <c r="G10" s="656">
        <v>4580.6239199999991</v>
      </c>
      <c r="H10" s="657">
        <v>4457.8647499999988</v>
      </c>
      <c r="I10" s="659">
        <f>+IF(H10=0,"",G10/H10-1)</f>
        <v>2.7537661388224111E-2</v>
      </c>
      <c r="J10" s="656">
        <v>4181.7234999999982</v>
      </c>
      <c r="K10" s="659">
        <f t="shared" ref="K10:K18" si="1">+IF(J10=0,"",H10/J10-1)</f>
        <v>6.6035272298611059E-2</v>
      </c>
      <c r="L10" s="14"/>
    </row>
    <row r="11" spans="1:12" ht="12.75" customHeight="1">
      <c r="A11" s="660" t="s">
        <v>37</v>
      </c>
      <c r="B11" s="661">
        <v>2160.5652599999999</v>
      </c>
      <c r="C11" s="662">
        <v>2827.5675700000006</v>
      </c>
      <c r="D11" s="663">
        <v>3479.0036200000004</v>
      </c>
      <c r="E11" s="661">
        <v>2790.9961800000005</v>
      </c>
      <c r="F11" s="664">
        <f>+IF(E11=0,"",D11/E11-1)</f>
        <v>0.24650963155384886</v>
      </c>
      <c r="G11" s="661">
        <v>2106.5043700000006</v>
      </c>
      <c r="H11" s="662">
        <v>1943.7948299999998</v>
      </c>
      <c r="I11" s="664">
        <f>+IF(H11=0,"",G11/H11-1)</f>
        <v>8.3707157509005592E-2</v>
      </c>
      <c r="J11" s="661">
        <v>2286.1302900000001</v>
      </c>
      <c r="K11" s="664">
        <f t="shared" si="1"/>
        <v>-0.14974450996841493</v>
      </c>
      <c r="L11" s="14"/>
    </row>
    <row r="12" spans="1:12" ht="12.75" customHeight="1">
      <c r="A12" s="665" t="s">
        <v>38</v>
      </c>
      <c r="B12" s="666">
        <v>339.30074999999999</v>
      </c>
      <c r="C12" s="667">
        <v>168.39731</v>
      </c>
      <c r="D12" s="668">
        <v>308.93804999999998</v>
      </c>
      <c r="E12" s="666">
        <v>185.59888999999998</v>
      </c>
      <c r="F12" s="669">
        <f>+IF(E12=0,"",D12/E12-1)</f>
        <v>0.66454686232229077</v>
      </c>
      <c r="G12" s="666">
        <v>303.54068999999998</v>
      </c>
      <c r="H12" s="667">
        <v>309.01528000000002</v>
      </c>
      <c r="I12" s="669">
        <f>+IF(H12=0,"",G12/H12-1)</f>
        <v>-1.7716243675717336E-2</v>
      </c>
      <c r="J12" s="666">
        <v>91.209550000000007</v>
      </c>
      <c r="K12" s="669">
        <f t="shared" si="1"/>
        <v>2.3879706675452295</v>
      </c>
      <c r="L12" s="13"/>
    </row>
    <row r="13" spans="1:12" ht="12.75" customHeight="1">
      <c r="A13" s="670" t="s">
        <v>30</v>
      </c>
      <c r="B13" s="671">
        <v>0</v>
      </c>
      <c r="C13" s="672">
        <v>0</v>
      </c>
      <c r="D13" s="673">
        <v>0</v>
      </c>
      <c r="E13" s="671">
        <v>0</v>
      </c>
      <c r="F13" s="674" t="str">
        <f>+IF(E13=0,"",D13/E13-1)</f>
        <v/>
      </c>
      <c r="G13" s="671">
        <v>0</v>
      </c>
      <c r="H13" s="672">
        <v>0</v>
      </c>
      <c r="I13" s="674" t="str">
        <f>+IF(H13=0,"",G13/H13-1)</f>
        <v/>
      </c>
      <c r="J13" s="671">
        <v>0</v>
      </c>
      <c r="K13" s="674" t="str">
        <f t="shared" si="1"/>
        <v/>
      </c>
      <c r="L13" s="14"/>
    </row>
    <row r="14" spans="1:12" ht="12.75" customHeight="1">
      <c r="A14" s="675" t="s">
        <v>43</v>
      </c>
      <c r="B14" s="645">
        <f>+SUM(B10:B13)</f>
        <v>6836.4577200000003</v>
      </c>
      <c r="C14" s="646">
        <f t="shared" ref="C14:J14" si="2">+SUM(C10:C13)</f>
        <v>6793.7682599999989</v>
      </c>
      <c r="D14" s="647">
        <f t="shared" si="2"/>
        <v>6692.1372099999999</v>
      </c>
      <c r="E14" s="645">
        <f t="shared" si="2"/>
        <v>6421.0112600000011</v>
      </c>
      <c r="F14" s="707">
        <f>+IF(E14=0,"",D14/E14-1)</f>
        <v>4.2224805255986819E-2</v>
      </c>
      <c r="G14" s="704">
        <f t="shared" si="2"/>
        <v>6990.6689799999995</v>
      </c>
      <c r="H14" s="646">
        <f t="shared" si="2"/>
        <v>6710.6748599999983</v>
      </c>
      <c r="I14" s="707">
        <f>+IF(H14=0,"",G14/H14-1)</f>
        <v>4.1723690365174537E-2</v>
      </c>
      <c r="J14" s="645">
        <f t="shared" si="2"/>
        <v>6559.0633399999979</v>
      </c>
      <c r="K14" s="707">
        <f>+IF(J14=0,"",H14/J14-1)</f>
        <v>2.3114812609813962E-2</v>
      </c>
      <c r="L14" s="14"/>
    </row>
    <row r="15" spans="1:12" ht="6.75" customHeight="1">
      <c r="A15" s="676"/>
      <c r="B15" s="676"/>
      <c r="C15" s="676"/>
      <c r="D15" s="676"/>
      <c r="E15" s="676"/>
      <c r="F15" s="677"/>
      <c r="G15" s="676"/>
      <c r="H15" s="676"/>
      <c r="I15" s="677"/>
      <c r="J15" s="676"/>
      <c r="K15" s="677"/>
      <c r="L15" s="14"/>
    </row>
    <row r="16" spans="1:12" ht="12.75" customHeight="1">
      <c r="A16" s="678" t="s">
        <v>39</v>
      </c>
      <c r="B16" s="679">
        <v>48.289400000000001</v>
      </c>
      <c r="C16" s="680">
        <v>0</v>
      </c>
      <c r="D16" s="681">
        <v>47.143999999999998</v>
      </c>
      <c r="E16" s="679">
        <v>41.844000000000001</v>
      </c>
      <c r="F16" s="681">
        <v>0</v>
      </c>
      <c r="G16" s="679">
        <v>0</v>
      </c>
      <c r="H16" s="680">
        <v>0</v>
      </c>
      <c r="I16" s="681">
        <v>0</v>
      </c>
      <c r="J16" s="679">
        <v>36.515999999999998</v>
      </c>
      <c r="K16" s="682">
        <f t="shared" si="1"/>
        <v>-1</v>
      </c>
      <c r="L16" s="15"/>
    </row>
    <row r="17" spans="1:12" ht="12.75" customHeight="1">
      <c r="A17" s="683" t="s">
        <v>40</v>
      </c>
      <c r="B17" s="684">
        <v>0</v>
      </c>
      <c r="C17" s="685">
        <v>0</v>
      </c>
      <c r="D17" s="686">
        <v>0</v>
      </c>
      <c r="E17" s="684">
        <v>0</v>
      </c>
      <c r="F17" s="686">
        <v>0</v>
      </c>
      <c r="G17" s="684">
        <v>0</v>
      </c>
      <c r="H17" s="685">
        <v>0</v>
      </c>
      <c r="I17" s="686">
        <v>0</v>
      </c>
      <c r="J17" s="684">
        <v>0</v>
      </c>
      <c r="K17" s="687" t="str">
        <f t="shared" si="1"/>
        <v/>
      </c>
      <c r="L17" s="15"/>
    </row>
    <row r="18" spans="1:12" ht="24" customHeight="1">
      <c r="A18" s="688" t="s">
        <v>41</v>
      </c>
      <c r="B18" s="689">
        <f t="shared" ref="B18:J18" si="3">+B17-B16</f>
        <v>-48.289400000000001</v>
      </c>
      <c r="C18" s="690">
        <f t="shared" si="3"/>
        <v>0</v>
      </c>
      <c r="D18" s="691">
        <f t="shared" si="3"/>
        <v>-47.143999999999998</v>
      </c>
      <c r="E18" s="689">
        <f t="shared" si="3"/>
        <v>-41.844000000000001</v>
      </c>
      <c r="F18" s="691">
        <f t="shared" si="3"/>
        <v>0</v>
      </c>
      <c r="G18" s="689">
        <f t="shared" si="3"/>
        <v>0</v>
      </c>
      <c r="H18" s="690">
        <f t="shared" si="3"/>
        <v>0</v>
      </c>
      <c r="I18" s="691">
        <f t="shared" si="3"/>
        <v>0</v>
      </c>
      <c r="J18" s="689">
        <f t="shared" si="3"/>
        <v>-36.515999999999998</v>
      </c>
      <c r="K18" s="692">
        <f t="shared" si="1"/>
        <v>-1</v>
      </c>
      <c r="L18" s="15"/>
    </row>
    <row r="19" spans="1:12" ht="6" customHeight="1">
      <c r="A19" s="693"/>
      <c r="B19" s="693"/>
      <c r="C19" s="693"/>
      <c r="D19" s="693"/>
      <c r="E19" s="693"/>
      <c r="F19" s="694"/>
      <c r="G19" s="693"/>
      <c r="H19" s="693"/>
      <c r="I19" s="694"/>
      <c r="J19" s="693"/>
      <c r="K19" s="694"/>
      <c r="L19" s="15"/>
    </row>
    <row r="20" spans="1:12" ht="24" customHeight="1">
      <c r="A20" s="695" t="s">
        <v>261</v>
      </c>
      <c r="B20" s="696">
        <f>+B14-B18</f>
        <v>6884.74712</v>
      </c>
      <c r="C20" s="697">
        <f t="shared" ref="C20:D20" si="4">+C14-C18</f>
        <v>6793.7682599999989</v>
      </c>
      <c r="D20" s="702">
        <f t="shared" si="4"/>
        <v>6739.2812100000001</v>
      </c>
      <c r="E20" s="696">
        <f>+E14-E18</f>
        <v>6462.8552600000012</v>
      </c>
      <c r="F20" s="648">
        <f>+IF(E20=0,"",D20/E20-1)</f>
        <v>4.2771490135460555E-2</v>
      </c>
      <c r="G20" s="703">
        <f>+G14-G18</f>
        <v>6990.6689799999995</v>
      </c>
      <c r="H20" s="696">
        <f>+H14-H18</f>
        <v>6710.6748599999983</v>
      </c>
      <c r="I20" s="648">
        <f>+IF(H20=0,"",G20/H20-1)</f>
        <v>4.1723690365174537E-2</v>
      </c>
      <c r="J20" s="696">
        <f>+J14-J18</f>
        <v>6595.5793399999975</v>
      </c>
      <c r="K20" s="648">
        <f>+IF(J20=0,"",H20/J20-1)</f>
        <v>1.7450403378818313E-2</v>
      </c>
      <c r="L20" s="15"/>
    </row>
    <row r="21" spans="1:12" ht="11.25" customHeight="1">
      <c r="A21" s="270" t="s">
        <v>471</v>
      </c>
      <c r="B21" s="138"/>
      <c r="C21" s="138"/>
      <c r="D21" s="138"/>
      <c r="E21" s="138"/>
      <c r="F21" s="138"/>
      <c r="G21" s="138"/>
      <c r="H21" s="138"/>
      <c r="I21" s="138"/>
      <c r="J21" s="138"/>
      <c r="K21" s="138"/>
      <c r="L21" s="16"/>
    </row>
    <row r="22" spans="1:12" ht="17.25" customHeight="1">
      <c r="A22" s="942"/>
      <c r="B22" s="942"/>
      <c r="C22" s="942"/>
      <c r="D22" s="942"/>
      <c r="E22" s="942"/>
      <c r="F22" s="942"/>
      <c r="G22" s="942"/>
      <c r="H22" s="942"/>
      <c r="I22" s="942"/>
      <c r="J22" s="942"/>
      <c r="K22" s="942"/>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43" t="str">
        <f>"Gráfico N° 11: Comparación de la máxima potencia coincidente de potencia (MW) por tipo de generación en el SEIN en "&amp;'1. Resumen'!Q4</f>
        <v>Gráfico N° 11: Comparación de la máxima potencia coincidente de potencia (MW) por tipo de generación en el SEIN en julio</v>
      </c>
      <c r="B58" s="943"/>
      <c r="C58" s="943"/>
      <c r="D58" s="943"/>
      <c r="E58" s="943"/>
      <c r="F58" s="943"/>
      <c r="G58" s="943"/>
      <c r="H58" s="943"/>
      <c r="I58" s="943"/>
      <c r="J58" s="943"/>
      <c r="K58" s="943"/>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7A5"/>
  </sheetPr>
  <dimension ref="A1:O72"/>
  <sheetViews>
    <sheetView showGridLines="0" view="pageBreakPreview" topLeftCell="A28" zoomScale="130" zoomScaleNormal="100" zoomScaleSheetLayoutView="130" zoomScalePageLayoutView="145" workbookViewId="0">
      <selection activeCell="U69" sqref="T69:U69"/>
    </sheetView>
  </sheetViews>
  <sheetFormatPr defaultColWidth="9.33203125" defaultRowHeight="11.25"/>
  <cols>
    <col min="1" max="1" width="21.83203125" customWidth="1"/>
    <col min="2" max="2" width="11.33203125" customWidth="1"/>
    <col min="3" max="3" width="10.83203125" customWidth="1"/>
    <col min="4" max="4" width="8.6640625" customWidth="1"/>
    <col min="10" max="10" width="11.83203125" customWidth="1"/>
    <col min="11" max="11" width="9.33203125" customWidth="1"/>
    <col min="12" max="12" width="27.83203125" style="818" customWidth="1"/>
    <col min="13" max="15" width="9.33203125" style="819"/>
  </cols>
  <sheetData>
    <row r="1" spans="1:15" ht="16.5" customHeight="1">
      <c r="A1" s="954" t="s">
        <v>265</v>
      </c>
      <c r="B1" s="954"/>
      <c r="C1" s="954"/>
      <c r="D1" s="954"/>
      <c r="E1" s="954"/>
      <c r="F1" s="954"/>
      <c r="G1" s="954"/>
      <c r="H1" s="954"/>
      <c r="I1" s="954"/>
      <c r="J1" s="954"/>
    </row>
    <row r="2" spans="1:15" ht="7.5" customHeight="1">
      <c r="A2" s="74"/>
      <c r="B2" s="73"/>
      <c r="C2" s="73"/>
      <c r="D2" s="73"/>
      <c r="E2" s="73"/>
      <c r="F2" s="73"/>
      <c r="G2" s="73"/>
      <c r="H2" s="73"/>
      <c r="I2" s="73"/>
      <c r="J2" s="73"/>
      <c r="K2" s="36"/>
      <c r="L2" s="820"/>
    </row>
    <row r="3" spans="1:15" ht="11.25" customHeight="1">
      <c r="A3" s="955" t="s">
        <v>125</v>
      </c>
      <c r="B3" s="957" t="str">
        <f>+'1. Resumen'!Q4</f>
        <v>julio</v>
      </c>
      <c r="C3" s="958"/>
      <c r="D3" s="959"/>
      <c r="E3" s="138"/>
      <c r="F3" s="138"/>
      <c r="G3" s="960" t="s">
        <v>509</v>
      </c>
      <c r="H3" s="960"/>
      <c r="I3" s="960"/>
      <c r="J3" s="138"/>
      <c r="K3" s="148"/>
      <c r="L3" s="820"/>
    </row>
    <row r="4" spans="1:15" ht="11.25" customHeight="1">
      <c r="A4" s="955"/>
      <c r="B4" s="532">
        <v>2019</v>
      </c>
      <c r="C4" s="533">
        <v>2018</v>
      </c>
      <c r="D4" s="959" t="s">
        <v>35</v>
      </c>
      <c r="E4" s="138"/>
      <c r="F4" s="138"/>
      <c r="G4" s="138"/>
      <c r="H4" s="138"/>
      <c r="I4" s="138"/>
      <c r="J4" s="138"/>
      <c r="K4" s="24"/>
      <c r="L4" s="821"/>
    </row>
    <row r="5" spans="1:15" ht="11.25" customHeight="1">
      <c r="A5" s="955"/>
      <c r="B5" s="534">
        <f>+'8. Max Potencia'!D8</f>
        <v>43668.854166666664</v>
      </c>
      <c r="C5" s="534">
        <f>+'8. Max Potencia'!E8</f>
        <v>43294.791666666664</v>
      </c>
      <c r="D5" s="959"/>
      <c r="E5" s="138"/>
      <c r="F5" s="138"/>
      <c r="G5" s="138"/>
      <c r="H5" s="138"/>
      <c r="I5" s="138"/>
      <c r="J5" s="138"/>
      <c r="K5" s="24"/>
      <c r="L5" s="822"/>
    </row>
    <row r="6" spans="1:15" ht="11.25" customHeight="1" thickBot="1">
      <c r="A6" s="956"/>
      <c r="B6" s="535">
        <f>+'8. Max Potencia'!D9</f>
        <v>43668.854166666664</v>
      </c>
      <c r="C6" s="535">
        <f>+'8. Max Potencia'!E9</f>
        <v>43294.791666666664</v>
      </c>
      <c r="D6" s="961"/>
      <c r="E6" s="138"/>
      <c r="F6" s="138"/>
      <c r="G6" s="138"/>
      <c r="H6" s="138"/>
      <c r="I6" s="138"/>
      <c r="J6" s="138"/>
      <c r="K6" s="25"/>
      <c r="L6" s="821" t="s">
        <v>264</v>
      </c>
      <c r="M6" s="819">
        <v>2019</v>
      </c>
      <c r="N6" s="819">
        <v>2018</v>
      </c>
    </row>
    <row r="7" spans="1:15" ht="9.75" customHeight="1">
      <c r="A7" s="402" t="s">
        <v>89</v>
      </c>
      <c r="B7" s="403">
        <v>1169.6795699999998</v>
      </c>
      <c r="C7" s="403">
        <v>801.48217000000011</v>
      </c>
      <c r="D7" s="404">
        <f>IF(C7=0,"",B7/C7-1)</f>
        <v>0.45939562198869588</v>
      </c>
      <c r="E7" s="138"/>
      <c r="F7" s="138"/>
      <c r="G7" s="138"/>
      <c r="H7" s="138"/>
      <c r="I7" s="138"/>
      <c r="J7" s="138"/>
      <c r="K7" s="23"/>
      <c r="L7" s="823" t="s">
        <v>123</v>
      </c>
      <c r="M7" s="824">
        <v>0</v>
      </c>
      <c r="N7" s="824">
        <v>0</v>
      </c>
      <c r="O7" s="825"/>
    </row>
    <row r="8" spans="1:15" ht="9.75" customHeight="1">
      <c r="A8" s="405" t="s">
        <v>483</v>
      </c>
      <c r="B8" s="406">
        <v>1052.8701000000001</v>
      </c>
      <c r="C8" s="406">
        <v>1198.1839100000002</v>
      </c>
      <c r="D8" s="407">
        <f t="shared" ref="D8:D38" si="0">IF(C8=0,"",B8/C8-1)</f>
        <v>-0.12127838538576274</v>
      </c>
      <c r="E8" s="138"/>
      <c r="F8" s="138"/>
      <c r="G8" s="138"/>
      <c r="H8" s="138"/>
      <c r="I8" s="138"/>
      <c r="J8" s="138"/>
      <c r="K8" s="26"/>
      <c r="L8" s="823" t="s">
        <v>248</v>
      </c>
      <c r="M8" s="824">
        <v>0</v>
      </c>
      <c r="N8" s="824">
        <v>0</v>
      </c>
      <c r="O8" s="825"/>
    </row>
    <row r="9" spans="1:15" ht="9.75" customHeight="1">
      <c r="A9" s="408" t="s">
        <v>88</v>
      </c>
      <c r="B9" s="409">
        <v>917.55417000000011</v>
      </c>
      <c r="C9" s="409">
        <v>1000.1083800000001</v>
      </c>
      <c r="D9" s="410">
        <f t="shared" si="0"/>
        <v>-8.2545263744315367E-2</v>
      </c>
      <c r="E9" s="436"/>
      <c r="F9" s="138"/>
      <c r="G9" s="138"/>
      <c r="H9" s="138"/>
      <c r="I9" s="138"/>
      <c r="J9" s="138"/>
      <c r="K9" s="25"/>
      <c r="L9" s="823" t="s">
        <v>112</v>
      </c>
      <c r="M9" s="824">
        <v>0</v>
      </c>
      <c r="N9" s="824">
        <v>0</v>
      </c>
      <c r="O9" s="825"/>
    </row>
    <row r="10" spans="1:15" ht="9.75" customHeight="1">
      <c r="A10" s="405" t="s">
        <v>90</v>
      </c>
      <c r="B10" s="406">
        <v>856.78128000000004</v>
      </c>
      <c r="C10" s="406">
        <v>851.62559999999996</v>
      </c>
      <c r="D10" s="407">
        <f t="shared" si="0"/>
        <v>6.0539279232565413E-3</v>
      </c>
      <c r="E10" s="138"/>
      <c r="F10" s="138"/>
      <c r="G10" s="138"/>
      <c r="H10" s="138"/>
      <c r="I10" s="138"/>
      <c r="J10" s="138"/>
      <c r="K10" s="25"/>
      <c r="L10" s="823" t="s">
        <v>113</v>
      </c>
      <c r="M10" s="826">
        <v>0</v>
      </c>
      <c r="N10" s="826">
        <v>0</v>
      </c>
      <c r="O10" s="825"/>
    </row>
    <row r="11" spans="1:15" ht="9.75" customHeight="1">
      <c r="A11" s="408" t="s">
        <v>252</v>
      </c>
      <c r="B11" s="409">
        <v>545.92955000000006</v>
      </c>
      <c r="C11" s="409">
        <v>275.32452999999998</v>
      </c>
      <c r="D11" s="410">
        <f t="shared" si="0"/>
        <v>0.98285837444269886</v>
      </c>
      <c r="E11" s="138"/>
      <c r="F11" s="138"/>
      <c r="G11" s="138"/>
      <c r="H11" s="138"/>
      <c r="I11" s="138"/>
      <c r="J11" s="138"/>
      <c r="K11" s="25"/>
      <c r="L11" s="823" t="s">
        <v>486</v>
      </c>
      <c r="M11" s="826">
        <v>0</v>
      </c>
      <c r="N11" s="826"/>
      <c r="O11" s="825"/>
    </row>
    <row r="12" spans="1:15" ht="9.75" customHeight="1">
      <c r="A12" s="405" t="s">
        <v>101</v>
      </c>
      <c r="B12" s="406">
        <v>287.88475</v>
      </c>
      <c r="C12" s="406">
        <v>294.18524000000002</v>
      </c>
      <c r="D12" s="407">
        <f t="shared" si="0"/>
        <v>-2.1416744089540418E-2</v>
      </c>
      <c r="E12" s="138"/>
      <c r="F12" s="138"/>
      <c r="G12" s="138"/>
      <c r="H12" s="138"/>
      <c r="I12" s="138"/>
      <c r="J12" s="138"/>
      <c r="K12" s="23"/>
      <c r="L12" s="823" t="s">
        <v>119</v>
      </c>
      <c r="M12" s="824">
        <v>0</v>
      </c>
      <c r="N12" s="824">
        <v>0</v>
      </c>
      <c r="O12" s="825"/>
    </row>
    <row r="13" spans="1:15" ht="9.75" customHeight="1">
      <c r="A13" s="408" t="s">
        <v>91</v>
      </c>
      <c r="B13" s="409">
        <v>225.76106999999999</v>
      </c>
      <c r="C13" s="409">
        <v>248.57145</v>
      </c>
      <c r="D13" s="410">
        <f t="shared" si="0"/>
        <v>-9.1765888640871651E-2</v>
      </c>
      <c r="E13" s="138"/>
      <c r="F13" s="138"/>
      <c r="G13" s="138"/>
      <c r="H13" s="138"/>
      <c r="I13" s="138"/>
      <c r="J13" s="138"/>
      <c r="K13" s="26"/>
      <c r="L13" s="823" t="s">
        <v>111</v>
      </c>
      <c r="M13" s="826">
        <v>0</v>
      </c>
      <c r="N13" s="826">
        <v>0</v>
      </c>
      <c r="O13" s="825"/>
    </row>
    <row r="14" spans="1:15" ht="9.75" customHeight="1">
      <c r="A14" s="405" t="s">
        <v>106</v>
      </c>
      <c r="B14" s="406">
        <v>167.28831</v>
      </c>
      <c r="C14" s="406">
        <v>86.796319999999994</v>
      </c>
      <c r="D14" s="407">
        <f t="shared" si="0"/>
        <v>0.92736639064882032</v>
      </c>
      <c r="E14" s="138"/>
      <c r="F14" s="138"/>
      <c r="G14" s="138"/>
      <c r="H14" s="138"/>
      <c r="I14" s="138"/>
      <c r="J14" s="138"/>
      <c r="K14" s="26"/>
      <c r="L14" s="823" t="s">
        <v>108</v>
      </c>
      <c r="M14" s="826">
        <v>0</v>
      </c>
      <c r="N14" s="826">
        <v>0</v>
      </c>
      <c r="O14" s="825"/>
    </row>
    <row r="15" spans="1:15" ht="9.75" customHeight="1">
      <c r="A15" s="408" t="s">
        <v>92</v>
      </c>
      <c r="B15" s="409">
        <v>150.46375000000003</v>
      </c>
      <c r="C15" s="409">
        <v>158.89804999999998</v>
      </c>
      <c r="D15" s="410">
        <f t="shared" si="0"/>
        <v>-5.3079946544340562E-2</v>
      </c>
      <c r="E15" s="138"/>
      <c r="F15" s="138"/>
      <c r="G15" s="138"/>
      <c r="H15" s="138"/>
      <c r="I15" s="138"/>
      <c r="J15" s="138"/>
      <c r="K15" s="26"/>
      <c r="L15" s="823" t="s">
        <v>256</v>
      </c>
      <c r="M15" s="826">
        <v>0</v>
      </c>
      <c r="N15" s="826">
        <v>0</v>
      </c>
      <c r="O15" s="825"/>
    </row>
    <row r="16" spans="1:15" ht="9.75" customHeight="1">
      <c r="A16" s="405" t="s">
        <v>254</v>
      </c>
      <c r="B16" s="406">
        <v>147.59696</v>
      </c>
      <c r="C16" s="406">
        <v>137.49227000000002</v>
      </c>
      <c r="D16" s="407">
        <f t="shared" si="0"/>
        <v>7.3492786176269975E-2</v>
      </c>
      <c r="E16" s="138"/>
      <c r="F16" s="138"/>
      <c r="G16" s="138"/>
      <c r="H16" s="138"/>
      <c r="I16" s="138"/>
      <c r="J16" s="138"/>
      <c r="K16" s="26"/>
      <c r="L16" s="823" t="s">
        <v>257</v>
      </c>
      <c r="M16" s="826">
        <v>0</v>
      </c>
      <c r="N16" s="826">
        <v>0</v>
      </c>
      <c r="O16" s="825"/>
    </row>
    <row r="17" spans="1:15" ht="9.75" customHeight="1">
      <c r="A17" s="408" t="s">
        <v>99</v>
      </c>
      <c r="B17" s="409">
        <v>129.72591</v>
      </c>
      <c r="C17" s="409">
        <v>91.487089999999995</v>
      </c>
      <c r="D17" s="410">
        <f t="shared" si="0"/>
        <v>0.41796957363055265</v>
      </c>
      <c r="E17" s="138"/>
      <c r="F17" s="138"/>
      <c r="G17" s="138"/>
      <c r="H17" s="138"/>
      <c r="I17" s="138"/>
      <c r="J17" s="138"/>
      <c r="K17" s="26"/>
      <c r="L17" s="823" t="s">
        <v>121</v>
      </c>
      <c r="M17" s="824">
        <v>0</v>
      </c>
      <c r="N17" s="824">
        <v>0</v>
      </c>
      <c r="O17" s="825"/>
    </row>
    <row r="18" spans="1:15" ht="9.75" customHeight="1">
      <c r="A18" s="405" t="s">
        <v>93</v>
      </c>
      <c r="B18" s="406">
        <v>126.30718999999999</v>
      </c>
      <c r="C18" s="406">
        <v>115.89467</v>
      </c>
      <c r="D18" s="407">
        <f t="shared" si="0"/>
        <v>8.9844683970367045E-2</v>
      </c>
      <c r="E18" s="138"/>
      <c r="F18" s="138"/>
      <c r="G18" s="138"/>
      <c r="H18" s="138"/>
      <c r="I18" s="138"/>
      <c r="J18" s="138"/>
      <c r="K18" s="26"/>
      <c r="L18" s="823" t="s">
        <v>110</v>
      </c>
      <c r="M18" s="826">
        <v>0</v>
      </c>
      <c r="N18" s="826">
        <v>0</v>
      </c>
      <c r="O18" s="825"/>
    </row>
    <row r="19" spans="1:15" ht="9.75" customHeight="1">
      <c r="A19" s="408" t="s">
        <v>96</v>
      </c>
      <c r="B19" s="409">
        <v>99.512879999999996</v>
      </c>
      <c r="C19" s="409">
        <v>76.185190000000006</v>
      </c>
      <c r="D19" s="410">
        <f t="shared" si="0"/>
        <v>0.30619717559278903</v>
      </c>
      <c r="E19" s="138"/>
      <c r="F19" s="138"/>
      <c r="G19" s="138"/>
      <c r="H19" s="138"/>
      <c r="I19" s="138"/>
      <c r="J19" s="138"/>
      <c r="K19" s="26"/>
      <c r="L19" s="823" t="s">
        <v>120</v>
      </c>
      <c r="M19" s="826">
        <v>1.728E-2</v>
      </c>
      <c r="N19" s="826">
        <v>0.30986999999999998</v>
      </c>
      <c r="O19" s="825"/>
    </row>
    <row r="20" spans="1:15" ht="9.75" customHeight="1">
      <c r="A20" s="405" t="s">
        <v>97</v>
      </c>
      <c r="B20" s="406">
        <v>91.333510000000004</v>
      </c>
      <c r="C20" s="406">
        <v>80.24427</v>
      </c>
      <c r="D20" s="407">
        <f t="shared" si="0"/>
        <v>0.13819354328975764</v>
      </c>
      <c r="E20" s="138"/>
      <c r="F20" s="138"/>
      <c r="G20" s="138"/>
      <c r="H20" s="138"/>
      <c r="I20" s="138"/>
      <c r="J20" s="138"/>
      <c r="K20" s="29"/>
      <c r="L20" s="823" t="s">
        <v>118</v>
      </c>
      <c r="M20" s="826">
        <v>1.7833999999999999</v>
      </c>
      <c r="N20" s="826">
        <v>1.857</v>
      </c>
      <c r="O20" s="825"/>
    </row>
    <row r="21" spans="1:15" ht="9.75" customHeight="1">
      <c r="A21" s="408" t="s">
        <v>94</v>
      </c>
      <c r="B21" s="409">
        <v>87.994110000000006</v>
      </c>
      <c r="C21" s="409">
        <v>124.50915999999999</v>
      </c>
      <c r="D21" s="410">
        <f t="shared" si="0"/>
        <v>-0.29327199701612305</v>
      </c>
      <c r="E21" s="138"/>
      <c r="F21" s="138"/>
      <c r="G21" s="138"/>
      <c r="H21" s="138"/>
      <c r="I21" s="138"/>
      <c r="J21" s="138"/>
      <c r="K21" s="26"/>
      <c r="L21" s="823" t="s">
        <v>116</v>
      </c>
      <c r="M21" s="824">
        <v>1.8469500000000001</v>
      </c>
      <c r="N21" s="824">
        <v>2.46305</v>
      </c>
      <c r="O21" s="825"/>
    </row>
    <row r="22" spans="1:15" ht="9.75" customHeight="1">
      <c r="A22" s="405" t="s">
        <v>100</v>
      </c>
      <c r="B22" s="406">
        <v>87.321700000000007</v>
      </c>
      <c r="C22" s="406">
        <v>53.820979999999999</v>
      </c>
      <c r="D22" s="407">
        <f t="shared" si="0"/>
        <v>0.62244723154427906</v>
      </c>
      <c r="E22" s="138"/>
      <c r="F22" s="138"/>
      <c r="G22" s="138"/>
      <c r="H22" s="138"/>
      <c r="I22" s="138"/>
      <c r="J22" s="138"/>
      <c r="K22" s="26"/>
      <c r="L22" s="823" t="s">
        <v>122</v>
      </c>
      <c r="M22" s="824">
        <v>3.5552600000000001</v>
      </c>
      <c r="N22" s="824">
        <v>4.2273899999999998</v>
      </c>
      <c r="O22" s="825"/>
    </row>
    <row r="23" spans="1:15" ht="9.75" customHeight="1">
      <c r="A23" s="408" t="s">
        <v>525</v>
      </c>
      <c r="B23" s="409">
        <v>65.870020000000011</v>
      </c>
      <c r="C23" s="409">
        <v>60.503439999999998</v>
      </c>
      <c r="D23" s="410">
        <f t="shared" si="0"/>
        <v>8.8698758285479462E-2</v>
      </c>
      <c r="E23" s="138"/>
      <c r="F23" s="138"/>
      <c r="G23" s="138"/>
      <c r="H23" s="138"/>
      <c r="I23" s="138"/>
      <c r="J23" s="138"/>
      <c r="K23" s="26"/>
      <c r="L23" s="823" t="s">
        <v>117</v>
      </c>
      <c r="M23" s="826">
        <v>3.6</v>
      </c>
      <c r="N23" s="826">
        <v>3.2</v>
      </c>
      <c r="O23" s="825"/>
    </row>
    <row r="24" spans="1:15" ht="9.75" customHeight="1">
      <c r="A24" s="405" t="s">
        <v>98</v>
      </c>
      <c r="B24" s="406">
        <v>61.083310000000004</v>
      </c>
      <c r="C24" s="406">
        <v>25.263779999999997</v>
      </c>
      <c r="D24" s="407">
        <f t="shared" si="0"/>
        <v>1.41782148197934</v>
      </c>
      <c r="E24" s="138"/>
      <c r="F24" s="138"/>
      <c r="G24" s="138"/>
      <c r="H24" s="138"/>
      <c r="I24" s="138"/>
      <c r="J24" s="138"/>
      <c r="K24" s="29"/>
      <c r="L24" s="823" t="s">
        <v>105</v>
      </c>
      <c r="M24" s="826">
        <v>4.5350599999999996</v>
      </c>
      <c r="N24" s="826">
        <v>5.1794700000000002</v>
      </c>
      <c r="O24" s="825"/>
    </row>
    <row r="25" spans="1:15" ht="9.75" customHeight="1">
      <c r="A25" s="408" t="s">
        <v>250</v>
      </c>
      <c r="B25" s="409">
        <v>59.373419999999996</v>
      </c>
      <c r="C25" s="409">
        <v>93.694500000000005</v>
      </c>
      <c r="D25" s="410">
        <f t="shared" si="0"/>
        <v>-0.36630837455773824</v>
      </c>
      <c r="E25" s="138"/>
      <c r="F25" s="138"/>
      <c r="G25" s="138"/>
      <c r="H25" s="138"/>
      <c r="I25" s="138"/>
      <c r="J25" s="138"/>
      <c r="K25" s="26"/>
      <c r="L25" s="823" t="s">
        <v>115</v>
      </c>
      <c r="M25" s="824">
        <v>4.9809799999999997</v>
      </c>
      <c r="N25" s="824">
        <v>2.1800000000000002</v>
      </c>
      <c r="O25" s="825"/>
    </row>
    <row r="26" spans="1:15" ht="9.75" customHeight="1">
      <c r="A26" s="405" t="s">
        <v>95</v>
      </c>
      <c r="B26" s="406">
        <v>57.046239999999997</v>
      </c>
      <c r="C26" s="406">
        <v>180.89832999999999</v>
      </c>
      <c r="D26" s="407">
        <f t="shared" si="0"/>
        <v>-0.68465026736288825</v>
      </c>
      <c r="E26" s="138"/>
      <c r="F26" s="138"/>
      <c r="G26" s="138"/>
      <c r="H26" s="138"/>
      <c r="I26" s="138"/>
      <c r="J26" s="138"/>
      <c r="K26" s="26"/>
      <c r="L26" s="823" t="s">
        <v>249</v>
      </c>
      <c r="M26" s="826">
        <v>6.4285699999999997</v>
      </c>
      <c r="N26" s="826">
        <v>235.94978999999998</v>
      </c>
      <c r="O26" s="825"/>
    </row>
    <row r="27" spans="1:15" ht="9.75" customHeight="1">
      <c r="A27" s="408" t="s">
        <v>255</v>
      </c>
      <c r="B27" s="409">
        <v>30.807130000000001</v>
      </c>
      <c r="C27" s="409">
        <v>15.02704</v>
      </c>
      <c r="D27" s="410">
        <f t="shared" si="0"/>
        <v>1.0501129963053271</v>
      </c>
      <c r="E27" s="138"/>
      <c r="F27" s="138"/>
      <c r="G27" s="138"/>
      <c r="H27" s="138"/>
      <c r="I27" s="138"/>
      <c r="J27" s="138"/>
      <c r="K27" s="26"/>
      <c r="L27" s="823" t="s">
        <v>526</v>
      </c>
      <c r="M27" s="826">
        <v>6.8680000000000003</v>
      </c>
      <c r="N27" s="826"/>
      <c r="O27" s="825"/>
    </row>
    <row r="28" spans="1:15" ht="9.75" customHeight="1">
      <c r="A28" s="405" t="s">
        <v>103</v>
      </c>
      <c r="B28" s="406">
        <v>28.627479999999998</v>
      </c>
      <c r="C28" s="406">
        <v>28.065159999999999</v>
      </c>
      <c r="D28" s="407">
        <f t="shared" si="0"/>
        <v>2.0036229973390496E-2</v>
      </c>
      <c r="E28" s="138"/>
      <c r="F28" s="138"/>
      <c r="G28" s="138"/>
      <c r="H28" s="138"/>
      <c r="I28" s="138"/>
      <c r="J28" s="138"/>
      <c r="K28" s="26"/>
      <c r="L28" s="823" t="s">
        <v>500</v>
      </c>
      <c r="M28" s="826">
        <v>6.9106399999999999</v>
      </c>
      <c r="N28" s="826"/>
      <c r="O28" s="825"/>
    </row>
    <row r="29" spans="1:15" ht="9.75" customHeight="1">
      <c r="A29" s="411" t="s">
        <v>102</v>
      </c>
      <c r="B29" s="412">
        <v>25.86</v>
      </c>
      <c r="C29" s="412">
        <v>46.913179999999997</v>
      </c>
      <c r="D29" s="413">
        <f t="shared" si="0"/>
        <v>-0.44876898133957233</v>
      </c>
      <c r="E29" s="138"/>
      <c r="F29" s="138"/>
      <c r="G29" s="138"/>
      <c r="H29" s="138"/>
      <c r="I29" s="138"/>
      <c r="J29" s="138"/>
      <c r="K29" s="26"/>
      <c r="L29" s="823" t="s">
        <v>258</v>
      </c>
      <c r="M29" s="826">
        <v>7.48794</v>
      </c>
      <c r="N29" s="826">
        <v>11.733280000000001</v>
      </c>
      <c r="O29" s="825"/>
    </row>
    <row r="30" spans="1:15" ht="9.75" customHeight="1">
      <c r="A30" s="414" t="s">
        <v>114</v>
      </c>
      <c r="B30" s="415">
        <v>23.643570000000004</v>
      </c>
      <c r="C30" s="415">
        <v>4.2768300000000004</v>
      </c>
      <c r="D30" s="416">
        <f t="shared" si="0"/>
        <v>4.5282931517034815</v>
      </c>
      <c r="E30" s="138"/>
      <c r="F30" s="138"/>
      <c r="G30" s="138"/>
      <c r="H30" s="138"/>
      <c r="I30" s="138"/>
      <c r="J30" s="138"/>
      <c r="K30" s="26"/>
      <c r="L30" s="823" t="s">
        <v>484</v>
      </c>
      <c r="M30" s="826">
        <v>7.7927999999999997</v>
      </c>
      <c r="N30" s="826">
        <v>4.3132000000000001</v>
      </c>
      <c r="O30" s="825"/>
    </row>
    <row r="31" spans="1:15" ht="9.75" customHeight="1">
      <c r="A31" s="417" t="s">
        <v>109</v>
      </c>
      <c r="B31" s="418">
        <v>22.363440000000001</v>
      </c>
      <c r="C31" s="418">
        <v>5.2402199999999999</v>
      </c>
      <c r="D31" s="419">
        <f t="shared" si="0"/>
        <v>3.2676528848025468</v>
      </c>
      <c r="E31" s="138"/>
      <c r="F31" s="138"/>
      <c r="G31" s="138"/>
      <c r="H31" s="138"/>
      <c r="I31" s="138"/>
      <c r="J31" s="138"/>
      <c r="K31" s="26"/>
      <c r="L31" s="823" t="s">
        <v>251</v>
      </c>
      <c r="M31" s="826">
        <v>8.7378800000000005</v>
      </c>
      <c r="N31" s="826">
        <v>11.62796</v>
      </c>
      <c r="O31" s="825"/>
    </row>
    <row r="32" spans="1:15" ht="9.75" customHeight="1">
      <c r="A32" s="414" t="s">
        <v>467</v>
      </c>
      <c r="B32" s="415">
        <v>20.00085</v>
      </c>
      <c r="C32" s="415">
        <v>19.981480000000001</v>
      </c>
      <c r="D32" s="416">
        <f t="shared" si="0"/>
        <v>9.6939766223513857E-4</v>
      </c>
      <c r="E32" s="138"/>
      <c r="F32" s="138"/>
      <c r="G32" s="138"/>
      <c r="H32" s="138"/>
      <c r="I32" s="138"/>
      <c r="J32" s="138"/>
      <c r="K32" s="26"/>
      <c r="L32" s="823" t="s">
        <v>575</v>
      </c>
      <c r="M32" s="826">
        <v>12.18479</v>
      </c>
      <c r="N32" s="826"/>
      <c r="O32" s="825"/>
    </row>
    <row r="33" spans="1:15" ht="9.75" customHeight="1">
      <c r="A33" s="417" t="s">
        <v>104</v>
      </c>
      <c r="B33" s="418">
        <v>18.527999999999999</v>
      </c>
      <c r="C33" s="418">
        <v>17.027999999999999</v>
      </c>
      <c r="D33" s="419">
        <f t="shared" si="0"/>
        <v>8.8090204369274172E-2</v>
      </c>
      <c r="E33" s="138"/>
      <c r="F33" s="138"/>
      <c r="G33" s="138"/>
      <c r="H33" s="138"/>
      <c r="I33" s="138"/>
      <c r="J33" s="138"/>
      <c r="K33" s="26"/>
      <c r="L33" s="823" t="s">
        <v>507</v>
      </c>
      <c r="M33" s="826">
        <v>13.182869999999999</v>
      </c>
      <c r="N33" s="826">
        <v>17.331960000000002</v>
      </c>
      <c r="O33" s="825"/>
    </row>
    <row r="34" spans="1:15" ht="9.75" customHeight="1">
      <c r="A34" s="414" t="s">
        <v>495</v>
      </c>
      <c r="B34" s="415">
        <v>15.855229999999999</v>
      </c>
      <c r="C34" s="415"/>
      <c r="D34" s="416" t="str">
        <f t="shared" si="0"/>
        <v/>
      </c>
      <c r="E34" s="138"/>
      <c r="F34" s="138"/>
      <c r="G34" s="138"/>
      <c r="H34" s="138"/>
      <c r="I34" s="138"/>
      <c r="J34" s="138"/>
      <c r="K34" s="26"/>
      <c r="L34" s="823" t="s">
        <v>107</v>
      </c>
      <c r="M34" s="826">
        <v>14.317920000000001</v>
      </c>
      <c r="N34" s="826">
        <v>13.786569999999999</v>
      </c>
      <c r="O34" s="825"/>
    </row>
    <row r="35" spans="1:15" ht="21.75" customHeight="1">
      <c r="A35" s="603" t="s">
        <v>253</v>
      </c>
      <c r="B35" s="418">
        <v>14.84337</v>
      </c>
      <c r="C35" s="418">
        <v>15.15048</v>
      </c>
      <c r="D35" s="419">
        <f t="shared" si="0"/>
        <v>-2.0270644890458933E-2</v>
      </c>
      <c r="E35" s="138"/>
      <c r="F35" s="138"/>
      <c r="G35" s="138"/>
      <c r="H35" s="138"/>
      <c r="I35" s="138"/>
      <c r="J35" s="138"/>
      <c r="K35" s="26"/>
      <c r="L35" s="823" t="s">
        <v>253</v>
      </c>
      <c r="M35" s="826">
        <v>14.84337</v>
      </c>
      <c r="N35" s="826">
        <v>15.15048</v>
      </c>
      <c r="O35" s="825"/>
    </row>
    <row r="36" spans="1:15" ht="9.75" customHeight="1">
      <c r="A36" s="414" t="s">
        <v>107</v>
      </c>
      <c r="B36" s="415">
        <v>14.317920000000001</v>
      </c>
      <c r="C36" s="415">
        <v>13.786569999999999</v>
      </c>
      <c r="D36" s="416">
        <f t="shared" si="0"/>
        <v>3.8541130970212389E-2</v>
      </c>
      <c r="E36" s="138"/>
      <c r="F36" s="138"/>
      <c r="G36" s="138"/>
      <c r="H36" s="138"/>
      <c r="I36" s="138"/>
      <c r="J36" s="138"/>
      <c r="K36" s="34"/>
      <c r="L36" s="823" t="s">
        <v>495</v>
      </c>
      <c r="M36" s="826">
        <v>15.855229999999999</v>
      </c>
      <c r="N36" s="826"/>
      <c r="O36" s="825"/>
    </row>
    <row r="37" spans="1:15" ht="16.5" customHeight="1">
      <c r="A37" s="603" t="s">
        <v>507</v>
      </c>
      <c r="B37" s="418">
        <v>13.182869999999999</v>
      </c>
      <c r="C37" s="418">
        <v>17.331960000000002</v>
      </c>
      <c r="D37" s="419">
        <f t="shared" si="0"/>
        <v>-0.23938954394078926</v>
      </c>
      <c r="E37" s="138"/>
      <c r="F37" s="138"/>
      <c r="G37" s="138"/>
      <c r="H37" s="138"/>
      <c r="I37" s="138"/>
      <c r="J37" s="138"/>
      <c r="K37" s="34"/>
      <c r="L37" s="823" t="s">
        <v>104</v>
      </c>
      <c r="M37" s="824">
        <v>18.527999999999999</v>
      </c>
      <c r="N37" s="824">
        <v>17.027999999999999</v>
      </c>
      <c r="O37" s="825"/>
    </row>
    <row r="38" spans="1:15" ht="9.75" customHeight="1">
      <c r="A38" s="414" t="s">
        <v>575</v>
      </c>
      <c r="B38" s="415">
        <v>12.18479</v>
      </c>
      <c r="C38" s="415"/>
      <c r="D38" s="416" t="str">
        <f t="shared" si="0"/>
        <v/>
      </c>
      <c r="E38" s="138"/>
      <c r="F38" s="138"/>
      <c r="G38" s="138"/>
      <c r="H38" s="138"/>
      <c r="I38" s="138"/>
      <c r="J38" s="138"/>
      <c r="K38" s="29"/>
      <c r="L38" s="823" t="s">
        <v>467</v>
      </c>
      <c r="M38" s="826">
        <v>20.00085</v>
      </c>
      <c r="N38" s="826">
        <v>19.981480000000001</v>
      </c>
      <c r="O38" s="825"/>
    </row>
    <row r="39" spans="1:15" ht="9.75" customHeight="1">
      <c r="A39" s="417" t="s">
        <v>484</v>
      </c>
      <c r="B39" s="418">
        <v>7.7927999999999997</v>
      </c>
      <c r="C39" s="418">
        <v>4.3132000000000001</v>
      </c>
      <c r="D39" s="419">
        <v>0.80673282017991266</v>
      </c>
      <c r="E39" s="138"/>
      <c r="F39" s="138"/>
      <c r="G39" s="138"/>
      <c r="H39" s="138"/>
      <c r="I39" s="138"/>
      <c r="J39" s="138"/>
      <c r="K39" s="29"/>
      <c r="L39" s="823" t="s">
        <v>109</v>
      </c>
      <c r="M39" s="826">
        <v>22.363440000000001</v>
      </c>
      <c r="N39" s="826">
        <v>5.2402199999999999</v>
      </c>
      <c r="O39" s="825"/>
    </row>
    <row r="40" spans="1:15" ht="19.5" customHeight="1">
      <c r="A40" s="884" t="s">
        <v>751</v>
      </c>
      <c r="B40" s="415">
        <v>16.225819999999999</v>
      </c>
      <c r="C40" s="415">
        <v>23.361240000000002</v>
      </c>
      <c r="D40" s="416">
        <v>-0.30543840994741733</v>
      </c>
      <c r="E40" s="138"/>
      <c r="F40" s="138"/>
      <c r="G40" s="138"/>
      <c r="H40" s="138"/>
      <c r="I40" s="138"/>
      <c r="J40" s="138"/>
      <c r="K40" s="29"/>
      <c r="L40" s="823" t="s">
        <v>114</v>
      </c>
      <c r="M40" s="826">
        <v>23.643570000000004</v>
      </c>
      <c r="N40" s="826">
        <v>4.2768300000000004</v>
      </c>
      <c r="O40" s="825"/>
    </row>
    <row r="41" spans="1:15" ht="9.75" customHeight="1">
      <c r="A41" s="417" t="s">
        <v>500</v>
      </c>
      <c r="B41" s="418">
        <v>6.9106399999999999</v>
      </c>
      <c r="C41" s="418"/>
      <c r="D41" s="419" t="s">
        <v>748</v>
      </c>
      <c r="E41" s="138"/>
      <c r="F41" s="138"/>
      <c r="G41" s="138"/>
      <c r="H41" s="138"/>
      <c r="I41" s="138"/>
      <c r="J41" s="138"/>
      <c r="K41" s="34"/>
      <c r="L41" s="823" t="s">
        <v>102</v>
      </c>
      <c r="M41" s="826">
        <v>25.86</v>
      </c>
      <c r="N41" s="826">
        <v>46.913179999999997</v>
      </c>
      <c r="O41" s="825"/>
    </row>
    <row r="42" spans="1:15" ht="9.75" customHeight="1">
      <c r="A42" s="414" t="s">
        <v>526</v>
      </c>
      <c r="B42" s="415">
        <v>6.8680000000000003</v>
      </c>
      <c r="C42" s="415"/>
      <c r="D42" s="416" t="s">
        <v>748</v>
      </c>
      <c r="E42" s="138"/>
      <c r="F42" s="138"/>
      <c r="G42" s="138"/>
      <c r="H42" s="138"/>
      <c r="I42" s="138"/>
      <c r="J42" s="138"/>
      <c r="K42" s="34"/>
      <c r="L42" s="823" t="s">
        <v>103</v>
      </c>
      <c r="M42" s="826">
        <v>28.627479999999998</v>
      </c>
      <c r="N42" s="826">
        <v>28.065159999999999</v>
      </c>
      <c r="O42" s="825"/>
    </row>
    <row r="43" spans="1:15" ht="9.75" customHeight="1">
      <c r="A43" s="417" t="s">
        <v>249</v>
      </c>
      <c r="B43" s="418">
        <v>6.4285699999999997</v>
      </c>
      <c r="C43" s="418">
        <v>235.94978999999998</v>
      </c>
      <c r="D43" s="419">
        <v>-0.97275450001460051</v>
      </c>
      <c r="E43" s="138"/>
      <c r="F43" s="138"/>
      <c r="G43" s="138"/>
      <c r="H43" s="138"/>
      <c r="I43" s="138"/>
      <c r="J43" s="138"/>
      <c r="K43" s="34"/>
      <c r="L43" s="823" t="s">
        <v>255</v>
      </c>
      <c r="M43" s="826">
        <v>30.807130000000001</v>
      </c>
      <c r="N43" s="826">
        <v>15.02704</v>
      </c>
      <c r="O43" s="825"/>
    </row>
    <row r="44" spans="1:15" ht="9.75" customHeight="1">
      <c r="A44" s="414" t="s">
        <v>115</v>
      </c>
      <c r="B44" s="415">
        <v>4.9809799999999997</v>
      </c>
      <c r="C44" s="415">
        <v>2.1800000000000002</v>
      </c>
      <c r="D44" s="416">
        <v>1.2848532110091742</v>
      </c>
      <c r="E44" s="138"/>
      <c r="F44" s="138"/>
      <c r="G44" s="138"/>
      <c r="H44" s="138"/>
      <c r="I44" s="138"/>
      <c r="J44" s="138"/>
      <c r="L44" s="823" t="s">
        <v>95</v>
      </c>
      <c r="M44" s="826">
        <v>57.046239999999997</v>
      </c>
      <c r="N44" s="826">
        <v>180.89832999999999</v>
      </c>
      <c r="O44" s="825"/>
    </row>
    <row r="45" spans="1:15" ht="9.75" customHeight="1">
      <c r="A45" s="417" t="s">
        <v>105</v>
      </c>
      <c r="B45" s="418">
        <v>4.5350599999999996</v>
      </c>
      <c r="C45" s="418">
        <v>5.1794700000000002</v>
      </c>
      <c r="D45" s="419">
        <v>-0.1244162047468178</v>
      </c>
      <c r="E45" s="138"/>
      <c r="F45" s="138"/>
      <c r="G45" s="138"/>
      <c r="H45" s="138"/>
      <c r="I45" s="138"/>
      <c r="J45" s="138"/>
      <c r="L45" s="823" t="s">
        <v>250</v>
      </c>
      <c r="M45" s="826">
        <v>59.373419999999996</v>
      </c>
      <c r="N45" s="826">
        <v>93.694500000000005</v>
      </c>
      <c r="O45" s="825"/>
    </row>
    <row r="46" spans="1:15" ht="9.75" customHeight="1">
      <c r="A46" s="414" t="s">
        <v>117</v>
      </c>
      <c r="B46" s="415">
        <v>3.6</v>
      </c>
      <c r="C46" s="415">
        <v>3.2</v>
      </c>
      <c r="D46" s="416">
        <v>0.125</v>
      </c>
      <c r="E46" s="138"/>
      <c r="F46" s="138"/>
      <c r="G46" s="138"/>
      <c r="H46" s="138"/>
      <c r="I46" s="138"/>
      <c r="J46" s="138"/>
      <c r="L46" s="823" t="s">
        <v>98</v>
      </c>
      <c r="M46" s="826">
        <v>61.083310000000004</v>
      </c>
      <c r="N46" s="826">
        <v>25.263779999999997</v>
      </c>
      <c r="O46" s="825"/>
    </row>
    <row r="47" spans="1:15" ht="9.75" customHeight="1">
      <c r="A47" s="417" t="s">
        <v>122</v>
      </c>
      <c r="B47" s="418">
        <v>3.5552600000000001</v>
      </c>
      <c r="C47" s="418">
        <v>4.2273899999999998</v>
      </c>
      <c r="D47" s="419">
        <v>-0.15899408382004021</v>
      </c>
      <c r="E47" s="138"/>
      <c r="F47" s="138"/>
      <c r="G47" s="138"/>
      <c r="H47" s="138"/>
      <c r="I47" s="138"/>
      <c r="J47" s="138"/>
      <c r="L47" s="823" t="s">
        <v>525</v>
      </c>
      <c r="M47" s="826">
        <v>65.870020000000011</v>
      </c>
      <c r="N47" s="826">
        <v>60.503439999999998</v>
      </c>
      <c r="O47" s="825"/>
    </row>
    <row r="48" spans="1:15" ht="9.75" customHeight="1">
      <c r="A48" s="414" t="s">
        <v>116</v>
      </c>
      <c r="B48" s="415">
        <v>1.8469500000000001</v>
      </c>
      <c r="C48" s="415">
        <v>2.46305</v>
      </c>
      <c r="D48" s="416">
        <v>-0.2501370252329429</v>
      </c>
      <c r="E48" s="138"/>
      <c r="F48" s="138"/>
      <c r="G48" s="138"/>
      <c r="H48" s="138"/>
      <c r="I48" s="138"/>
      <c r="J48" s="138"/>
      <c r="L48" s="823" t="s">
        <v>100</v>
      </c>
      <c r="M48" s="826">
        <v>87.321700000000007</v>
      </c>
      <c r="N48" s="826">
        <v>53.820979999999999</v>
      </c>
      <c r="O48" s="825"/>
    </row>
    <row r="49" spans="1:15" ht="9.75" customHeight="1">
      <c r="A49" s="417" t="s">
        <v>118</v>
      </c>
      <c r="B49" s="418">
        <v>1.7833999999999999</v>
      </c>
      <c r="C49" s="418">
        <v>1.857</v>
      </c>
      <c r="D49" s="419">
        <v>-3.9633817985998965E-2</v>
      </c>
      <c r="E49" s="138"/>
      <c r="F49" s="138"/>
      <c r="G49" s="138"/>
      <c r="H49" s="138"/>
      <c r="I49" s="138"/>
      <c r="J49" s="138"/>
      <c r="L49" s="823" t="s">
        <v>94</v>
      </c>
      <c r="M49" s="826">
        <v>87.994110000000006</v>
      </c>
      <c r="N49" s="826">
        <v>124.50915999999999</v>
      </c>
      <c r="O49" s="825"/>
    </row>
    <row r="50" spans="1:15" ht="21.75" customHeight="1">
      <c r="A50" s="883" t="s">
        <v>752</v>
      </c>
      <c r="B50" s="415">
        <v>1.728E-2</v>
      </c>
      <c r="C50" s="415">
        <v>0.30986999999999998</v>
      </c>
      <c r="D50" s="416">
        <v>-0.94423467905896019</v>
      </c>
      <c r="E50" s="138"/>
      <c r="F50" s="138"/>
      <c r="G50" s="138"/>
      <c r="H50" s="138"/>
      <c r="I50" s="138"/>
      <c r="J50" s="138"/>
      <c r="L50" s="823" t="s">
        <v>97</v>
      </c>
      <c r="M50" s="826">
        <v>91.333510000000004</v>
      </c>
      <c r="N50" s="826">
        <v>80.24427</v>
      </c>
      <c r="O50" s="825"/>
    </row>
    <row r="51" spans="1:15" ht="9.75" customHeight="1">
      <c r="A51" s="603" t="s">
        <v>123</v>
      </c>
      <c r="B51" s="418">
        <v>0</v>
      </c>
      <c r="C51" s="418">
        <v>0</v>
      </c>
      <c r="D51" s="419" t="s">
        <v>748</v>
      </c>
      <c r="E51" s="138"/>
      <c r="F51" s="138"/>
      <c r="G51" s="138"/>
      <c r="H51" s="138"/>
      <c r="I51" s="138"/>
      <c r="J51" s="138"/>
      <c r="L51" s="823" t="s">
        <v>96</v>
      </c>
      <c r="M51" s="826">
        <v>99.512879999999996</v>
      </c>
      <c r="N51" s="826">
        <v>76.185190000000006</v>
      </c>
      <c r="O51" s="825"/>
    </row>
    <row r="52" spans="1:15" ht="9.75" customHeight="1">
      <c r="A52" s="414" t="s">
        <v>248</v>
      </c>
      <c r="B52" s="415">
        <v>0</v>
      </c>
      <c r="C52" s="415">
        <v>0</v>
      </c>
      <c r="D52" s="416" t="s">
        <v>748</v>
      </c>
      <c r="E52" s="138"/>
      <c r="F52" s="138"/>
      <c r="G52" s="138"/>
      <c r="H52" s="138"/>
      <c r="I52" s="138"/>
      <c r="J52" s="138"/>
      <c r="L52" s="823" t="s">
        <v>93</v>
      </c>
      <c r="M52" s="826">
        <v>126.30718999999999</v>
      </c>
      <c r="N52" s="826">
        <v>115.89467</v>
      </c>
      <c r="O52" s="825"/>
    </row>
    <row r="53" spans="1:15" ht="9.75" customHeight="1">
      <c r="A53" s="417" t="s">
        <v>112</v>
      </c>
      <c r="B53" s="418">
        <v>0</v>
      </c>
      <c r="C53" s="418">
        <v>0</v>
      </c>
      <c r="D53" s="419" t="s">
        <v>748</v>
      </c>
      <c r="E53" s="138"/>
      <c r="F53" s="138"/>
      <c r="G53" s="138"/>
      <c r="H53" s="138"/>
      <c r="I53" s="138"/>
      <c r="J53" s="138"/>
      <c r="L53" s="823" t="s">
        <v>99</v>
      </c>
      <c r="M53" s="826">
        <v>129.72591</v>
      </c>
      <c r="N53" s="826">
        <v>91.487089999999995</v>
      </c>
      <c r="O53" s="825"/>
    </row>
    <row r="54" spans="1:15" ht="9.75" customHeight="1">
      <c r="A54" s="414" t="s">
        <v>113</v>
      </c>
      <c r="B54" s="415">
        <v>0</v>
      </c>
      <c r="C54" s="415">
        <v>0</v>
      </c>
      <c r="D54" s="416" t="s">
        <v>748</v>
      </c>
      <c r="E54" s="138"/>
      <c r="F54" s="138"/>
      <c r="G54" s="138"/>
      <c r="H54" s="138"/>
      <c r="I54" s="138"/>
      <c r="J54" s="138"/>
      <c r="L54" s="823" t="s">
        <v>254</v>
      </c>
      <c r="M54" s="826">
        <v>147.59696</v>
      </c>
      <c r="N54" s="826">
        <v>137.49227000000002</v>
      </c>
      <c r="O54" s="825"/>
    </row>
    <row r="55" spans="1:15" ht="9.75" customHeight="1">
      <c r="A55" s="417" t="s">
        <v>486</v>
      </c>
      <c r="B55" s="418">
        <v>0</v>
      </c>
      <c r="C55" s="418"/>
      <c r="D55" s="419" t="s">
        <v>748</v>
      </c>
      <c r="E55" s="138"/>
      <c r="F55" s="138"/>
      <c r="G55" s="138"/>
      <c r="H55" s="138"/>
      <c r="I55" s="138"/>
      <c r="J55" s="138"/>
      <c r="L55" s="823" t="s">
        <v>92</v>
      </c>
      <c r="M55" s="826">
        <v>150.46375000000003</v>
      </c>
      <c r="N55" s="826">
        <v>158.89804999999998</v>
      </c>
      <c r="O55" s="825"/>
    </row>
    <row r="56" spans="1:15" ht="9.75" customHeight="1">
      <c r="A56" s="414" t="s">
        <v>119</v>
      </c>
      <c r="B56" s="415">
        <v>0</v>
      </c>
      <c r="C56" s="415">
        <v>0</v>
      </c>
      <c r="D56" s="416" t="s">
        <v>748</v>
      </c>
      <c r="E56" s="138"/>
      <c r="F56" s="138"/>
      <c r="G56" s="138"/>
      <c r="H56" s="138"/>
      <c r="I56" s="138"/>
      <c r="J56" s="138"/>
      <c r="L56" s="823" t="s">
        <v>106</v>
      </c>
      <c r="M56" s="826">
        <v>167.28831</v>
      </c>
      <c r="N56" s="826">
        <v>86.796319999999994</v>
      </c>
      <c r="O56" s="825"/>
    </row>
    <row r="57" spans="1:15" ht="9.75" customHeight="1">
      <c r="A57" s="417" t="s">
        <v>111</v>
      </c>
      <c r="B57" s="418">
        <v>0</v>
      </c>
      <c r="C57" s="418">
        <v>0</v>
      </c>
      <c r="D57" s="419" t="s">
        <v>748</v>
      </c>
      <c r="E57" s="138"/>
      <c r="F57" s="138"/>
      <c r="G57" s="138"/>
      <c r="H57" s="138"/>
      <c r="I57" s="138"/>
      <c r="J57" s="138"/>
      <c r="L57" s="823" t="s">
        <v>91</v>
      </c>
      <c r="M57" s="826">
        <v>225.76106999999999</v>
      </c>
      <c r="N57" s="826">
        <v>248.57145</v>
      </c>
      <c r="O57" s="825"/>
    </row>
    <row r="58" spans="1:15" ht="9.75" customHeight="1">
      <c r="A58" s="414" t="s">
        <v>108</v>
      </c>
      <c r="B58" s="415">
        <v>0</v>
      </c>
      <c r="C58" s="415">
        <v>0</v>
      </c>
      <c r="D58" s="416" t="s">
        <v>748</v>
      </c>
      <c r="E58" s="138"/>
      <c r="F58" s="138"/>
      <c r="G58" s="138"/>
      <c r="H58" s="138"/>
      <c r="I58" s="138"/>
      <c r="J58" s="138"/>
      <c r="L58" s="823" t="s">
        <v>101</v>
      </c>
      <c r="M58" s="826">
        <v>287.88475</v>
      </c>
      <c r="N58" s="826">
        <v>294.18524000000002</v>
      </c>
      <c r="O58" s="825"/>
    </row>
    <row r="59" spans="1:15" ht="9.75" customHeight="1">
      <c r="A59" s="397" t="s">
        <v>256</v>
      </c>
      <c r="B59" s="398">
        <v>0</v>
      </c>
      <c r="C59" s="398">
        <v>0</v>
      </c>
      <c r="D59" s="419" t="s">
        <v>748</v>
      </c>
      <c r="E59" s="138"/>
      <c r="F59" s="138"/>
      <c r="G59" s="138"/>
      <c r="H59" s="138"/>
      <c r="I59" s="138"/>
      <c r="J59" s="138"/>
      <c r="L59" s="823" t="s">
        <v>252</v>
      </c>
      <c r="M59" s="826">
        <v>545.92955000000006</v>
      </c>
      <c r="N59" s="826">
        <v>275.32452999999998</v>
      </c>
      <c r="O59" s="825"/>
    </row>
    <row r="60" spans="1:15" ht="9.75" customHeight="1">
      <c r="A60" s="420" t="s">
        <v>257</v>
      </c>
      <c r="B60" s="421">
        <v>0</v>
      </c>
      <c r="C60" s="421">
        <v>0</v>
      </c>
      <c r="D60" s="422" t="s">
        <v>748</v>
      </c>
      <c r="E60" s="138"/>
      <c r="F60" s="138"/>
      <c r="G60" s="138"/>
      <c r="H60" s="138"/>
      <c r="I60" s="138"/>
      <c r="J60" s="138"/>
      <c r="L60" s="823" t="s">
        <v>90</v>
      </c>
      <c r="M60" s="826">
        <v>856.78128000000004</v>
      </c>
      <c r="N60" s="826">
        <v>851.62559999999996</v>
      </c>
      <c r="O60" s="825"/>
    </row>
    <row r="61" spans="1:15" ht="9.75" customHeight="1">
      <c r="A61" s="397" t="s">
        <v>121</v>
      </c>
      <c r="B61" s="398">
        <v>0</v>
      </c>
      <c r="C61" s="398">
        <v>0</v>
      </c>
      <c r="D61" s="410"/>
      <c r="E61" s="138"/>
      <c r="F61" s="138"/>
      <c r="G61" s="138"/>
      <c r="H61" s="138"/>
      <c r="I61" s="138"/>
      <c r="J61" s="138"/>
      <c r="L61" s="823" t="s">
        <v>88</v>
      </c>
      <c r="M61" s="826">
        <v>917.55417000000011</v>
      </c>
      <c r="N61" s="826">
        <v>1000.1083800000001</v>
      </c>
      <c r="O61" s="825"/>
    </row>
    <row r="62" spans="1:15" ht="9.75" customHeight="1">
      <c r="A62" s="420" t="s">
        <v>110</v>
      </c>
      <c r="B62" s="421">
        <v>0</v>
      </c>
      <c r="C62" s="421">
        <v>0</v>
      </c>
      <c r="D62" s="422"/>
      <c r="E62" s="138"/>
      <c r="F62" s="138"/>
      <c r="G62" s="138"/>
      <c r="H62" s="138"/>
      <c r="I62" s="138"/>
      <c r="J62" s="138"/>
      <c r="L62" s="823" t="s">
        <v>483</v>
      </c>
      <c r="M62" s="826">
        <v>1052.8701000000001</v>
      </c>
      <c r="N62" s="826">
        <v>1198.1839100000002</v>
      </c>
      <c r="O62" s="825"/>
    </row>
    <row r="63" spans="1:15" ht="9.75" customHeight="1">
      <c r="A63" s="399" t="s">
        <v>43</v>
      </c>
      <c r="B63" s="698">
        <f>SUM(B7:B61)</f>
        <v>6692.1372100000026</v>
      </c>
      <c r="C63" s="400">
        <f>SUM(C7:C61)</f>
        <v>6421.0112600000011</v>
      </c>
      <c r="D63" s="401">
        <f>IF(C63=0,"",B63/C63-1)</f>
        <v>4.2224805255987263E-2</v>
      </c>
      <c r="E63" s="138"/>
      <c r="F63" s="138"/>
      <c r="G63" s="138"/>
      <c r="H63" s="138"/>
      <c r="I63" s="138"/>
      <c r="J63" s="138"/>
      <c r="L63" s="823" t="s">
        <v>89</v>
      </c>
      <c r="M63" s="826">
        <v>1169.6795699999998</v>
      </c>
      <c r="N63" s="826">
        <v>801.48217000000011</v>
      </c>
      <c r="O63" s="825"/>
    </row>
    <row r="64" spans="1:15" ht="51.75" customHeight="1">
      <c r="A64" s="938" t="str">
        <f>"Cuadro N° 8: Participación de las empresas generadoras del COES en la máxima potencia coincidente (MW) en "&amp;'1. Resumen'!Q4</f>
        <v>Cuadro N° 8: Participación de las empresas generadoras del COES en la máxima potencia coincidente (MW) en julio</v>
      </c>
      <c r="B64" s="938"/>
      <c r="C64" s="938"/>
      <c r="D64" s="938"/>
      <c r="E64" s="132"/>
      <c r="F64" s="938" t="str">
        <f>"Gráfico N° 12: Comparación de la máxima potencia coincidente  (MW) de las empresas generadoras del COES en "&amp;'1. Resumen'!Q4</f>
        <v>Gráfico N° 12: Comparación de la máxima potencia coincidente  (MW) de las empresas generadoras del COES en julio</v>
      </c>
      <c r="G64" s="938"/>
      <c r="H64" s="938"/>
      <c r="I64" s="938"/>
      <c r="J64" s="938"/>
      <c r="L64" s="823"/>
      <c r="M64" s="827"/>
      <c r="N64" s="827"/>
    </row>
    <row r="65" spans="1:10" ht="33" customHeight="1">
      <c r="A65" s="941" t="s">
        <v>749</v>
      </c>
      <c r="B65" s="941"/>
      <c r="C65" s="941"/>
      <c r="D65" s="941"/>
      <c r="E65" s="941"/>
      <c r="F65" s="941"/>
      <c r="G65" s="941"/>
      <c r="H65" s="941"/>
      <c r="I65" s="941"/>
      <c r="J65" s="941"/>
    </row>
    <row r="66" spans="1:10" ht="24" customHeight="1">
      <c r="A66" s="940" t="s">
        <v>743</v>
      </c>
      <c r="B66" s="940"/>
      <c r="C66" s="940"/>
      <c r="D66" s="940"/>
      <c r="E66" s="940"/>
      <c r="F66" s="940"/>
      <c r="G66" s="940"/>
      <c r="H66" s="940"/>
      <c r="I66" s="940"/>
      <c r="J66" s="940"/>
    </row>
    <row r="67" spans="1:10" ht="12.75" customHeight="1">
      <c r="A67" s="940"/>
      <c r="B67" s="940"/>
      <c r="C67" s="940"/>
      <c r="D67" s="940"/>
      <c r="E67" s="940"/>
      <c r="F67" s="940"/>
      <c r="G67" s="940"/>
      <c r="H67" s="940"/>
      <c r="I67" s="940"/>
      <c r="J67" s="940"/>
    </row>
    <row r="68" spans="1:10">
      <c r="A68" s="940"/>
      <c r="B68" s="940"/>
      <c r="C68" s="940"/>
      <c r="D68" s="940"/>
      <c r="E68" s="940"/>
      <c r="F68" s="940"/>
      <c r="G68" s="940"/>
      <c r="H68" s="940"/>
      <c r="I68" s="940"/>
      <c r="J68" s="940"/>
    </row>
    <row r="69" spans="1:10">
      <c r="A69" s="933"/>
      <c r="B69" s="933"/>
      <c r="C69" s="933"/>
      <c r="D69" s="933"/>
      <c r="E69" s="933"/>
      <c r="F69" s="933"/>
      <c r="G69" s="933"/>
      <c r="H69" s="933"/>
      <c r="I69" s="933"/>
      <c r="J69" s="933"/>
    </row>
    <row r="70" spans="1:10">
      <c r="A70" s="932"/>
      <c r="B70" s="932"/>
      <c r="C70" s="932"/>
      <c r="D70" s="932"/>
      <c r="E70" s="932"/>
      <c r="F70" s="932"/>
      <c r="G70" s="932"/>
      <c r="H70" s="932"/>
      <c r="I70" s="932"/>
      <c r="J70" s="932"/>
    </row>
    <row r="71" spans="1:10">
      <c r="A71" s="953"/>
      <c r="B71" s="953"/>
      <c r="C71" s="953"/>
      <c r="D71" s="953"/>
      <c r="E71" s="953"/>
      <c r="F71" s="953"/>
      <c r="G71" s="953"/>
      <c r="H71" s="953"/>
      <c r="I71" s="953"/>
      <c r="J71" s="953"/>
    </row>
    <row r="72" spans="1:10">
      <c r="A72" s="952"/>
      <c r="B72" s="952"/>
      <c r="C72" s="952"/>
      <c r="D72" s="952"/>
      <c r="E72" s="952"/>
      <c r="F72" s="952"/>
      <c r="G72" s="952"/>
      <c r="H72" s="952"/>
      <c r="I72" s="952"/>
      <c r="J72" s="952"/>
    </row>
  </sheetData>
  <mergeCells count="15">
    <mergeCell ref="A65:J65"/>
    <mergeCell ref="A66:J66"/>
    <mergeCell ref="A64:D64"/>
    <mergeCell ref="F64:J64"/>
    <mergeCell ref="A1:J1"/>
    <mergeCell ref="A3:A6"/>
    <mergeCell ref="B3:D3"/>
    <mergeCell ref="G3:I3"/>
    <mergeCell ref="D4:D6"/>
    <mergeCell ref="A72:J72"/>
    <mergeCell ref="A67:J67"/>
    <mergeCell ref="A68:J68"/>
    <mergeCell ref="A69:J69"/>
    <mergeCell ref="A70:J70"/>
    <mergeCell ref="A71:J71"/>
  </mergeCells>
  <pageMargins left="0.70866141732283472" right="0.59055118110236227"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77A5"/>
  </sheetPr>
  <dimension ref="A1:AL65"/>
  <sheetViews>
    <sheetView showGridLines="0" view="pageBreakPreview" topLeftCell="C1" zoomScale="85" zoomScaleNormal="100" zoomScaleSheetLayoutView="85" zoomScalePageLayoutView="130" workbookViewId="0">
      <selection activeCell="D7" sqref="D7:E27"/>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31" customWidth="1"/>
    <col min="12" max="31" width="9.33203125" style="331"/>
    <col min="32" max="16384" width="9.33203125" style="46"/>
  </cols>
  <sheetData>
    <row r="1" spans="1:38" ht="11.25" customHeight="1"/>
    <row r="2" spans="1:38" ht="17.25" customHeight="1">
      <c r="A2" s="944" t="s">
        <v>266</v>
      </c>
      <c r="B2" s="944"/>
      <c r="C2" s="944"/>
      <c r="D2" s="944"/>
      <c r="E2" s="944"/>
      <c r="F2" s="944"/>
      <c r="G2" s="944"/>
      <c r="H2" s="944"/>
    </row>
    <row r="3" spans="1:38" ht="11.25" customHeight="1">
      <c r="A3" s="77"/>
      <c r="B3" s="77"/>
      <c r="C3" s="77"/>
      <c r="D3" s="77"/>
      <c r="E3" s="77"/>
      <c r="F3" s="82"/>
      <c r="G3" s="82"/>
      <c r="H3" s="82"/>
      <c r="I3" s="36"/>
      <c r="J3" s="340"/>
    </row>
    <row r="4" spans="1:38" ht="15.75" customHeight="1">
      <c r="A4" s="962" t="s">
        <v>557</v>
      </c>
      <c r="B4" s="962"/>
      <c r="C4" s="962"/>
      <c r="D4" s="962"/>
      <c r="E4" s="962"/>
      <c r="F4" s="962"/>
      <c r="G4" s="962"/>
      <c r="H4" s="962"/>
      <c r="I4" s="36"/>
      <c r="J4" s="340"/>
    </row>
    <row r="5" spans="1:38" ht="11.25" customHeight="1">
      <c r="A5" s="77"/>
      <c r="B5" s="164"/>
      <c r="C5" s="79"/>
      <c r="D5" s="79"/>
      <c r="E5" s="80"/>
      <c r="F5" s="76"/>
      <c r="G5" s="76"/>
      <c r="H5" s="81"/>
      <c r="I5" s="165"/>
      <c r="J5" s="341"/>
    </row>
    <row r="6" spans="1:38" ht="42.75" customHeight="1">
      <c r="A6" s="77"/>
      <c r="C6" s="536" t="s">
        <v>126</v>
      </c>
      <c r="D6" s="537" t="s">
        <v>738</v>
      </c>
      <c r="E6" s="537" t="s">
        <v>739</v>
      </c>
      <c r="F6" s="538" t="s">
        <v>127</v>
      </c>
      <c r="G6" s="169"/>
      <c r="H6" s="170"/>
    </row>
    <row r="7" spans="1:38" ht="11.25" customHeight="1">
      <c r="A7" s="77"/>
      <c r="C7" s="608" t="s">
        <v>128</v>
      </c>
      <c r="D7" s="609">
        <v>23.697999954223601</v>
      </c>
      <c r="E7" s="610">
        <v>17.27</v>
      </c>
      <c r="F7" s="611">
        <f>IF(E7=0,"",(D7-E7)/E7)</f>
        <v>0.3722061351606023</v>
      </c>
      <c r="G7" s="137"/>
      <c r="H7" s="274"/>
    </row>
    <row r="8" spans="1:38" ht="11.25" customHeight="1">
      <c r="A8" s="77"/>
      <c r="C8" s="612" t="s">
        <v>129</v>
      </c>
      <c r="D8" s="613">
        <v>109.09999847412099</v>
      </c>
      <c r="E8" s="614">
        <v>108.45</v>
      </c>
      <c r="F8" s="615">
        <f t="shared" ref="F8:F20" si="0">IF(E8=0,"",(D8-E8)/E8)</f>
        <v>5.9935313427477311E-3</v>
      </c>
      <c r="G8" s="137"/>
      <c r="H8" s="274"/>
    </row>
    <row r="9" spans="1:38" ht="11.25" customHeight="1">
      <c r="A9" s="77"/>
      <c r="C9" s="616" t="s">
        <v>130</v>
      </c>
      <c r="D9" s="617">
        <v>79.392997741699205</v>
      </c>
      <c r="E9" s="618">
        <v>97.644000000000005</v>
      </c>
      <c r="F9" s="619">
        <f t="shared" si="0"/>
        <v>-0.18691370958073</v>
      </c>
      <c r="G9" s="137"/>
      <c r="H9" s="274"/>
      <c r="M9" s="342" t="s">
        <v>272</v>
      </c>
      <c r="N9" s="343"/>
      <c r="O9" s="343"/>
      <c r="P9" s="343"/>
      <c r="Q9" s="343"/>
      <c r="R9" s="343"/>
      <c r="S9" s="343"/>
      <c r="T9" s="343"/>
      <c r="U9" s="343"/>
      <c r="V9" s="343"/>
      <c r="W9" s="343"/>
      <c r="X9" s="343"/>
      <c r="Y9" s="343"/>
      <c r="Z9" s="343"/>
      <c r="AA9" s="343"/>
      <c r="AB9" s="343"/>
      <c r="AC9" s="343"/>
      <c r="AD9" s="343"/>
      <c r="AE9" s="343"/>
      <c r="AF9" s="217"/>
      <c r="AG9" s="217"/>
      <c r="AH9" s="217"/>
      <c r="AI9" s="217"/>
      <c r="AJ9" s="217"/>
      <c r="AK9" s="217"/>
      <c r="AL9" s="217"/>
    </row>
    <row r="10" spans="1:38" ht="11.25" customHeight="1">
      <c r="A10" s="77"/>
      <c r="C10" s="612" t="s">
        <v>131</v>
      </c>
      <c r="D10" s="613">
        <v>79.492996215820298</v>
      </c>
      <c r="E10" s="614">
        <v>71.995000000000005</v>
      </c>
      <c r="F10" s="615">
        <f t="shared" si="0"/>
        <v>0.10414606869671912</v>
      </c>
      <c r="G10" s="137"/>
      <c r="H10" s="274"/>
      <c r="M10" s="342" t="s">
        <v>273</v>
      </c>
      <c r="N10" s="343"/>
      <c r="O10" s="343"/>
      <c r="P10" s="343"/>
      <c r="Q10" s="343"/>
      <c r="R10" s="343"/>
      <c r="S10" s="343"/>
      <c r="T10" s="343"/>
      <c r="AD10" s="343"/>
      <c r="AE10" s="343"/>
      <c r="AF10" s="217"/>
      <c r="AG10" s="217"/>
      <c r="AH10" s="217"/>
      <c r="AI10" s="217"/>
      <c r="AJ10" s="217"/>
      <c r="AK10" s="217"/>
      <c r="AL10" s="217"/>
    </row>
    <row r="11" spans="1:38" ht="11.25" customHeight="1">
      <c r="A11" s="77"/>
      <c r="C11" s="616" t="s">
        <v>132</v>
      </c>
      <c r="D11" s="617">
        <v>24.377000808715799</v>
      </c>
      <c r="E11" s="618">
        <v>17.2</v>
      </c>
      <c r="F11" s="619">
        <f>IF(E11=0,"",(D11-E11)/E11)</f>
        <v>0.41726748887882559</v>
      </c>
      <c r="G11" s="137"/>
      <c r="H11" s="274"/>
      <c r="M11" s="343"/>
      <c r="N11" s="344">
        <v>2016</v>
      </c>
      <c r="O11" s="344">
        <v>2017</v>
      </c>
      <c r="P11" s="344">
        <v>2018</v>
      </c>
      <c r="Q11" s="344">
        <v>2019</v>
      </c>
      <c r="R11" s="343"/>
      <c r="S11" s="343"/>
      <c r="T11" s="343"/>
      <c r="AD11" s="343"/>
      <c r="AE11" s="343"/>
      <c r="AF11" s="217"/>
      <c r="AG11" s="217"/>
      <c r="AH11" s="217"/>
      <c r="AI11" s="217"/>
      <c r="AJ11" s="217"/>
      <c r="AK11" s="217"/>
      <c r="AL11" s="217"/>
    </row>
    <row r="12" spans="1:38" ht="11.25" customHeight="1">
      <c r="A12" s="77"/>
      <c r="C12" s="612" t="s">
        <v>133</v>
      </c>
      <c r="D12" s="613">
        <v>3.7880001068115199</v>
      </c>
      <c r="E12" s="614">
        <v>25.8</v>
      </c>
      <c r="F12" s="615">
        <f t="shared" si="0"/>
        <v>-0.853178290433662</v>
      </c>
      <c r="G12" s="137"/>
      <c r="H12" s="274"/>
      <c r="M12" s="345">
        <v>1</v>
      </c>
      <c r="N12" s="346">
        <v>138.54</v>
      </c>
      <c r="O12" s="346">
        <v>93.1</v>
      </c>
      <c r="P12" s="346">
        <v>104.46</v>
      </c>
      <c r="Q12" s="632">
        <v>117.2900009</v>
      </c>
      <c r="R12" s="343"/>
      <c r="S12" s="343"/>
      <c r="T12" s="343"/>
      <c r="AD12" s="343"/>
      <c r="AE12" s="343"/>
      <c r="AF12" s="217"/>
      <c r="AG12" s="217"/>
      <c r="AH12" s="217"/>
      <c r="AI12" s="217"/>
      <c r="AJ12" s="217"/>
      <c r="AK12" s="217"/>
      <c r="AL12" s="217"/>
    </row>
    <row r="13" spans="1:38" ht="11.25" customHeight="1">
      <c r="A13" s="77"/>
      <c r="C13" s="616" t="s">
        <v>134</v>
      </c>
      <c r="D13" s="617">
        <v>84.470001220703097</v>
      </c>
      <c r="E13" s="618">
        <v>84.18</v>
      </c>
      <c r="F13" s="619">
        <f t="shared" si="0"/>
        <v>3.4450133131752165E-3</v>
      </c>
      <c r="G13" s="137"/>
      <c r="H13" s="274"/>
      <c r="M13" s="345">
        <v>2</v>
      </c>
      <c r="N13" s="346">
        <v>140.53</v>
      </c>
      <c r="O13" s="346">
        <v>93.1</v>
      </c>
      <c r="P13" s="346">
        <v>103.4720001</v>
      </c>
      <c r="Q13" s="632">
        <v>116.0110016</v>
      </c>
      <c r="R13" s="343"/>
      <c r="S13" s="343"/>
      <c r="T13" s="343"/>
      <c r="AD13" s="343"/>
      <c r="AE13" s="343"/>
      <c r="AF13" s="217"/>
      <c r="AG13" s="217"/>
      <c r="AH13" s="217"/>
      <c r="AI13" s="217"/>
      <c r="AJ13" s="217"/>
      <c r="AK13" s="217"/>
      <c r="AL13" s="217"/>
    </row>
    <row r="14" spans="1:38" ht="11.25" customHeight="1">
      <c r="A14" s="77"/>
      <c r="C14" s="612" t="s">
        <v>135</v>
      </c>
      <c r="D14" s="613">
        <v>229.350006103515</v>
      </c>
      <c r="E14" s="614">
        <v>221.65</v>
      </c>
      <c r="F14" s="615">
        <f t="shared" si="0"/>
        <v>3.4739481631017345E-2</v>
      </c>
      <c r="G14" s="137"/>
      <c r="H14" s="274"/>
      <c r="M14" s="345">
        <v>3</v>
      </c>
      <c r="N14" s="346">
        <v>140.53</v>
      </c>
      <c r="O14" s="346">
        <v>98.74</v>
      </c>
      <c r="P14" s="346">
        <v>106.08699799999999</v>
      </c>
      <c r="Q14" s="632">
        <v>117.6</v>
      </c>
      <c r="R14" s="343"/>
      <c r="S14" s="343"/>
      <c r="T14" s="343"/>
      <c r="AD14" s="343"/>
      <c r="AE14" s="343"/>
      <c r="AF14" s="217"/>
      <c r="AG14" s="217"/>
      <c r="AH14" s="217"/>
      <c r="AI14" s="217"/>
      <c r="AJ14" s="217"/>
      <c r="AK14" s="217"/>
      <c r="AL14" s="217"/>
    </row>
    <row r="15" spans="1:38" ht="11.25" customHeight="1">
      <c r="A15" s="77"/>
      <c r="C15" s="616" t="s">
        <v>136</v>
      </c>
      <c r="D15" s="617">
        <v>42.990001678466797</v>
      </c>
      <c r="E15" s="618">
        <v>28.09</v>
      </c>
      <c r="F15" s="619">
        <f t="shared" si="0"/>
        <v>0.53043793800166594</v>
      </c>
      <c r="G15" s="137"/>
      <c r="H15" s="274"/>
      <c r="M15" s="345">
        <v>4</v>
      </c>
      <c r="N15" s="346">
        <v>137.43800000000002</v>
      </c>
      <c r="O15" s="346">
        <v>98.74</v>
      </c>
      <c r="P15" s="346">
        <v>112.7200012</v>
      </c>
      <c r="Q15" s="632">
        <v>128.32000729999999</v>
      </c>
      <c r="R15" s="343"/>
      <c r="S15" s="343"/>
      <c r="T15" s="343"/>
      <c r="AD15" s="343"/>
      <c r="AE15" s="343"/>
      <c r="AF15" s="217"/>
      <c r="AG15" s="217"/>
      <c r="AH15" s="217"/>
      <c r="AI15" s="217"/>
      <c r="AJ15" s="217"/>
      <c r="AK15" s="217"/>
      <c r="AL15" s="217"/>
    </row>
    <row r="16" spans="1:38" ht="11.25" customHeight="1">
      <c r="A16" s="77"/>
      <c r="C16" s="612" t="s">
        <v>137</v>
      </c>
      <c r="D16" s="613">
        <v>223.80499267578099</v>
      </c>
      <c r="E16" s="614">
        <v>222.21799999999999</v>
      </c>
      <c r="F16" s="615">
        <f t="shared" si="0"/>
        <v>7.1416027314664199E-3</v>
      </c>
      <c r="G16" s="137"/>
      <c r="H16" s="274"/>
      <c r="M16" s="345">
        <v>5</v>
      </c>
      <c r="N16" s="346">
        <v>137.43800000000002</v>
      </c>
      <c r="O16" s="346">
        <v>125.15</v>
      </c>
      <c r="P16" s="346">
        <v>122.3190002</v>
      </c>
      <c r="Q16" s="632">
        <v>139.2400055</v>
      </c>
      <c r="R16" s="343"/>
      <c r="S16" s="343"/>
      <c r="T16" s="343"/>
      <c r="AD16" s="343"/>
      <c r="AE16" s="343"/>
      <c r="AF16" s="217"/>
      <c r="AG16" s="217"/>
      <c r="AH16" s="217"/>
      <c r="AI16" s="217"/>
      <c r="AJ16" s="217"/>
      <c r="AK16" s="217"/>
      <c r="AL16" s="217"/>
    </row>
    <row r="17" spans="1:38" ht="11.25" customHeight="1">
      <c r="A17" s="77"/>
      <c r="C17" s="616" t="s">
        <v>138</v>
      </c>
      <c r="D17" s="617">
        <v>176.919998168945</v>
      </c>
      <c r="E17" s="618">
        <v>185.94</v>
      </c>
      <c r="F17" s="619">
        <f t="shared" si="0"/>
        <v>-4.851028197835322E-2</v>
      </c>
      <c r="G17" s="137"/>
      <c r="H17" s="274"/>
      <c r="M17" s="345">
        <v>6</v>
      </c>
      <c r="N17" s="346">
        <v>137.43800000000002</v>
      </c>
      <c r="O17" s="346">
        <v>125.15</v>
      </c>
      <c r="P17" s="346">
        <v>126.1559982</v>
      </c>
      <c r="Q17" s="632">
        <v>150.94</v>
      </c>
      <c r="R17" s="343"/>
      <c r="S17" s="343"/>
      <c r="T17" s="343"/>
      <c r="AD17" s="343"/>
      <c r="AE17" s="343"/>
      <c r="AF17" s="217"/>
      <c r="AG17" s="217"/>
      <c r="AH17" s="217"/>
      <c r="AI17" s="217"/>
      <c r="AJ17" s="217"/>
      <c r="AK17" s="217"/>
      <c r="AL17" s="217"/>
    </row>
    <row r="18" spans="1:38" ht="11.25" customHeight="1">
      <c r="A18" s="77"/>
      <c r="C18" s="612" t="s">
        <v>139</v>
      </c>
      <c r="D18" s="613">
        <v>16.211000442504801</v>
      </c>
      <c r="E18" s="614">
        <v>19.829999999999998</v>
      </c>
      <c r="F18" s="615">
        <f t="shared" si="0"/>
        <v>-0.18250123840116983</v>
      </c>
      <c r="G18" s="137"/>
      <c r="H18" s="274"/>
      <c r="M18" s="345">
        <v>7</v>
      </c>
      <c r="N18" s="346">
        <v>151.05499267578099</v>
      </c>
      <c r="O18" s="346">
        <v>142.99</v>
      </c>
      <c r="P18" s="346">
        <v>142.9900055</v>
      </c>
      <c r="Q18" s="632">
        <v>162.4909973</v>
      </c>
      <c r="R18" s="343"/>
      <c r="S18" s="343"/>
      <c r="T18" s="343"/>
      <c r="AD18" s="343"/>
      <c r="AE18" s="343"/>
      <c r="AF18" s="217"/>
      <c r="AG18" s="217"/>
      <c r="AH18" s="217"/>
      <c r="AI18" s="217"/>
      <c r="AJ18" s="217"/>
      <c r="AK18" s="217"/>
      <c r="AL18" s="217"/>
    </row>
    <row r="19" spans="1:38" ht="12.75" customHeight="1">
      <c r="A19" s="77"/>
      <c r="C19" s="616" t="s">
        <v>140</v>
      </c>
      <c r="D19" s="617">
        <v>39.3743896484375</v>
      </c>
      <c r="E19" s="618">
        <v>44.150440000000003</v>
      </c>
      <c r="F19" s="619">
        <f t="shared" si="0"/>
        <v>-0.10817673281540349</v>
      </c>
      <c r="G19" s="137"/>
      <c r="H19" s="274"/>
      <c r="M19" s="345">
        <v>8</v>
      </c>
      <c r="N19" s="346">
        <v>151.05499267578099</v>
      </c>
      <c r="O19" s="346">
        <v>142.99</v>
      </c>
      <c r="P19" s="346">
        <v>134.13600159999999</v>
      </c>
      <c r="Q19" s="632">
        <v>169.03700259999999</v>
      </c>
      <c r="R19" s="343"/>
      <c r="S19" s="343"/>
      <c r="T19" s="343"/>
      <c r="AD19" s="343"/>
      <c r="AE19" s="343"/>
      <c r="AF19" s="217"/>
      <c r="AG19" s="217"/>
      <c r="AH19" s="217"/>
      <c r="AI19" s="217"/>
      <c r="AJ19" s="217"/>
      <c r="AK19" s="217"/>
      <c r="AL19" s="217"/>
    </row>
    <row r="20" spans="1:38" ht="13.5" customHeight="1">
      <c r="A20" s="77"/>
      <c r="C20" s="612" t="s">
        <v>141</v>
      </c>
      <c r="D20" s="613">
        <v>20.701580047607401</v>
      </c>
      <c r="E20" s="614">
        <v>21.749310000000001</v>
      </c>
      <c r="F20" s="615">
        <f t="shared" si="0"/>
        <v>-4.8173020311568532E-2</v>
      </c>
      <c r="G20" s="137"/>
      <c r="H20" s="274"/>
      <c r="M20" s="345">
        <v>9</v>
      </c>
      <c r="N20" s="346">
        <v>165.00500489999999</v>
      </c>
      <c r="O20" s="346">
        <v>159.53</v>
      </c>
      <c r="P20" s="346">
        <v>153.34500120000001</v>
      </c>
      <c r="Q20" s="632">
        <v>182.64300539999999</v>
      </c>
      <c r="R20" s="343"/>
      <c r="S20" s="343"/>
      <c r="T20" s="343"/>
      <c r="AD20" s="343"/>
      <c r="AE20" s="343"/>
      <c r="AF20" s="217"/>
      <c r="AG20" s="217"/>
      <c r="AH20" s="217"/>
      <c r="AI20" s="217"/>
      <c r="AJ20" s="217"/>
      <c r="AK20" s="217"/>
      <c r="AL20" s="217"/>
    </row>
    <row r="21" spans="1:38" ht="11.25" customHeight="1">
      <c r="A21" s="77"/>
      <c r="C21" s="616" t="s">
        <v>142</v>
      </c>
      <c r="D21" s="617">
        <v>6.6389999389648402</v>
      </c>
      <c r="E21" s="618">
        <v>3.8759999999999999</v>
      </c>
      <c r="F21" s="619">
        <f t="shared" ref="F21:F27" si="1">IF(E21=0,"",(D21-E21)/E21)</f>
        <v>0.71284828146667711</v>
      </c>
      <c r="M21" s="345">
        <v>10</v>
      </c>
      <c r="N21" s="346">
        <v>165.00500489999999</v>
      </c>
      <c r="O21" s="346">
        <v>159.53</v>
      </c>
      <c r="P21" s="346">
        <v>153.0590057</v>
      </c>
      <c r="Q21" s="632">
        <v>190.99600219999999</v>
      </c>
      <c r="R21" s="343"/>
      <c r="S21" s="343"/>
      <c r="T21" s="343"/>
      <c r="AD21" s="343"/>
      <c r="AE21" s="343"/>
      <c r="AF21" s="217"/>
      <c r="AG21" s="217"/>
      <c r="AH21" s="217"/>
      <c r="AI21" s="217"/>
      <c r="AJ21" s="217"/>
      <c r="AK21" s="217"/>
      <c r="AL21" s="217"/>
    </row>
    <row r="22" spans="1:38" ht="11.25" customHeight="1">
      <c r="A22" s="77"/>
      <c r="C22" s="612" t="s">
        <v>143</v>
      </c>
      <c r="D22" s="613">
        <v>5.8769998550415004</v>
      </c>
      <c r="E22" s="614">
        <v>5.4359999999999999</v>
      </c>
      <c r="F22" s="615">
        <f t="shared" si="1"/>
        <v>8.1125801148178883E-2</v>
      </c>
      <c r="G22" s="137"/>
      <c r="H22" s="274"/>
      <c r="M22" s="345">
        <v>11</v>
      </c>
      <c r="N22" s="346">
        <v>186.45199584960901</v>
      </c>
      <c r="O22" s="346">
        <v>184.94</v>
      </c>
      <c r="P22" s="346">
        <v>162.93200680000001</v>
      </c>
      <c r="Q22" s="388">
        <v>200.89500427246</v>
      </c>
      <c r="AF22" s="275"/>
      <c r="AG22" s="275"/>
      <c r="AH22" s="275"/>
      <c r="AI22" s="275"/>
      <c r="AJ22" s="275"/>
      <c r="AK22" s="275"/>
      <c r="AL22" s="275"/>
    </row>
    <row r="23" spans="1:38" ht="11.25" customHeight="1">
      <c r="A23" s="77"/>
      <c r="C23" s="616" t="s">
        <v>492</v>
      </c>
      <c r="D23" s="617">
        <v>0.43999999761581399</v>
      </c>
      <c r="E23" s="618">
        <v>0.129</v>
      </c>
      <c r="F23" s="619">
        <f t="shared" si="1"/>
        <v>2.4108526946962323</v>
      </c>
      <c r="G23" s="137"/>
      <c r="H23" s="274"/>
      <c r="M23" s="345">
        <v>12</v>
      </c>
      <c r="N23" s="346">
        <v>186.45199584960901</v>
      </c>
      <c r="O23" s="346">
        <v>184.94</v>
      </c>
      <c r="P23" s="346">
        <v>172.76199339999999</v>
      </c>
      <c r="Q23" s="388">
        <v>209.09500120000001</v>
      </c>
      <c r="AF23" s="275"/>
      <c r="AG23" s="275"/>
      <c r="AH23" s="275"/>
      <c r="AI23" s="275"/>
      <c r="AJ23" s="275"/>
      <c r="AK23" s="275"/>
      <c r="AL23" s="275"/>
    </row>
    <row r="24" spans="1:38" ht="11.25" customHeight="1">
      <c r="A24" s="77"/>
      <c r="C24" s="612" t="s">
        <v>144</v>
      </c>
      <c r="D24" s="614">
        <v>187.26</v>
      </c>
      <c r="E24" s="614">
        <v>190.53199999999998</v>
      </c>
      <c r="F24" s="615">
        <f t="shared" si="1"/>
        <v>-1.7172968320282114E-2</v>
      </c>
      <c r="G24" s="137"/>
      <c r="H24" s="274"/>
      <c r="M24" s="345">
        <v>13</v>
      </c>
      <c r="N24" s="346">
        <v>195.64999389648401</v>
      </c>
      <c r="O24" s="346">
        <v>203.73</v>
      </c>
      <c r="P24" s="346">
        <v>182.13900760000001</v>
      </c>
      <c r="Q24" s="388">
        <v>215.7310028</v>
      </c>
      <c r="AF24" s="275"/>
      <c r="AG24" s="275"/>
      <c r="AH24" s="275"/>
      <c r="AI24" s="275"/>
      <c r="AJ24" s="275"/>
      <c r="AK24" s="275"/>
      <c r="AL24" s="275"/>
    </row>
    <row r="25" spans="1:38" ht="11.25" customHeight="1">
      <c r="A25" s="77"/>
      <c r="C25" s="616" t="s">
        <v>145</v>
      </c>
      <c r="D25" s="618">
        <v>38.74</v>
      </c>
      <c r="E25" s="618">
        <v>40.25</v>
      </c>
      <c r="F25" s="619">
        <f t="shared" si="1"/>
        <v>-3.7515527950310511E-2</v>
      </c>
      <c r="G25" s="137"/>
      <c r="H25" s="274"/>
      <c r="M25" s="345">
        <v>14</v>
      </c>
      <c r="N25" s="346">
        <v>195.64999389648401</v>
      </c>
      <c r="O25" s="346">
        <v>203.73</v>
      </c>
      <c r="P25" s="346">
        <v>191.4750061</v>
      </c>
      <c r="Q25" s="388">
        <v>219.1710052</v>
      </c>
      <c r="AF25" s="275"/>
      <c r="AG25" s="275"/>
      <c r="AH25" s="275"/>
      <c r="AI25" s="275"/>
      <c r="AJ25" s="275"/>
      <c r="AK25" s="275"/>
      <c r="AL25" s="275"/>
    </row>
    <row r="26" spans="1:38" ht="11.25" customHeight="1">
      <c r="A26" s="77"/>
      <c r="C26" s="612" t="s">
        <v>146</v>
      </c>
      <c r="D26" s="614">
        <v>63.831000000000003</v>
      </c>
      <c r="E26" s="614">
        <v>45.917999999999999</v>
      </c>
      <c r="F26" s="615">
        <f t="shared" si="1"/>
        <v>0.39010845420096701</v>
      </c>
      <c r="G26" s="137"/>
      <c r="H26" s="137"/>
      <c r="M26" s="345">
        <v>15</v>
      </c>
      <c r="N26" s="346">
        <v>201.93600463867099</v>
      </c>
      <c r="O26" s="346">
        <v>203.73</v>
      </c>
      <c r="P26" s="346">
        <v>198.43899540000001</v>
      </c>
      <c r="Q26" s="388">
        <v>220.17399599999999</v>
      </c>
      <c r="AF26" s="275"/>
      <c r="AG26" s="275"/>
      <c r="AH26" s="275"/>
      <c r="AI26" s="275"/>
      <c r="AJ26" s="275"/>
      <c r="AK26" s="275"/>
      <c r="AL26" s="275"/>
    </row>
    <row r="27" spans="1:38" ht="11.25" customHeight="1">
      <c r="A27" s="77"/>
      <c r="C27" s="616" t="s">
        <v>147</v>
      </c>
      <c r="D27" s="617">
        <v>349.73400878906199</v>
      </c>
      <c r="E27" s="618">
        <v>365.24299999999999</v>
      </c>
      <c r="F27" s="619">
        <f t="shared" si="1"/>
        <v>-4.2462117579085724E-2</v>
      </c>
      <c r="G27" s="137"/>
      <c r="H27" s="137"/>
      <c r="M27" s="345">
        <v>16</v>
      </c>
      <c r="N27" s="346">
        <v>201.93600463867099</v>
      </c>
      <c r="O27" s="346">
        <v>222.8</v>
      </c>
      <c r="P27" s="346">
        <v>201.52999879999999</v>
      </c>
      <c r="Q27" s="388">
        <v>220.3150024</v>
      </c>
      <c r="AF27" s="275"/>
      <c r="AG27" s="275"/>
      <c r="AH27" s="275"/>
      <c r="AI27" s="275"/>
      <c r="AJ27" s="275"/>
      <c r="AK27" s="275"/>
      <c r="AL27" s="275"/>
    </row>
    <row r="28" spans="1:38" ht="26.25" customHeight="1">
      <c r="A28" s="77"/>
      <c r="C28" s="963" t="str">
        <f>"Cuadro N°9: Volumen útil de los principales embalses y lagunas del SEIN al término del periodo mensual ("&amp;'1. Resumen'!Q7&amp;" de "&amp;'1. Resumen'!Q4&amp;") "</f>
        <v xml:space="preserve">Cuadro N°9: Volumen útil de los principales embalses y lagunas del SEIN al término del periodo mensual (31 de julio) </v>
      </c>
      <c r="D28" s="963"/>
      <c r="E28" s="963"/>
      <c r="F28" s="963"/>
      <c r="G28" s="137"/>
      <c r="H28" s="137"/>
      <c r="M28" s="345">
        <v>17</v>
      </c>
      <c r="N28" s="346">
        <v>201.93600463867099</v>
      </c>
      <c r="O28" s="346">
        <v>222.8</v>
      </c>
      <c r="P28" s="346">
        <v>206.03700259999999</v>
      </c>
      <c r="Q28" s="388">
        <v>220.56</v>
      </c>
      <c r="AF28" s="275"/>
      <c r="AG28" s="275"/>
      <c r="AH28" s="275"/>
      <c r="AI28" s="275"/>
      <c r="AJ28" s="275"/>
      <c r="AK28" s="275"/>
      <c r="AL28" s="275"/>
    </row>
    <row r="29" spans="1:38" ht="12" customHeight="1">
      <c r="A29" s="75"/>
      <c r="G29" s="137"/>
      <c r="H29" s="137"/>
      <c r="I29" s="167"/>
      <c r="J29" s="347"/>
      <c r="M29" s="345">
        <v>18</v>
      </c>
      <c r="N29" s="346">
        <v>207.58900451660099</v>
      </c>
      <c r="O29" s="346">
        <v>225.58</v>
      </c>
      <c r="P29" s="346">
        <v>213.67399599999999</v>
      </c>
      <c r="Q29" s="853">
        <v>224.15199279999999</v>
      </c>
      <c r="AF29" s="275"/>
      <c r="AG29" s="275"/>
      <c r="AH29" s="275"/>
      <c r="AI29" s="275"/>
      <c r="AJ29" s="275"/>
      <c r="AK29" s="275"/>
      <c r="AL29" s="275"/>
    </row>
    <row r="30" spans="1:38" ht="11.25" customHeight="1">
      <c r="A30" s="75"/>
      <c r="B30" s="173"/>
      <c r="C30" s="173"/>
      <c r="D30" s="173"/>
      <c r="E30" s="173"/>
      <c r="F30" s="171"/>
      <c r="G30" s="137"/>
      <c r="H30" s="137"/>
      <c r="M30" s="345">
        <v>19</v>
      </c>
      <c r="N30" s="346">
        <v>207.58900451660099</v>
      </c>
      <c r="O30" s="346">
        <v>225.58</v>
      </c>
      <c r="P30" s="346">
        <v>216.75700380000001</v>
      </c>
      <c r="Q30" s="853">
        <v>224.378006</v>
      </c>
      <c r="AF30" s="275"/>
      <c r="AG30" s="275"/>
      <c r="AH30" s="275"/>
      <c r="AI30" s="275"/>
      <c r="AJ30" s="275"/>
      <c r="AK30" s="275"/>
      <c r="AL30" s="275"/>
    </row>
    <row r="31" spans="1:38" ht="11.25" customHeight="1">
      <c r="A31" s="75"/>
      <c r="B31" s="173"/>
      <c r="C31" s="173"/>
      <c r="D31" s="173"/>
      <c r="E31" s="173"/>
      <c r="F31" s="171"/>
      <c r="G31" s="171"/>
      <c r="H31" s="171"/>
      <c r="I31" s="167"/>
      <c r="J31" s="347"/>
      <c r="M31" s="345">
        <v>20</v>
      </c>
      <c r="N31" s="346">
        <v>205.7</v>
      </c>
      <c r="O31" s="346">
        <v>226.61</v>
      </c>
      <c r="P31" s="346">
        <v>217.29400630000001</v>
      </c>
      <c r="Q31" s="853">
        <v>224.60401920000001</v>
      </c>
      <c r="AF31" s="275"/>
      <c r="AG31" s="275"/>
      <c r="AH31" s="275"/>
      <c r="AI31" s="275"/>
      <c r="AJ31" s="275"/>
      <c r="AK31" s="275"/>
      <c r="AL31" s="275"/>
    </row>
    <row r="32" spans="1:38" ht="13.5" customHeight="1">
      <c r="A32" s="962" t="s">
        <v>556</v>
      </c>
      <c r="B32" s="962"/>
      <c r="C32" s="962"/>
      <c r="D32" s="962"/>
      <c r="E32" s="962"/>
      <c r="F32" s="962"/>
      <c r="G32" s="962"/>
      <c r="H32" s="962"/>
      <c r="I32" s="56"/>
      <c r="J32" s="347"/>
      <c r="M32" s="345">
        <v>21</v>
      </c>
      <c r="N32" s="346">
        <v>205.7</v>
      </c>
      <c r="O32" s="346">
        <v>226.61</v>
      </c>
      <c r="P32" s="346">
        <v>218.3190002</v>
      </c>
      <c r="Q32" s="853">
        <v>223.4909973</v>
      </c>
      <c r="AF32" s="275"/>
      <c r="AG32" s="275"/>
      <c r="AH32" s="275"/>
      <c r="AI32" s="275"/>
      <c r="AJ32" s="275"/>
      <c r="AK32" s="275"/>
      <c r="AL32" s="275"/>
    </row>
    <row r="33" spans="1:38" ht="11.25" customHeight="1">
      <c r="A33" s="75"/>
      <c r="B33" s="82"/>
      <c r="C33" s="82"/>
      <c r="D33" s="82"/>
      <c r="E33" s="82"/>
      <c r="F33" s="82"/>
      <c r="G33" s="82"/>
      <c r="H33" s="82"/>
      <c r="I33" s="56"/>
      <c r="J33" s="347"/>
      <c r="M33" s="345">
        <v>22</v>
      </c>
      <c r="N33" s="346">
        <v>204.65</v>
      </c>
      <c r="O33" s="346">
        <v>227.42</v>
      </c>
      <c r="P33" s="346">
        <v>218.79899599999999</v>
      </c>
      <c r="Q33" s="853">
        <v>222.62600710000001</v>
      </c>
      <c r="AF33" s="275"/>
      <c r="AG33" s="275"/>
      <c r="AH33" s="275"/>
      <c r="AI33" s="275"/>
      <c r="AJ33" s="275"/>
      <c r="AK33" s="275"/>
      <c r="AL33" s="275"/>
    </row>
    <row r="34" spans="1:38" ht="11.25" customHeight="1">
      <c r="A34" s="75"/>
      <c r="B34" s="82"/>
      <c r="C34" s="82"/>
      <c r="D34" s="82"/>
      <c r="E34" s="82"/>
      <c r="F34" s="82"/>
      <c r="G34" s="82"/>
      <c r="H34" s="82"/>
      <c r="I34" s="56"/>
      <c r="J34" s="347"/>
      <c r="M34" s="345">
        <v>23</v>
      </c>
      <c r="N34" s="346">
        <v>204.65</v>
      </c>
      <c r="O34" s="346">
        <v>227.42</v>
      </c>
      <c r="P34" s="346">
        <v>217.8880005</v>
      </c>
      <c r="Q34" s="853">
        <v>221.62399289999999</v>
      </c>
      <c r="AF34" s="275"/>
      <c r="AG34" s="275"/>
      <c r="AH34" s="275"/>
      <c r="AI34" s="275"/>
      <c r="AJ34" s="275"/>
      <c r="AK34" s="275"/>
      <c r="AL34" s="275"/>
    </row>
    <row r="35" spans="1:38" ht="11.25" customHeight="1">
      <c r="A35" s="75"/>
      <c r="B35" s="82"/>
      <c r="C35" s="82"/>
      <c r="D35" s="82"/>
      <c r="E35" s="82"/>
      <c r="F35" s="82"/>
      <c r="G35" s="82"/>
      <c r="H35" s="82"/>
      <c r="I35" s="168"/>
      <c r="J35" s="347"/>
      <c r="M35" s="345">
        <v>24</v>
      </c>
      <c r="N35" s="346">
        <v>200.38</v>
      </c>
      <c r="O35" s="346">
        <v>227.45</v>
      </c>
      <c r="P35" s="346">
        <v>216.04899599999999</v>
      </c>
      <c r="Q35" s="853">
        <v>218.3840027</v>
      </c>
      <c r="AF35" s="275"/>
      <c r="AG35" s="275"/>
      <c r="AH35" s="275"/>
      <c r="AI35" s="275"/>
      <c r="AJ35" s="275"/>
      <c r="AK35" s="275"/>
      <c r="AL35" s="275"/>
    </row>
    <row r="36" spans="1:38" ht="11.25" customHeight="1">
      <c r="A36" s="75"/>
      <c r="B36" s="82"/>
      <c r="C36" s="82"/>
      <c r="D36" s="82"/>
      <c r="E36" s="82"/>
      <c r="F36" s="82"/>
      <c r="G36" s="82"/>
      <c r="H36" s="82"/>
      <c r="I36" s="56"/>
      <c r="J36" s="347"/>
      <c r="M36" s="345">
        <v>25</v>
      </c>
      <c r="N36" s="346">
        <v>200.38</v>
      </c>
      <c r="O36" s="346">
        <v>227.45</v>
      </c>
      <c r="P36" s="346">
        <v>212.24600219999999</v>
      </c>
      <c r="Q36" s="853">
        <v>215.08099369999999</v>
      </c>
      <c r="AF36" s="275"/>
      <c r="AG36" s="275"/>
      <c r="AH36" s="275"/>
      <c r="AI36" s="275"/>
      <c r="AJ36" s="275"/>
      <c r="AK36" s="275"/>
      <c r="AL36" s="275"/>
    </row>
    <row r="37" spans="1:38" ht="11.25" customHeight="1">
      <c r="A37" s="75"/>
      <c r="B37" s="82"/>
      <c r="C37" s="82"/>
      <c r="D37" s="82"/>
      <c r="E37" s="82"/>
      <c r="F37" s="82"/>
      <c r="G37" s="82"/>
      <c r="H37" s="82"/>
      <c r="I37" s="56"/>
      <c r="J37" s="348"/>
      <c r="M37" s="345">
        <v>26</v>
      </c>
      <c r="N37" s="346">
        <v>193.55099487304599</v>
      </c>
      <c r="O37" s="346">
        <v>225.56</v>
      </c>
      <c r="P37" s="346">
        <v>210.22099299999999</v>
      </c>
      <c r="Q37" s="853">
        <v>210.41900630000001</v>
      </c>
      <c r="AF37" s="275"/>
      <c r="AG37" s="275"/>
      <c r="AH37" s="275"/>
      <c r="AI37" s="275"/>
      <c r="AJ37" s="275"/>
      <c r="AK37" s="275"/>
      <c r="AL37" s="275"/>
    </row>
    <row r="38" spans="1:38" ht="11.25" customHeight="1">
      <c r="A38" s="75"/>
      <c r="B38" s="82"/>
      <c r="C38" s="82"/>
      <c r="D38" s="82"/>
      <c r="E38" s="82"/>
      <c r="F38" s="82"/>
      <c r="G38" s="82"/>
      <c r="H38" s="82"/>
      <c r="I38" s="56"/>
      <c r="J38" s="348"/>
      <c r="M38" s="345">
        <v>27</v>
      </c>
      <c r="N38" s="346">
        <v>193.55099487304599</v>
      </c>
      <c r="O38" s="346">
        <v>225.56</v>
      </c>
      <c r="P38" s="346">
        <v>209.85200499999999</v>
      </c>
      <c r="Q38" s="853">
        <v>204.23</v>
      </c>
      <c r="AF38" s="275"/>
      <c r="AG38" s="275"/>
      <c r="AH38" s="275"/>
      <c r="AI38" s="275"/>
      <c r="AJ38" s="275"/>
      <c r="AK38" s="275"/>
      <c r="AL38" s="275"/>
    </row>
    <row r="39" spans="1:38" ht="11.25" customHeight="1">
      <c r="A39" s="75"/>
      <c r="B39" s="82"/>
      <c r="C39" s="82"/>
      <c r="D39" s="82"/>
      <c r="E39" s="82"/>
      <c r="F39" s="82"/>
      <c r="G39" s="82"/>
      <c r="H39" s="82"/>
      <c r="I39" s="56"/>
      <c r="J39" s="349"/>
      <c r="M39" s="345">
        <v>28</v>
      </c>
      <c r="N39" s="346">
        <v>186.01199339999999</v>
      </c>
      <c r="O39" s="350">
        <v>225.56</v>
      </c>
      <c r="P39" s="350">
        <v>203.92900090000001</v>
      </c>
      <c r="Q39" s="853">
        <v>201.1309967</v>
      </c>
      <c r="AF39" s="275"/>
      <c r="AG39" s="275"/>
      <c r="AH39" s="275"/>
      <c r="AI39" s="275"/>
      <c r="AJ39" s="275"/>
      <c r="AK39" s="275"/>
      <c r="AL39" s="275"/>
    </row>
    <row r="40" spans="1:38" ht="11.25" customHeight="1">
      <c r="A40" s="75"/>
      <c r="B40" s="82"/>
      <c r="C40" s="82"/>
      <c r="D40" s="82"/>
      <c r="E40" s="82"/>
      <c r="F40" s="82"/>
      <c r="G40" s="82"/>
      <c r="H40" s="82"/>
      <c r="I40" s="56"/>
      <c r="J40" s="349"/>
      <c r="M40" s="345">
        <v>29</v>
      </c>
      <c r="N40" s="346">
        <v>186.01199339999999</v>
      </c>
      <c r="O40" s="346">
        <v>222.04</v>
      </c>
      <c r="P40" s="346">
        <v>200.56300350000001</v>
      </c>
      <c r="Q40" s="853">
        <v>196.16000366210901</v>
      </c>
      <c r="AF40" s="275"/>
      <c r="AG40" s="275"/>
      <c r="AH40" s="275"/>
      <c r="AI40" s="275"/>
      <c r="AJ40" s="275"/>
      <c r="AK40" s="275"/>
      <c r="AL40" s="275"/>
    </row>
    <row r="41" spans="1:38" ht="11.25" customHeight="1">
      <c r="A41" s="75"/>
      <c r="B41" s="82"/>
      <c r="C41" s="82"/>
      <c r="D41" s="82"/>
      <c r="E41" s="82"/>
      <c r="F41" s="82"/>
      <c r="G41" s="82"/>
      <c r="H41" s="82"/>
      <c r="I41" s="56"/>
      <c r="J41" s="349"/>
      <c r="M41" s="345">
        <v>30</v>
      </c>
      <c r="N41" s="346">
        <v>186.01199339999999</v>
      </c>
      <c r="O41" s="346">
        <v>222.04</v>
      </c>
      <c r="P41" s="346">
        <v>194.94900509999999</v>
      </c>
      <c r="Q41" s="853">
        <v>193.86</v>
      </c>
      <c r="AF41" s="275"/>
      <c r="AG41" s="275"/>
      <c r="AH41" s="275"/>
      <c r="AI41" s="275"/>
      <c r="AJ41" s="275"/>
      <c r="AK41" s="275"/>
      <c r="AL41" s="275"/>
    </row>
    <row r="42" spans="1:38" ht="11.25" customHeight="1">
      <c r="A42" s="75"/>
      <c r="B42" s="82"/>
      <c r="C42" s="82"/>
      <c r="D42" s="82"/>
      <c r="E42" s="82"/>
      <c r="F42" s="82"/>
      <c r="G42" s="82"/>
      <c r="H42" s="82"/>
      <c r="I42" s="168"/>
      <c r="J42" s="348"/>
      <c r="M42" s="345">
        <v>31</v>
      </c>
      <c r="N42" s="346">
        <v>178.58200070000001</v>
      </c>
      <c r="O42" s="346">
        <v>213.13</v>
      </c>
      <c r="P42" s="346">
        <v>188.386</v>
      </c>
      <c r="Q42" s="853">
        <v>186.24800110000001</v>
      </c>
      <c r="AF42" s="275"/>
      <c r="AG42" s="275"/>
      <c r="AH42" s="275"/>
      <c r="AI42" s="275"/>
      <c r="AJ42" s="275"/>
      <c r="AK42" s="275"/>
      <c r="AL42" s="275"/>
    </row>
    <row r="43" spans="1:38" ht="11.25" customHeight="1">
      <c r="A43" s="75"/>
      <c r="B43" s="82"/>
      <c r="C43" s="82"/>
      <c r="D43" s="82"/>
      <c r="E43" s="82"/>
      <c r="F43" s="82"/>
      <c r="G43" s="82"/>
      <c r="H43" s="82"/>
      <c r="I43" s="56"/>
      <c r="J43" s="348"/>
      <c r="M43" s="345">
        <v>32</v>
      </c>
      <c r="N43" s="346">
        <v>178.58200070000001</v>
      </c>
      <c r="O43" s="346">
        <v>213.13</v>
      </c>
      <c r="P43" s="346">
        <v>184.72900390000001</v>
      </c>
      <c r="AF43" s="275"/>
      <c r="AG43" s="275"/>
      <c r="AH43" s="275"/>
      <c r="AI43" s="275"/>
      <c r="AJ43" s="275"/>
      <c r="AK43" s="275"/>
      <c r="AL43" s="275"/>
    </row>
    <row r="44" spans="1:38" ht="11.25" customHeight="1">
      <c r="A44" s="75"/>
      <c r="B44" s="82"/>
      <c r="C44" s="82"/>
      <c r="D44" s="82"/>
      <c r="E44" s="82"/>
      <c r="F44" s="82"/>
      <c r="G44" s="82"/>
      <c r="H44" s="82"/>
      <c r="I44" s="56"/>
      <c r="J44" s="348"/>
      <c r="M44" s="345">
        <v>33</v>
      </c>
      <c r="N44" s="346">
        <v>169.01100159999999</v>
      </c>
      <c r="O44" s="346">
        <v>205.97</v>
      </c>
      <c r="P44" s="346">
        <v>178.8809967</v>
      </c>
      <c r="AF44" s="275"/>
      <c r="AG44" s="275"/>
      <c r="AH44" s="275"/>
      <c r="AI44" s="275"/>
      <c r="AJ44" s="275"/>
      <c r="AK44" s="275"/>
      <c r="AL44" s="275"/>
    </row>
    <row r="45" spans="1:38" ht="11.25" customHeight="1">
      <c r="A45" s="75"/>
      <c r="B45" s="82"/>
      <c r="C45" s="82"/>
      <c r="D45" s="82"/>
      <c r="E45" s="82"/>
      <c r="F45" s="82"/>
      <c r="G45" s="82"/>
      <c r="H45" s="82"/>
      <c r="I45" s="59"/>
      <c r="J45" s="351"/>
      <c r="M45" s="345">
        <v>34</v>
      </c>
      <c r="N45" s="346">
        <v>169.01100159999999</v>
      </c>
      <c r="O45" s="346">
        <v>199.49</v>
      </c>
      <c r="P45" s="346">
        <v>176.98599239999999</v>
      </c>
      <c r="AF45" s="275"/>
      <c r="AG45" s="275"/>
      <c r="AH45" s="275"/>
      <c r="AI45" s="275"/>
      <c r="AJ45" s="275"/>
      <c r="AK45" s="275"/>
      <c r="AL45" s="275"/>
    </row>
    <row r="46" spans="1:38" ht="11.25" customHeight="1">
      <c r="A46" s="75"/>
      <c r="B46" s="82"/>
      <c r="C46" s="82"/>
      <c r="D46" s="82"/>
      <c r="E46" s="82"/>
      <c r="F46" s="82"/>
      <c r="G46" s="82"/>
      <c r="H46" s="82"/>
      <c r="I46" s="59"/>
      <c r="J46" s="351"/>
      <c r="M46" s="345">
        <v>35</v>
      </c>
      <c r="N46" s="352">
        <v>158.09199523925699</v>
      </c>
      <c r="O46" s="346">
        <v>193.4</v>
      </c>
      <c r="P46" s="346">
        <v>173.36999510000001</v>
      </c>
      <c r="AF46" s="275"/>
      <c r="AG46" s="275"/>
      <c r="AH46" s="275"/>
      <c r="AI46" s="275"/>
      <c r="AJ46" s="275"/>
      <c r="AK46" s="275"/>
      <c r="AL46" s="275"/>
    </row>
    <row r="47" spans="1:38" ht="11.25" customHeight="1">
      <c r="A47" s="75"/>
      <c r="B47" s="82"/>
      <c r="C47" s="82"/>
      <c r="D47" s="82"/>
      <c r="E47" s="82"/>
      <c r="F47" s="82"/>
      <c r="G47" s="82"/>
      <c r="H47" s="82"/>
      <c r="I47" s="59"/>
      <c r="J47" s="351"/>
      <c r="M47" s="345">
        <v>36</v>
      </c>
      <c r="N47" s="352">
        <v>158.09199523925699</v>
      </c>
      <c r="O47" s="346">
        <v>187.93</v>
      </c>
      <c r="P47" s="346">
        <v>167.63</v>
      </c>
      <c r="AF47" s="275"/>
      <c r="AG47" s="275"/>
      <c r="AH47" s="275"/>
      <c r="AI47" s="275"/>
      <c r="AJ47" s="275"/>
      <c r="AK47" s="275"/>
      <c r="AL47" s="275"/>
    </row>
    <row r="48" spans="1:38" ht="11.25" customHeight="1">
      <c r="A48" s="75"/>
      <c r="B48" s="82"/>
      <c r="C48" s="82"/>
      <c r="D48" s="82"/>
      <c r="E48" s="82"/>
      <c r="F48" s="82"/>
      <c r="G48" s="82"/>
      <c r="H48" s="82"/>
      <c r="I48" s="59"/>
      <c r="J48" s="351"/>
      <c r="M48" s="345">
        <v>37</v>
      </c>
      <c r="N48" s="346">
        <v>147.0650024</v>
      </c>
      <c r="O48" s="346">
        <v>182.85</v>
      </c>
      <c r="P48" s="346">
        <v>162.30700680000001</v>
      </c>
      <c r="AF48" s="275"/>
      <c r="AG48" s="275"/>
      <c r="AH48" s="275"/>
      <c r="AI48" s="275"/>
      <c r="AJ48" s="275"/>
      <c r="AK48" s="275"/>
      <c r="AL48" s="275"/>
    </row>
    <row r="49" spans="1:38" ht="11.25" customHeight="1">
      <c r="A49" s="75"/>
      <c r="B49" s="82"/>
      <c r="C49" s="82"/>
      <c r="D49" s="82"/>
      <c r="E49" s="82"/>
      <c r="F49" s="82"/>
      <c r="G49" s="82"/>
      <c r="H49" s="82"/>
      <c r="I49" s="59"/>
      <c r="J49" s="351"/>
      <c r="M49" s="345">
        <v>38</v>
      </c>
      <c r="N49" s="346">
        <v>147.0650024</v>
      </c>
      <c r="O49" s="346">
        <v>179.77</v>
      </c>
      <c r="P49" s="346">
        <v>159.02699279999999</v>
      </c>
      <c r="AF49" s="275"/>
      <c r="AG49" s="275"/>
      <c r="AH49" s="275"/>
      <c r="AI49" s="275"/>
      <c r="AJ49" s="275"/>
      <c r="AK49" s="275"/>
      <c r="AL49" s="275"/>
    </row>
    <row r="50" spans="1:38" ht="12.75">
      <c r="A50" s="75"/>
      <c r="B50" s="82"/>
      <c r="C50" s="82"/>
      <c r="D50" s="82"/>
      <c r="E50" s="82"/>
      <c r="F50" s="82"/>
      <c r="G50" s="82"/>
      <c r="H50" s="82"/>
      <c r="I50" s="59"/>
      <c r="J50" s="351"/>
      <c r="M50" s="345">
        <v>39</v>
      </c>
      <c r="N50" s="346">
        <v>139.11000060000001</v>
      </c>
      <c r="O50" s="346">
        <v>173.62</v>
      </c>
      <c r="P50" s="346">
        <v>153.61700440000001</v>
      </c>
      <c r="AF50" s="275"/>
      <c r="AG50" s="275"/>
      <c r="AH50" s="275"/>
      <c r="AI50" s="275"/>
      <c r="AJ50" s="275"/>
      <c r="AK50" s="275"/>
      <c r="AL50" s="275"/>
    </row>
    <row r="51" spans="1:38" ht="10.5" customHeight="1">
      <c r="A51" s="75"/>
      <c r="B51" s="82"/>
      <c r="C51" s="82"/>
      <c r="D51" s="82"/>
      <c r="E51" s="82"/>
      <c r="F51" s="82"/>
      <c r="G51" s="82"/>
      <c r="H51" s="82"/>
      <c r="I51" s="59"/>
      <c r="J51" s="351"/>
      <c r="M51" s="345">
        <v>40</v>
      </c>
      <c r="N51" s="346">
        <v>139.11000060000001</v>
      </c>
      <c r="O51" s="346">
        <v>163</v>
      </c>
      <c r="P51" s="346">
        <v>151.72999569999999</v>
      </c>
      <c r="AF51" s="275"/>
      <c r="AG51" s="275"/>
      <c r="AH51" s="275"/>
      <c r="AI51" s="275"/>
      <c r="AJ51" s="275"/>
      <c r="AK51" s="275"/>
      <c r="AL51" s="275"/>
    </row>
    <row r="52" spans="1:38" ht="12.75">
      <c r="A52" s="75"/>
      <c r="B52" s="82"/>
      <c r="C52" s="82"/>
      <c r="D52" s="82"/>
      <c r="E52" s="82"/>
      <c r="F52" s="82"/>
      <c r="G52" s="82"/>
      <c r="H52" s="82"/>
      <c r="I52" s="59"/>
      <c r="J52" s="351"/>
      <c r="M52" s="345">
        <v>41</v>
      </c>
      <c r="N52" s="346">
        <v>139.11000060000001</v>
      </c>
      <c r="O52" s="346">
        <v>156.5</v>
      </c>
      <c r="P52" s="346">
        <v>147.996002197265</v>
      </c>
      <c r="AF52" s="275"/>
      <c r="AG52" s="275"/>
      <c r="AH52" s="275"/>
      <c r="AI52" s="275"/>
      <c r="AJ52" s="275"/>
      <c r="AK52" s="275"/>
      <c r="AL52" s="275"/>
    </row>
    <row r="53" spans="1:38" ht="12.75">
      <c r="A53" s="75"/>
      <c r="B53" s="82"/>
      <c r="C53" s="82"/>
      <c r="D53" s="82"/>
      <c r="E53" s="82"/>
      <c r="F53" s="82"/>
      <c r="G53" s="82"/>
      <c r="H53" s="82"/>
      <c r="I53" s="59"/>
      <c r="J53" s="351"/>
      <c r="M53" s="345">
        <v>42</v>
      </c>
      <c r="N53" s="346">
        <v>128.34500120000001</v>
      </c>
      <c r="O53" s="346">
        <v>152.78</v>
      </c>
      <c r="P53" s="346">
        <v>144.53999328613199</v>
      </c>
      <c r="AF53" s="275"/>
      <c r="AG53" s="275"/>
      <c r="AH53" s="275"/>
      <c r="AI53" s="275"/>
      <c r="AJ53" s="275"/>
      <c r="AK53" s="275"/>
      <c r="AL53" s="275"/>
    </row>
    <row r="54" spans="1:38" ht="12.75">
      <c r="A54" s="75"/>
      <c r="B54" s="82"/>
      <c r="C54" s="82"/>
      <c r="D54" s="82"/>
      <c r="E54" s="82"/>
      <c r="F54" s="82"/>
      <c r="G54" s="82"/>
      <c r="H54" s="82"/>
      <c r="I54" s="59"/>
      <c r="J54" s="351"/>
      <c r="M54" s="345">
        <v>43</v>
      </c>
      <c r="N54" s="346">
        <v>128.34500120000001</v>
      </c>
      <c r="O54" s="346">
        <v>148.63</v>
      </c>
      <c r="P54" s="346">
        <v>143.72300720214801</v>
      </c>
      <c r="AF54" s="275"/>
      <c r="AG54" s="275"/>
      <c r="AH54" s="275"/>
      <c r="AI54" s="275"/>
      <c r="AJ54" s="275"/>
      <c r="AK54" s="275"/>
      <c r="AL54" s="275"/>
    </row>
    <row r="55" spans="1:38" ht="12.75">
      <c r="A55" s="75"/>
      <c r="B55" s="82"/>
      <c r="C55" s="82"/>
      <c r="D55" s="82"/>
      <c r="E55" s="82"/>
      <c r="F55" s="82"/>
      <c r="G55" s="82"/>
      <c r="H55" s="82"/>
      <c r="I55" s="59"/>
      <c r="J55" s="351"/>
      <c r="M55" s="345">
        <v>44</v>
      </c>
      <c r="N55" s="346">
        <v>121.20099639999999</v>
      </c>
      <c r="O55" s="346">
        <v>142.91</v>
      </c>
      <c r="P55" s="346">
        <v>142.33900449999999</v>
      </c>
      <c r="AF55" s="275"/>
      <c r="AG55" s="275"/>
      <c r="AH55" s="275"/>
      <c r="AI55" s="275"/>
      <c r="AJ55" s="275"/>
      <c r="AK55" s="275"/>
      <c r="AL55" s="275"/>
    </row>
    <row r="56" spans="1:38" ht="12.75">
      <c r="A56" s="75"/>
      <c r="B56" s="82"/>
      <c r="C56" s="82"/>
      <c r="D56" s="82"/>
      <c r="E56" s="82"/>
      <c r="F56" s="82"/>
      <c r="G56" s="82"/>
      <c r="H56" s="82"/>
      <c r="I56" s="59"/>
      <c r="J56" s="351"/>
      <c r="M56" s="345">
        <v>45</v>
      </c>
      <c r="N56" s="346">
        <v>121.20099639999999</v>
      </c>
      <c r="O56" s="346">
        <v>137.04</v>
      </c>
      <c r="P56" s="346">
        <v>143.13200380000001</v>
      </c>
      <c r="AF56" s="275"/>
      <c r="AG56" s="275"/>
      <c r="AH56" s="275"/>
      <c r="AI56" s="275"/>
      <c r="AJ56" s="275"/>
      <c r="AK56" s="275"/>
      <c r="AL56" s="275"/>
    </row>
    <row r="57" spans="1:38" ht="12.75">
      <c r="A57" s="75"/>
      <c r="B57" s="82"/>
      <c r="C57" s="82"/>
      <c r="D57" s="82"/>
      <c r="E57" s="82"/>
      <c r="F57" s="82"/>
      <c r="G57" s="82"/>
      <c r="H57" s="82"/>
      <c r="M57" s="345">
        <v>46</v>
      </c>
      <c r="N57" s="346">
        <v>112.1429977</v>
      </c>
      <c r="O57" s="346">
        <v>131.22999999999999</v>
      </c>
      <c r="P57" s="346">
        <v>141.37</v>
      </c>
      <c r="AF57" s="275"/>
      <c r="AG57" s="275"/>
      <c r="AH57" s="275"/>
      <c r="AI57" s="275"/>
      <c r="AJ57" s="275"/>
      <c r="AK57" s="275"/>
      <c r="AL57" s="275"/>
    </row>
    <row r="58" spans="1:38" ht="12.75">
      <c r="A58" s="75"/>
      <c r="B58" s="82"/>
      <c r="C58" s="82"/>
      <c r="D58" s="82"/>
      <c r="E58" s="82"/>
      <c r="F58" s="82"/>
      <c r="G58" s="82"/>
      <c r="H58" s="82"/>
      <c r="M58" s="345">
        <v>47</v>
      </c>
      <c r="N58" s="346">
        <v>112.1429977</v>
      </c>
      <c r="O58" s="346">
        <v>125.5</v>
      </c>
      <c r="P58" s="346">
        <v>140.33900449999999</v>
      </c>
      <c r="AF58" s="275"/>
      <c r="AG58" s="275"/>
      <c r="AH58" s="275"/>
      <c r="AI58" s="275"/>
      <c r="AJ58" s="275"/>
      <c r="AK58" s="275"/>
      <c r="AL58" s="275"/>
    </row>
    <row r="59" spans="1:38" ht="12.75">
      <c r="A59" s="272" t="s">
        <v>512</v>
      </c>
      <c r="B59" s="82"/>
      <c r="C59" s="82"/>
      <c r="D59" s="82"/>
      <c r="E59" s="82"/>
      <c r="F59" s="82"/>
      <c r="G59" s="82"/>
      <c r="H59" s="82"/>
      <c r="M59" s="345">
        <v>48</v>
      </c>
      <c r="N59" s="346">
        <v>101.13500209999999</v>
      </c>
      <c r="O59" s="346">
        <v>120.41</v>
      </c>
      <c r="P59" s="346">
        <v>137.8150024</v>
      </c>
      <c r="AF59" s="275"/>
      <c r="AG59" s="275"/>
      <c r="AH59" s="275"/>
      <c r="AI59" s="275"/>
      <c r="AJ59" s="275"/>
      <c r="AK59" s="275"/>
      <c r="AL59" s="275"/>
    </row>
    <row r="60" spans="1:38" ht="12.75">
      <c r="A60" s="54"/>
      <c r="B60" s="82"/>
      <c r="C60" s="82"/>
      <c r="D60" s="82"/>
      <c r="E60" s="82"/>
      <c r="F60" s="82"/>
      <c r="G60" s="82"/>
      <c r="H60" s="82"/>
      <c r="M60" s="345">
        <v>49</v>
      </c>
      <c r="N60" s="346">
        <v>101.13500209999999</v>
      </c>
      <c r="O60" s="346">
        <v>115.91300200000001</v>
      </c>
      <c r="P60" s="346">
        <v>129.0279999</v>
      </c>
      <c r="AF60" s="275"/>
      <c r="AG60" s="275"/>
      <c r="AH60" s="275"/>
      <c r="AI60" s="275"/>
      <c r="AJ60" s="275"/>
      <c r="AK60" s="275"/>
      <c r="AL60" s="275"/>
    </row>
    <row r="61" spans="1:38">
      <c r="M61" s="345">
        <v>50</v>
      </c>
      <c r="N61" s="346">
        <v>96.752998349999999</v>
      </c>
      <c r="O61" s="346">
        <v>110.0599976</v>
      </c>
      <c r="P61" s="346">
        <v>129.30000000000001</v>
      </c>
      <c r="AD61" s="343"/>
      <c r="AE61" s="343"/>
      <c r="AF61" s="217"/>
      <c r="AG61" s="217"/>
      <c r="AH61" s="217"/>
      <c r="AI61" s="217"/>
      <c r="AJ61" s="217"/>
      <c r="AK61" s="217"/>
      <c r="AL61" s="217"/>
    </row>
    <row r="62" spans="1:38">
      <c r="M62" s="345">
        <v>51</v>
      </c>
      <c r="N62" s="346">
        <v>96.752998349999999</v>
      </c>
      <c r="O62" s="346">
        <v>107.5970001</v>
      </c>
      <c r="P62" s="346">
        <v>129</v>
      </c>
      <c r="AD62" s="343"/>
      <c r="AE62" s="343"/>
      <c r="AF62" s="217"/>
      <c r="AG62" s="217"/>
      <c r="AH62" s="217"/>
      <c r="AI62" s="217"/>
      <c r="AJ62" s="217"/>
      <c r="AK62" s="217"/>
      <c r="AL62" s="217"/>
    </row>
    <row r="63" spans="1:38">
      <c r="M63" s="345">
        <v>52</v>
      </c>
      <c r="N63" s="346">
        <v>96.752998349999999</v>
      </c>
      <c r="O63" s="346">
        <v>104.4029999</v>
      </c>
      <c r="P63" s="346">
        <v>130.4810028</v>
      </c>
      <c r="AD63" s="343"/>
      <c r="AE63" s="343"/>
      <c r="AF63" s="217"/>
      <c r="AG63" s="217"/>
      <c r="AH63" s="217"/>
      <c r="AI63" s="217"/>
      <c r="AJ63" s="217"/>
      <c r="AK63" s="217"/>
      <c r="AL63" s="217"/>
    </row>
    <row r="64" spans="1:38">
      <c r="M64" s="345">
        <v>53</v>
      </c>
      <c r="N64" s="346"/>
      <c r="O64" s="346"/>
      <c r="P64" s="353"/>
      <c r="AD64" s="343"/>
      <c r="AE64" s="343"/>
      <c r="AF64" s="217"/>
      <c r="AG64" s="217"/>
      <c r="AH64" s="217"/>
      <c r="AI64" s="217"/>
      <c r="AJ64" s="217"/>
      <c r="AK64" s="217"/>
      <c r="AL64" s="217"/>
    </row>
    <row r="65" spans="13:38">
      <c r="M65" s="343"/>
      <c r="N65" s="343"/>
      <c r="O65" s="343"/>
      <c r="P65" s="343"/>
      <c r="Q65" s="343"/>
      <c r="R65" s="343"/>
      <c r="S65" s="343"/>
      <c r="T65" s="343"/>
      <c r="AD65" s="343"/>
      <c r="AE65" s="343"/>
      <c r="AF65" s="217"/>
      <c r="AG65" s="217"/>
      <c r="AH65" s="217"/>
      <c r="AI65" s="217"/>
      <c r="AJ65" s="217"/>
      <c r="AK65" s="217"/>
      <c r="AL65" s="217"/>
    </row>
  </sheetData>
  <mergeCells count="4">
    <mergeCell ref="A2:H2"/>
    <mergeCell ref="A4:H4"/>
    <mergeCell ref="C28:F28"/>
    <mergeCell ref="A32:H32"/>
  </mergeCells>
  <pageMargins left="0.70866141732283472" right="0.7086614173228347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77A5"/>
  </sheetPr>
  <dimension ref="A1:AE63"/>
  <sheetViews>
    <sheetView showGridLines="0" view="pageBreakPreview" zoomScale="85" zoomScaleNormal="100" zoomScaleSheetLayoutView="85" zoomScalePageLayoutView="115" workbookViewId="0">
      <selection activeCell="R36" sqref="R36"/>
    </sheetView>
  </sheetViews>
  <sheetFormatPr defaultColWidth="9.33203125" defaultRowHeight="11.25"/>
  <cols>
    <col min="10" max="11" width="9.33203125" customWidth="1"/>
    <col min="14" max="28" width="9.33203125" style="456"/>
    <col min="29" max="31" width="9.33203125" style="446"/>
  </cols>
  <sheetData>
    <row r="1" spans="1:23" ht="11.25" customHeight="1"/>
    <row r="2" spans="1:23" ht="11.25" customHeight="1">
      <c r="A2" s="321"/>
      <c r="B2" s="328"/>
      <c r="C2" s="328"/>
      <c r="D2" s="328"/>
      <c r="E2" s="328"/>
      <c r="F2" s="328"/>
      <c r="G2" s="329"/>
      <c r="H2" s="329"/>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59" t="s">
        <v>274</v>
      </c>
      <c r="T4" s="460" t="s">
        <v>275</v>
      </c>
    </row>
    <row r="5" spans="1:23" ht="11.25" customHeight="1">
      <c r="A5" s="964"/>
      <c r="B5" s="964"/>
      <c r="C5" s="964"/>
      <c r="D5" s="964"/>
      <c r="E5" s="964"/>
      <c r="F5" s="964"/>
      <c r="G5" s="964"/>
      <c r="H5" s="964"/>
      <c r="I5" s="964"/>
      <c r="J5" s="12"/>
      <c r="K5" s="12"/>
      <c r="L5" s="8"/>
      <c r="O5" s="461">
        <v>2016</v>
      </c>
      <c r="P5" s="461">
        <v>2017</v>
      </c>
      <c r="Q5" s="461">
        <v>2018</v>
      </c>
      <c r="R5" s="461">
        <v>2019</v>
      </c>
      <c r="T5" s="461">
        <v>2016</v>
      </c>
      <c r="U5" s="461">
        <v>2017</v>
      </c>
      <c r="V5" s="461">
        <v>2018</v>
      </c>
      <c r="W5" s="461">
        <v>2019</v>
      </c>
    </row>
    <row r="6" spans="1:23" ht="11.25" customHeight="1">
      <c r="A6" s="17"/>
      <c r="B6" s="159"/>
      <c r="C6" s="68"/>
      <c r="D6" s="69"/>
      <c r="E6" s="69"/>
      <c r="F6" s="70"/>
      <c r="G6" s="66"/>
      <c r="H6" s="66"/>
      <c r="I6" s="71"/>
      <c r="J6" s="12"/>
      <c r="K6" s="12"/>
      <c r="L6" s="5"/>
      <c r="N6" s="462">
        <v>1</v>
      </c>
      <c r="O6" s="463">
        <v>119.86</v>
      </c>
      <c r="P6" s="463">
        <v>27.559000019999999</v>
      </c>
      <c r="Q6" s="464">
        <v>34.76</v>
      </c>
      <c r="R6" s="456">
        <v>71.125</v>
      </c>
      <c r="S6" s="462">
        <v>1</v>
      </c>
      <c r="T6" s="463">
        <v>150.22999999999999</v>
      </c>
      <c r="U6" s="463">
        <v>122.19600180599998</v>
      </c>
      <c r="V6" s="464">
        <v>210.20000000000002</v>
      </c>
      <c r="W6" s="456">
        <v>190.20000426299998</v>
      </c>
    </row>
    <row r="7" spans="1:23" ht="11.25" customHeight="1">
      <c r="A7" s="17"/>
      <c r="B7" s="965"/>
      <c r="C7" s="965"/>
      <c r="D7" s="160"/>
      <c r="E7" s="160"/>
      <c r="F7" s="70"/>
      <c r="G7" s="66"/>
      <c r="H7" s="66"/>
      <c r="I7" s="71"/>
      <c r="J7" s="3"/>
      <c r="K7" s="3"/>
      <c r="L7" s="15"/>
      <c r="N7" s="462">
        <v>2</v>
      </c>
      <c r="O7" s="463">
        <v>113.21</v>
      </c>
      <c r="P7" s="463">
        <v>36.5890007</v>
      </c>
      <c r="Q7" s="464">
        <v>47.749000549999998</v>
      </c>
      <c r="R7" s="456">
        <v>79.228996280000004</v>
      </c>
      <c r="S7" s="462">
        <v>2</v>
      </c>
      <c r="T7" s="463">
        <v>145.21</v>
      </c>
      <c r="U7" s="463">
        <v>136.535000822</v>
      </c>
      <c r="V7" s="464">
        <v>216.70300435500002</v>
      </c>
      <c r="W7" s="456">
        <v>185.80498987600001</v>
      </c>
    </row>
    <row r="8" spans="1:23" ht="11.25" customHeight="1">
      <c r="A8" s="17"/>
      <c r="B8" s="161"/>
      <c r="C8" s="39"/>
      <c r="D8" s="162"/>
      <c r="E8" s="162"/>
      <c r="F8" s="70"/>
      <c r="G8" s="66"/>
      <c r="H8" s="66"/>
      <c r="I8" s="71"/>
      <c r="J8" s="4"/>
      <c r="K8" s="4"/>
      <c r="L8" s="12"/>
      <c r="N8" s="462">
        <v>3</v>
      </c>
      <c r="O8" s="463">
        <v>117.64</v>
      </c>
      <c r="P8" s="463">
        <v>63.17599869</v>
      </c>
      <c r="Q8" s="464">
        <v>67.130996699999997</v>
      </c>
      <c r="R8" s="456">
        <v>106.65</v>
      </c>
      <c r="S8" s="462">
        <v>3</v>
      </c>
      <c r="T8" s="463">
        <v>143.88</v>
      </c>
      <c r="U8" s="463">
        <v>170.80799961000002</v>
      </c>
      <c r="V8" s="464">
        <v>232.83600043999999</v>
      </c>
      <c r="W8" s="456">
        <v>190.06000000000003</v>
      </c>
    </row>
    <row r="9" spans="1:23" ht="11.25" customHeight="1">
      <c r="A9" s="17"/>
      <c r="B9" s="161"/>
      <c r="C9" s="39"/>
      <c r="D9" s="162"/>
      <c r="E9" s="162"/>
      <c r="F9" s="70"/>
      <c r="G9" s="66"/>
      <c r="H9" s="66"/>
      <c r="I9" s="71"/>
      <c r="J9" s="3"/>
      <c r="K9" s="6"/>
      <c r="L9" s="15"/>
      <c r="N9" s="462">
        <v>4</v>
      </c>
      <c r="O9" s="463">
        <v>117.64</v>
      </c>
      <c r="P9" s="463">
        <v>113.2139969</v>
      </c>
      <c r="Q9" s="464">
        <v>93.789001459999994</v>
      </c>
      <c r="R9" s="456">
        <v>140.34500120000001</v>
      </c>
      <c r="S9" s="462">
        <v>4</v>
      </c>
      <c r="T9" s="463">
        <v>139.38200000000001</v>
      </c>
      <c r="U9" s="463">
        <v>186.385000214</v>
      </c>
      <c r="V9" s="464">
        <v>271.78000545999998</v>
      </c>
      <c r="W9" s="456">
        <v>198.06799936900001</v>
      </c>
    </row>
    <row r="10" spans="1:23" ht="11.25" customHeight="1">
      <c r="A10" s="17"/>
      <c r="B10" s="161"/>
      <c r="C10" s="39"/>
      <c r="D10" s="162"/>
      <c r="E10" s="162"/>
      <c r="F10" s="70"/>
      <c r="G10" s="66"/>
      <c r="H10" s="66"/>
      <c r="I10" s="71"/>
      <c r="J10" s="3"/>
      <c r="K10" s="3"/>
      <c r="L10" s="15"/>
      <c r="N10" s="462">
        <v>5</v>
      </c>
      <c r="O10" s="463">
        <v>133.43</v>
      </c>
      <c r="P10" s="463">
        <v>156.8220062</v>
      </c>
      <c r="Q10" s="464">
        <v>111.01599880000001</v>
      </c>
      <c r="R10" s="456">
        <v>186.18299870000001</v>
      </c>
      <c r="S10" s="462">
        <v>5</v>
      </c>
      <c r="T10" s="463">
        <v>135.79099490000002</v>
      </c>
      <c r="U10" s="463">
        <v>204.80799868699998</v>
      </c>
      <c r="V10" s="464">
        <v>269.07999802</v>
      </c>
      <c r="W10" s="456">
        <v>217.55805158600003</v>
      </c>
    </row>
    <row r="11" spans="1:23" ht="11.25" customHeight="1">
      <c r="A11" s="17"/>
      <c r="B11" s="162"/>
      <c r="C11" s="39"/>
      <c r="D11" s="162"/>
      <c r="E11" s="162"/>
      <c r="F11" s="70"/>
      <c r="G11" s="66"/>
      <c r="H11" s="66"/>
      <c r="I11" s="71"/>
      <c r="J11" s="3"/>
      <c r="K11" s="3"/>
      <c r="L11" s="15"/>
      <c r="N11" s="462">
        <v>6</v>
      </c>
      <c r="O11" s="463">
        <v>159.2149963</v>
      </c>
      <c r="P11" s="463">
        <v>168.8840027</v>
      </c>
      <c r="Q11" s="464">
        <v>126.6029968</v>
      </c>
      <c r="R11" s="456">
        <v>222.22</v>
      </c>
      <c r="S11" s="462">
        <v>6</v>
      </c>
      <c r="T11" s="463">
        <v>150.04800029899999</v>
      </c>
      <c r="U11" s="463">
        <v>201.82999366799999</v>
      </c>
      <c r="V11" s="464">
        <v>273.52000047000001</v>
      </c>
      <c r="W11" s="456">
        <v>279.10000000000002</v>
      </c>
    </row>
    <row r="12" spans="1:23" ht="11.25" customHeight="1">
      <c r="A12" s="17"/>
      <c r="B12" s="162"/>
      <c r="C12" s="39"/>
      <c r="D12" s="162"/>
      <c r="E12" s="162"/>
      <c r="F12" s="70"/>
      <c r="G12" s="66"/>
      <c r="H12" s="66"/>
      <c r="I12" s="71"/>
      <c r="J12" s="3"/>
      <c r="K12" s="3"/>
      <c r="L12" s="15"/>
      <c r="N12" s="462">
        <v>7</v>
      </c>
      <c r="O12" s="463">
        <v>186.18299870000001</v>
      </c>
      <c r="P12" s="463">
        <v>196.28300479999999</v>
      </c>
      <c r="Q12" s="464">
        <v>135.7250061</v>
      </c>
      <c r="R12" s="456">
        <v>277.02099609999999</v>
      </c>
      <c r="S12" s="462">
        <v>7</v>
      </c>
      <c r="T12" s="463">
        <v>174.31999966699999</v>
      </c>
      <c r="U12" s="463">
        <v>199.59600258</v>
      </c>
      <c r="V12" s="464">
        <v>302.63299941999998</v>
      </c>
      <c r="W12" s="456">
        <v>338.21854399</v>
      </c>
    </row>
    <row r="13" spans="1:23" ht="11.25" customHeight="1">
      <c r="A13" s="17"/>
      <c r="B13" s="162"/>
      <c r="C13" s="39"/>
      <c r="D13" s="162"/>
      <c r="E13" s="162"/>
      <c r="F13" s="70"/>
      <c r="G13" s="66"/>
      <c r="H13" s="66"/>
      <c r="I13" s="71"/>
      <c r="J13" s="4"/>
      <c r="K13" s="4"/>
      <c r="L13" s="12"/>
      <c r="N13" s="462">
        <v>8</v>
      </c>
      <c r="O13" s="463">
        <v>206.53900150000001</v>
      </c>
      <c r="P13" s="463">
        <v>230.18899540000001</v>
      </c>
      <c r="Q13" s="464">
        <v>159.2149963</v>
      </c>
      <c r="R13" s="456">
        <v>293.06698610000001</v>
      </c>
      <c r="S13" s="462">
        <v>8</v>
      </c>
      <c r="T13" s="463">
        <v>262.93500039999998</v>
      </c>
      <c r="U13" s="463">
        <v>214.34299659800001</v>
      </c>
      <c r="V13" s="464">
        <v>328.23703</v>
      </c>
      <c r="W13" s="456">
        <v>388.64800643000001</v>
      </c>
    </row>
    <row r="14" spans="1:23" ht="11.25" customHeight="1">
      <c r="A14" s="17"/>
      <c r="B14" s="162"/>
      <c r="C14" s="39"/>
      <c r="D14" s="162"/>
      <c r="E14" s="162"/>
      <c r="F14" s="70"/>
      <c r="G14" s="66"/>
      <c r="H14" s="66"/>
      <c r="I14" s="71"/>
      <c r="J14" s="3"/>
      <c r="K14" s="6"/>
      <c r="L14" s="15"/>
      <c r="N14" s="462">
        <v>9</v>
      </c>
      <c r="O14" s="463">
        <v>240.9539948</v>
      </c>
      <c r="P14" s="463">
        <v>249.13000489999999</v>
      </c>
      <c r="Q14" s="464">
        <v>186.18299870000001</v>
      </c>
      <c r="R14" s="456">
        <v>294.29501340000002</v>
      </c>
      <c r="S14" s="462">
        <v>9</v>
      </c>
      <c r="T14" s="463">
        <v>279.08800121000002</v>
      </c>
      <c r="U14" s="463">
        <v>250.89400288000002</v>
      </c>
      <c r="V14" s="464">
        <v>343.54049999999995</v>
      </c>
      <c r="W14" s="456">
        <v>377.13099283000003</v>
      </c>
    </row>
    <row r="15" spans="1:23" ht="11.25" customHeight="1">
      <c r="A15" s="17"/>
      <c r="B15" s="162"/>
      <c r="C15" s="39"/>
      <c r="D15" s="162"/>
      <c r="E15" s="162"/>
      <c r="F15" s="70"/>
      <c r="G15" s="66"/>
      <c r="H15" s="66"/>
      <c r="I15" s="71"/>
      <c r="J15" s="3"/>
      <c r="K15" s="6"/>
      <c r="L15" s="15"/>
      <c r="N15" s="462">
        <v>10</v>
      </c>
      <c r="O15" s="463">
        <v>279.86401369999999</v>
      </c>
      <c r="P15" s="463">
        <v>311.77999999999997</v>
      </c>
      <c r="Q15" s="464">
        <v>203.96099849999999</v>
      </c>
      <c r="R15" s="456">
        <v>291.91101070000002</v>
      </c>
      <c r="S15" s="462">
        <v>10</v>
      </c>
      <c r="T15" s="463">
        <v>283.79400062561007</v>
      </c>
      <c r="U15" s="463">
        <v>298.99899296000001</v>
      </c>
      <c r="V15" s="464">
        <v>371.29100467000001</v>
      </c>
      <c r="W15" s="456">
        <v>385.62499995999997</v>
      </c>
    </row>
    <row r="16" spans="1:23" ht="11.25" customHeight="1">
      <c r="A16" s="17"/>
      <c r="B16" s="162"/>
      <c r="C16" s="39"/>
      <c r="D16" s="162"/>
      <c r="E16" s="162"/>
      <c r="F16" s="70"/>
      <c r="G16" s="66"/>
      <c r="H16" s="66"/>
      <c r="I16" s="71"/>
      <c r="J16" s="3"/>
      <c r="K16" s="6"/>
      <c r="L16" s="15"/>
      <c r="N16" s="462">
        <v>11</v>
      </c>
      <c r="O16" s="463">
        <v>308.83</v>
      </c>
      <c r="P16" s="463">
        <v>332.70800000000003</v>
      </c>
      <c r="Q16" s="464">
        <v>230.18899540000001</v>
      </c>
      <c r="R16" s="465">
        <v>301.204986572265</v>
      </c>
      <c r="S16" s="462">
        <v>11</v>
      </c>
      <c r="T16" s="463">
        <v>286.24</v>
      </c>
      <c r="U16" s="463">
        <v>321.03300188000003</v>
      </c>
      <c r="V16" s="464">
        <v>390.38299555999998</v>
      </c>
      <c r="W16" s="456">
        <v>389.38100242614604</v>
      </c>
    </row>
    <row r="17" spans="1:23" ht="11.25" customHeight="1">
      <c r="A17" s="17"/>
      <c r="B17" s="162"/>
      <c r="C17" s="39"/>
      <c r="D17" s="162"/>
      <c r="E17" s="162"/>
      <c r="F17" s="70"/>
      <c r="G17" s="66"/>
      <c r="H17" s="66"/>
      <c r="I17" s="71"/>
      <c r="J17" s="3"/>
      <c r="K17" s="6"/>
      <c r="L17" s="15"/>
      <c r="N17" s="462">
        <v>12</v>
      </c>
      <c r="O17" s="463">
        <v>308.829986572265</v>
      </c>
      <c r="P17" s="463">
        <v>344.881012</v>
      </c>
      <c r="Q17" s="464">
        <v>282.71701050000001</v>
      </c>
      <c r="R17" s="465">
        <v>310.0090027</v>
      </c>
      <c r="S17" s="462">
        <v>12</v>
      </c>
      <c r="T17" s="463">
        <v>285.01299476623473</v>
      </c>
      <c r="U17" s="463">
        <v>332.34900279999999</v>
      </c>
      <c r="V17" s="464">
        <v>412.41217171999995</v>
      </c>
      <c r="W17" s="456">
        <v>386.27799791999996</v>
      </c>
    </row>
    <row r="18" spans="1:23" ht="11.25" customHeight="1">
      <c r="A18" s="17"/>
      <c r="B18" s="162"/>
      <c r="C18" s="39"/>
      <c r="D18" s="162"/>
      <c r="E18" s="162"/>
      <c r="F18" s="70"/>
      <c r="G18" s="66"/>
      <c r="H18" s="66"/>
      <c r="I18" s="71"/>
      <c r="J18" s="3"/>
      <c r="K18" s="6"/>
      <c r="L18" s="15"/>
      <c r="N18" s="462">
        <v>13</v>
      </c>
      <c r="O18" s="463">
        <v>308.829986572265</v>
      </c>
      <c r="P18" s="463">
        <v>338.77499390000003</v>
      </c>
      <c r="Q18" s="464">
        <v>329.68899540000001</v>
      </c>
      <c r="R18" s="465">
        <v>333.91799930000002</v>
      </c>
      <c r="S18" s="462">
        <v>13</v>
      </c>
      <c r="T18" s="463">
        <v>279.96900081634436</v>
      </c>
      <c r="U18" s="463">
        <v>366.02899361000004</v>
      </c>
      <c r="V18" s="464">
        <v>410.83199501000001</v>
      </c>
      <c r="W18" s="456">
        <v>388.98099517000003</v>
      </c>
    </row>
    <row r="19" spans="1:23" ht="11.25" customHeight="1">
      <c r="A19" s="17"/>
      <c r="B19" s="162"/>
      <c r="C19" s="39"/>
      <c r="D19" s="162"/>
      <c r="E19" s="162"/>
      <c r="F19" s="70"/>
      <c r="G19" s="66"/>
      <c r="H19" s="66"/>
      <c r="I19" s="71"/>
      <c r="J19" s="3"/>
      <c r="K19" s="6"/>
      <c r="L19" s="15"/>
      <c r="N19" s="462">
        <v>14</v>
      </c>
      <c r="O19" s="463">
        <v>302.95901489257801</v>
      </c>
      <c r="P19" s="463">
        <v>338.77999390000002</v>
      </c>
      <c r="Q19" s="464">
        <v>329.68899540000001</v>
      </c>
      <c r="R19" s="465">
        <v>335.73699950000002</v>
      </c>
      <c r="S19" s="462">
        <v>14</v>
      </c>
      <c r="T19" s="463">
        <v>286.54100227355917</v>
      </c>
      <c r="U19" s="463">
        <v>382.58400344</v>
      </c>
      <c r="V19" s="464">
        <v>403.70400233999999</v>
      </c>
      <c r="W19" s="456">
        <v>393.36499596000004</v>
      </c>
    </row>
    <row r="20" spans="1:23" ht="11.25" customHeight="1">
      <c r="A20" s="17"/>
      <c r="B20" s="162"/>
      <c r="C20" s="39"/>
      <c r="D20" s="162"/>
      <c r="E20" s="162"/>
      <c r="F20" s="70"/>
      <c r="G20" s="66"/>
      <c r="H20" s="66"/>
      <c r="I20" s="71"/>
      <c r="J20" s="3"/>
      <c r="K20" s="6"/>
      <c r="L20" s="15"/>
      <c r="N20" s="462">
        <v>15</v>
      </c>
      <c r="O20" s="463">
        <v>311.781005859375</v>
      </c>
      <c r="P20" s="463">
        <v>347.94900510000002</v>
      </c>
      <c r="Q20" s="464">
        <v>326.67999270000001</v>
      </c>
      <c r="R20" s="465">
        <v>335.73699950000002</v>
      </c>
      <c r="S20" s="462">
        <v>15</v>
      </c>
      <c r="T20" s="463">
        <v>288.78499984741165</v>
      </c>
      <c r="U20" s="463">
        <v>385.29699126999998</v>
      </c>
      <c r="V20" s="464">
        <v>399.27400204999998</v>
      </c>
      <c r="W20" s="456">
        <v>385.77799804</v>
      </c>
    </row>
    <row r="21" spans="1:23" ht="11.25" customHeight="1">
      <c r="A21" s="17"/>
      <c r="B21" s="162"/>
      <c r="C21" s="39"/>
      <c r="D21" s="162"/>
      <c r="E21" s="162"/>
      <c r="F21" s="70"/>
      <c r="G21" s="66"/>
      <c r="H21" s="66"/>
      <c r="I21" s="71"/>
      <c r="J21" s="3"/>
      <c r="K21" s="7"/>
      <c r="L21" s="16"/>
      <c r="N21" s="462">
        <v>16</v>
      </c>
      <c r="O21" s="463">
        <v>320.69100952148398</v>
      </c>
      <c r="P21" s="463">
        <v>354.11401369999999</v>
      </c>
      <c r="Q21" s="464">
        <v>314.7409973</v>
      </c>
      <c r="R21" s="465">
        <v>335.73699950000002</v>
      </c>
      <c r="S21" s="462">
        <v>16</v>
      </c>
      <c r="T21" s="463">
        <v>293.26400000000001</v>
      </c>
      <c r="U21" s="463">
        <v>384.95899003</v>
      </c>
      <c r="V21" s="464">
        <v>394.58499913000003</v>
      </c>
      <c r="W21" s="456">
        <v>385.72399323999997</v>
      </c>
    </row>
    <row r="22" spans="1:23" ht="11.25" customHeight="1">
      <c r="A22" s="77"/>
      <c r="B22" s="162"/>
      <c r="C22" s="39"/>
      <c r="D22" s="162"/>
      <c r="E22" s="162"/>
      <c r="F22" s="70"/>
      <c r="G22" s="66"/>
      <c r="H22" s="66"/>
      <c r="I22" s="71"/>
      <c r="J22" s="3"/>
      <c r="K22" s="6"/>
      <c r="L22" s="15"/>
      <c r="N22" s="462">
        <v>17</v>
      </c>
      <c r="O22" s="463">
        <v>326.67999267578102</v>
      </c>
      <c r="P22" s="463">
        <v>351.02700809999999</v>
      </c>
      <c r="Q22" s="464">
        <v>305.89001459999997</v>
      </c>
      <c r="R22" s="465">
        <v>335.73699950000002</v>
      </c>
      <c r="S22" s="462">
        <v>17</v>
      </c>
      <c r="T22" s="463">
        <v>292.87300071716299</v>
      </c>
      <c r="U22" s="463">
        <v>381.86699488000005</v>
      </c>
      <c r="V22" s="464">
        <v>392.29800030000007</v>
      </c>
      <c r="W22" s="456">
        <v>388.74200823000001</v>
      </c>
    </row>
    <row r="23" spans="1:23" ht="11.25" customHeight="1">
      <c r="A23" s="77"/>
      <c r="B23" s="162"/>
      <c r="C23" s="39"/>
      <c r="D23" s="162"/>
      <c r="E23" s="162"/>
      <c r="F23" s="70"/>
      <c r="G23" s="66"/>
      <c r="H23" s="66"/>
      <c r="I23" s="71"/>
      <c r="J23" s="3"/>
      <c r="K23" s="6"/>
      <c r="L23" s="15"/>
      <c r="N23" s="462">
        <v>18</v>
      </c>
      <c r="O23" s="463">
        <v>314.74099731445301</v>
      </c>
      <c r="P23" s="463">
        <v>354.11401369999999</v>
      </c>
      <c r="Q23" s="464">
        <v>314.7409973</v>
      </c>
      <c r="R23" s="465">
        <v>335.73699950000002</v>
      </c>
      <c r="S23" s="462">
        <v>18</v>
      </c>
      <c r="T23" s="463">
        <v>289.06400012969908</v>
      </c>
      <c r="U23" s="463">
        <v>382.77999115</v>
      </c>
      <c r="V23" s="464">
        <v>390.15600400999995</v>
      </c>
      <c r="W23" s="456">
        <v>386.49800113000003</v>
      </c>
    </row>
    <row r="24" spans="1:23" ht="11.25" customHeight="1">
      <c r="A24" s="77"/>
      <c r="B24" s="162"/>
      <c r="C24" s="39"/>
      <c r="D24" s="162"/>
      <c r="E24" s="162"/>
      <c r="F24" s="70"/>
      <c r="G24" s="66"/>
      <c r="H24" s="66"/>
      <c r="I24" s="71"/>
      <c r="J24" s="6"/>
      <c r="K24" s="6"/>
      <c r="L24" s="15"/>
      <c r="N24" s="462">
        <v>19</v>
      </c>
      <c r="O24" s="463">
        <v>308.829986572265</v>
      </c>
      <c r="P24" s="463">
        <v>363.43499759999997</v>
      </c>
      <c r="Q24" s="464">
        <v>314.7409973</v>
      </c>
      <c r="R24" s="465">
        <v>314.7409973</v>
      </c>
      <c r="S24" s="462">
        <v>19</v>
      </c>
      <c r="T24" s="463">
        <v>283.7310012817382</v>
      </c>
      <c r="U24" s="463">
        <v>381.91700169999996</v>
      </c>
      <c r="V24" s="464">
        <v>386.47099490999994</v>
      </c>
      <c r="W24" s="456">
        <v>384.38200000000001</v>
      </c>
    </row>
    <row r="25" spans="1:23" ht="11.25" customHeight="1">
      <c r="A25" s="273" t="s">
        <v>513</v>
      </c>
      <c r="B25" s="162"/>
      <c r="C25" s="39"/>
      <c r="D25" s="162"/>
      <c r="E25" s="162"/>
      <c r="F25" s="70"/>
      <c r="G25" s="66"/>
      <c r="H25" s="66"/>
      <c r="I25" s="71"/>
      <c r="J25" s="3"/>
      <c r="K25" s="7"/>
      <c r="L25" s="16"/>
      <c r="N25" s="854">
        <v>20</v>
      </c>
      <c r="O25" s="855">
        <v>308.8</v>
      </c>
      <c r="P25" s="855">
        <v>366.56100459999999</v>
      </c>
      <c r="Q25" s="856">
        <v>314.7409973</v>
      </c>
      <c r="R25" s="857">
        <v>315.3340149</v>
      </c>
      <c r="S25" s="462">
        <v>20</v>
      </c>
      <c r="T25" s="463">
        <v>278.90000000000003</v>
      </c>
      <c r="U25" s="463">
        <v>379.35699083999998</v>
      </c>
      <c r="V25" s="464">
        <v>382.00799562999993</v>
      </c>
      <c r="W25" s="859">
        <v>381.56399727000002</v>
      </c>
    </row>
    <row r="26" spans="1:23" ht="11.25" customHeight="1">
      <c r="A26" s="54"/>
      <c r="B26" s="162"/>
      <c r="C26" s="39"/>
      <c r="D26" s="162"/>
      <c r="E26" s="162"/>
      <c r="F26" s="70"/>
      <c r="G26" s="66"/>
      <c r="H26" s="66"/>
      <c r="I26" s="71"/>
      <c r="J26" s="4"/>
      <c r="K26" s="6"/>
      <c r="L26" s="15"/>
      <c r="N26" s="462">
        <v>21</v>
      </c>
      <c r="O26" s="463">
        <v>311.781005859375</v>
      </c>
      <c r="P26" s="463">
        <v>357.21099850000002</v>
      </c>
      <c r="Q26" s="464">
        <v>314.7409973</v>
      </c>
      <c r="R26" s="858">
        <v>311.78100590000003</v>
      </c>
      <c r="S26" s="462">
        <v>21</v>
      </c>
      <c r="T26" s="463">
        <v>274.65599975585928</v>
      </c>
      <c r="U26" s="463">
        <v>375.59600258</v>
      </c>
      <c r="V26" s="464">
        <v>378.52099610999994</v>
      </c>
      <c r="W26" s="456">
        <v>376.47088237999998</v>
      </c>
    </row>
    <row r="27" spans="1:23" ht="11.25" customHeight="1">
      <c r="A27" s="77"/>
      <c r="B27" s="162"/>
      <c r="C27" s="39"/>
      <c r="D27" s="162"/>
      <c r="E27" s="162"/>
      <c r="F27" s="73"/>
      <c r="G27" s="73"/>
      <c r="H27" s="73"/>
      <c r="I27" s="73"/>
      <c r="J27" s="4"/>
      <c r="K27" s="6"/>
      <c r="L27" s="15"/>
      <c r="N27" s="462">
        <v>22</v>
      </c>
      <c r="O27" s="463">
        <v>314.74</v>
      </c>
      <c r="P27" s="463">
        <v>341.82</v>
      </c>
      <c r="Q27" s="464">
        <v>311.78100590000003</v>
      </c>
      <c r="R27" s="858">
        <v>310.60000609999997</v>
      </c>
      <c r="S27" s="462">
        <v>22</v>
      </c>
      <c r="T27" s="463">
        <v>269.74</v>
      </c>
      <c r="U27" s="463">
        <v>373.52000000000004</v>
      </c>
      <c r="V27" s="464">
        <v>375.20999716</v>
      </c>
      <c r="W27" s="456">
        <v>370.73099807</v>
      </c>
    </row>
    <row r="28" spans="1:23" ht="11.25" customHeight="1">
      <c r="A28" s="77"/>
      <c r="B28" s="162"/>
      <c r="C28" s="39"/>
      <c r="D28" s="162"/>
      <c r="E28" s="162"/>
      <c r="F28" s="73"/>
      <c r="G28" s="73"/>
      <c r="H28" s="73"/>
      <c r="I28" s="73"/>
      <c r="J28" s="4"/>
      <c r="K28" s="6"/>
      <c r="L28" s="15"/>
      <c r="N28" s="462">
        <v>23</v>
      </c>
      <c r="O28" s="463">
        <v>308.83</v>
      </c>
      <c r="P28" s="463">
        <v>326.67999270000001</v>
      </c>
      <c r="Q28" s="464">
        <v>308.82998659999998</v>
      </c>
      <c r="R28" s="858">
        <v>307.06500240000003</v>
      </c>
      <c r="S28" s="462">
        <v>23</v>
      </c>
      <c r="T28" s="463">
        <v>265.4609997</v>
      </c>
      <c r="U28" s="463">
        <v>369.22100255000004</v>
      </c>
      <c r="V28" s="464">
        <v>374.07600211999994</v>
      </c>
      <c r="W28" s="456">
        <v>363.24299430999997</v>
      </c>
    </row>
    <row r="29" spans="1:23" ht="11.25" customHeight="1">
      <c r="A29" s="77"/>
      <c r="B29" s="162"/>
      <c r="C29" s="39"/>
      <c r="D29" s="162"/>
      <c r="E29" s="162"/>
      <c r="F29" s="73"/>
      <c r="G29" s="73"/>
      <c r="H29" s="73"/>
      <c r="I29" s="73"/>
      <c r="J29" s="4"/>
      <c r="K29" s="6"/>
      <c r="L29" s="15"/>
      <c r="N29" s="462">
        <v>24</v>
      </c>
      <c r="O29" s="463">
        <v>300.04000000000002</v>
      </c>
      <c r="P29" s="463">
        <v>308.82998659999998</v>
      </c>
      <c r="Q29" s="464">
        <v>300.0379944</v>
      </c>
      <c r="R29" s="858">
        <v>302.9590149</v>
      </c>
      <c r="S29" s="462">
        <v>24</v>
      </c>
      <c r="T29" s="463">
        <v>261.10000000000002</v>
      </c>
      <c r="U29" s="463">
        <v>364.44200138999997</v>
      </c>
      <c r="V29" s="464">
        <v>370.89200402</v>
      </c>
      <c r="W29" s="456">
        <v>357.21200376000002</v>
      </c>
    </row>
    <row r="30" spans="1:23" ht="11.25" customHeight="1">
      <c r="A30" s="74"/>
      <c r="B30" s="73"/>
      <c r="C30" s="73"/>
      <c r="D30" s="73"/>
      <c r="E30" s="73"/>
      <c r="F30" s="73"/>
      <c r="G30" s="73"/>
      <c r="H30" s="73"/>
      <c r="I30" s="73"/>
      <c r="J30" s="3"/>
      <c r="K30" s="6"/>
      <c r="L30" s="15"/>
      <c r="N30" s="462">
        <v>25</v>
      </c>
      <c r="O30" s="463">
        <v>282.71701050000001</v>
      </c>
      <c r="P30" s="463">
        <v>291.33300780000002</v>
      </c>
      <c r="Q30" s="464">
        <v>294.22500609999997</v>
      </c>
      <c r="R30" s="858">
        <v>300.0379944</v>
      </c>
      <c r="S30" s="462">
        <v>25</v>
      </c>
      <c r="T30" s="463">
        <v>256.25999989000002</v>
      </c>
      <c r="U30" s="463">
        <v>359.61999897999999</v>
      </c>
      <c r="V30" s="464">
        <v>366.71700096999996</v>
      </c>
      <c r="W30" s="456">
        <v>352.1909981</v>
      </c>
    </row>
    <row r="31" spans="1:23" ht="11.25" customHeight="1">
      <c r="A31" s="74"/>
      <c r="B31" s="73"/>
      <c r="C31" s="73"/>
      <c r="D31" s="73"/>
      <c r="E31" s="73"/>
      <c r="F31" s="73"/>
      <c r="G31" s="73"/>
      <c r="H31" s="73"/>
      <c r="I31" s="73"/>
      <c r="J31" s="3"/>
      <c r="K31" s="6"/>
      <c r="L31" s="15"/>
      <c r="N31" s="462">
        <v>26</v>
      </c>
      <c r="O31" s="463">
        <v>262.95300292968699</v>
      </c>
      <c r="P31" s="463">
        <v>268.55099489999998</v>
      </c>
      <c r="Q31" s="464">
        <v>282.71701050000001</v>
      </c>
      <c r="R31" s="858">
        <v>296.06698610000001</v>
      </c>
      <c r="S31" s="462">
        <v>26</v>
      </c>
      <c r="T31" s="463">
        <v>252.54899978637627</v>
      </c>
      <c r="U31" s="463">
        <v>354.77499773999995</v>
      </c>
      <c r="V31" s="464">
        <v>361.43599508999995</v>
      </c>
      <c r="W31" s="456">
        <v>346.62612917400003</v>
      </c>
    </row>
    <row r="32" spans="1:23" ht="11.25" customHeight="1">
      <c r="A32" s="74"/>
      <c r="B32" s="73"/>
      <c r="C32" s="73"/>
      <c r="D32" s="73"/>
      <c r="E32" s="73"/>
      <c r="F32" s="73"/>
      <c r="G32" s="73"/>
      <c r="H32" s="73"/>
      <c r="I32" s="73"/>
      <c r="J32" s="3"/>
      <c r="K32" s="6"/>
      <c r="L32" s="15"/>
      <c r="N32" s="462">
        <v>27</v>
      </c>
      <c r="O32" s="463">
        <v>254.63000489999999</v>
      </c>
      <c r="P32" s="463">
        <v>265.7470093</v>
      </c>
      <c r="Q32" s="464">
        <v>271.36</v>
      </c>
      <c r="R32" s="858">
        <v>275.89</v>
      </c>
      <c r="S32" s="462">
        <v>27</v>
      </c>
      <c r="T32" s="463">
        <v>248.26700022</v>
      </c>
      <c r="U32" s="463">
        <v>349.77999684000002</v>
      </c>
      <c r="V32" s="464">
        <v>355.34</v>
      </c>
      <c r="W32" s="456">
        <v>341.25900444999996</v>
      </c>
    </row>
    <row r="33" spans="1:23" ht="11.25" customHeight="1">
      <c r="A33" s="74"/>
      <c r="B33" s="73"/>
      <c r="C33" s="73"/>
      <c r="D33" s="73"/>
      <c r="E33" s="73"/>
      <c r="F33" s="73"/>
      <c r="G33" s="73"/>
      <c r="H33" s="73"/>
      <c r="I33" s="73"/>
      <c r="J33" s="3"/>
      <c r="K33" s="6"/>
      <c r="L33" s="15"/>
      <c r="N33" s="462">
        <v>28</v>
      </c>
      <c r="O33" s="463">
        <v>240.9539948</v>
      </c>
      <c r="P33" s="466">
        <v>243.66999820000001</v>
      </c>
      <c r="Q33" s="464">
        <v>260.16900629999998</v>
      </c>
      <c r="R33" s="858">
        <v>248.58200070000001</v>
      </c>
      <c r="S33" s="462">
        <v>28</v>
      </c>
      <c r="T33" s="463">
        <v>243.86400222</v>
      </c>
      <c r="U33" s="463">
        <v>344.32400322999996</v>
      </c>
      <c r="V33" s="464">
        <v>349.01599981000004</v>
      </c>
      <c r="W33" s="456">
        <v>337.18899436699996</v>
      </c>
    </row>
    <row r="34" spans="1:23" ht="11.25" customHeight="1">
      <c r="A34" s="74"/>
      <c r="B34" s="73"/>
      <c r="C34" s="73"/>
      <c r="D34" s="73"/>
      <c r="E34" s="73"/>
      <c r="F34" s="73"/>
      <c r="G34" s="73"/>
      <c r="H34" s="73"/>
      <c r="I34" s="73"/>
      <c r="J34" s="3"/>
      <c r="K34" s="6"/>
      <c r="L34" s="15"/>
      <c r="N34" s="462">
        <v>29</v>
      </c>
      <c r="O34" s="463">
        <v>227.5220032</v>
      </c>
      <c r="P34" s="463">
        <v>227.5220032</v>
      </c>
      <c r="Q34" s="464">
        <v>251.88</v>
      </c>
      <c r="R34" s="858">
        <v>238.787994384765</v>
      </c>
      <c r="S34" s="462">
        <v>29</v>
      </c>
      <c r="T34" s="463">
        <v>239.07999988</v>
      </c>
      <c r="U34" s="463">
        <v>338.60699847999996</v>
      </c>
      <c r="V34" s="464">
        <v>343.97999999999996</v>
      </c>
      <c r="W34" s="456">
        <v>333.50600986443789</v>
      </c>
    </row>
    <row r="35" spans="1:23" ht="11.25" customHeight="1">
      <c r="A35" s="74"/>
      <c r="B35" s="73"/>
      <c r="C35" s="73"/>
      <c r="D35" s="73"/>
      <c r="E35" s="73"/>
      <c r="F35" s="73"/>
      <c r="G35" s="73"/>
      <c r="H35" s="73"/>
      <c r="I35" s="73"/>
      <c r="J35" s="6"/>
      <c r="K35" s="6"/>
      <c r="L35" s="15"/>
      <c r="N35" s="462">
        <v>30</v>
      </c>
      <c r="O35" s="463">
        <v>216.95199584960901</v>
      </c>
      <c r="P35" s="463">
        <v>216.95199579999999</v>
      </c>
      <c r="Q35" s="464">
        <v>232.8650055</v>
      </c>
      <c r="R35" s="858">
        <v>229.12</v>
      </c>
      <c r="S35" s="462">
        <v>30</v>
      </c>
      <c r="T35" s="463">
        <v>234.2539968490598</v>
      </c>
      <c r="U35" s="463">
        <v>332.49400331000004</v>
      </c>
      <c r="V35" s="464">
        <v>342.06599807739167</v>
      </c>
      <c r="W35" s="456">
        <v>324.04999999999995</v>
      </c>
    </row>
    <row r="36" spans="1:23" ht="11.25" customHeight="1">
      <c r="A36" s="74"/>
      <c r="B36" s="73"/>
      <c r="C36" s="73"/>
      <c r="D36" s="73"/>
      <c r="E36" s="73"/>
      <c r="F36" s="73"/>
      <c r="G36" s="73"/>
      <c r="H36" s="73"/>
      <c r="I36" s="73"/>
      <c r="J36" s="3"/>
      <c r="K36" s="6"/>
      <c r="L36" s="15"/>
      <c r="N36" s="462">
        <v>31</v>
      </c>
      <c r="O36" s="463">
        <v>216.95199579999999</v>
      </c>
      <c r="P36" s="463">
        <v>209.128006</v>
      </c>
      <c r="Q36" s="464">
        <v>211.726</v>
      </c>
      <c r="R36" s="858">
        <v>219.05400090000001</v>
      </c>
      <c r="S36" s="462">
        <v>31</v>
      </c>
      <c r="T36" s="463">
        <v>229.68000125999998</v>
      </c>
      <c r="U36" s="463">
        <v>324</v>
      </c>
      <c r="V36" s="464">
        <v>335.23199999999997</v>
      </c>
      <c r="W36" s="456">
        <v>318.10600236499999</v>
      </c>
    </row>
    <row r="37" spans="1:23" ht="11.25" customHeight="1">
      <c r="A37" s="74"/>
      <c r="B37" s="73"/>
      <c r="C37" s="73"/>
      <c r="D37" s="73"/>
      <c r="E37" s="73"/>
      <c r="F37" s="73"/>
      <c r="G37" s="73"/>
      <c r="H37" s="73"/>
      <c r="I37" s="73"/>
      <c r="J37" s="3"/>
      <c r="K37" s="10"/>
      <c r="L37" s="15"/>
      <c r="N37" s="462">
        <v>32</v>
      </c>
      <c r="O37" s="463">
        <v>201.39199830000001</v>
      </c>
      <c r="P37" s="463">
        <v>198.83200070000001</v>
      </c>
      <c r="Q37" s="464">
        <v>181.19200129999999</v>
      </c>
      <c r="R37" s="465"/>
      <c r="S37" s="462">
        <v>32</v>
      </c>
      <c r="T37" s="463">
        <v>224.73799990999998</v>
      </c>
      <c r="U37" s="463">
        <v>320.73399734000003</v>
      </c>
      <c r="V37" s="464">
        <v>329.56800555999996</v>
      </c>
    </row>
    <row r="38" spans="1:23" ht="11.25" customHeight="1">
      <c r="A38" s="74"/>
      <c r="B38" s="73"/>
      <c r="C38" s="73"/>
      <c r="D38" s="73"/>
      <c r="E38" s="73"/>
      <c r="F38" s="73"/>
      <c r="G38" s="73"/>
      <c r="H38" s="73"/>
      <c r="I38" s="73"/>
      <c r="J38" s="3"/>
      <c r="K38" s="10"/>
      <c r="L38" s="38"/>
      <c r="N38" s="462">
        <v>33</v>
      </c>
      <c r="O38" s="463">
        <v>193.74299621582</v>
      </c>
      <c r="P38" s="463">
        <v>188.69299319999999</v>
      </c>
      <c r="Q38" s="464">
        <v>152.0650024</v>
      </c>
      <c r="R38" s="465"/>
      <c r="S38" s="462">
        <v>33</v>
      </c>
      <c r="T38" s="463">
        <v>219.00299835205058</v>
      </c>
      <c r="U38" s="463">
        <v>314.19900131999998</v>
      </c>
      <c r="V38" s="464">
        <v>323.79099748000004</v>
      </c>
    </row>
    <row r="39" spans="1:23" ht="11.25" customHeight="1">
      <c r="A39" s="74"/>
      <c r="B39" s="73"/>
      <c r="C39" s="73"/>
      <c r="D39" s="73"/>
      <c r="E39" s="73"/>
      <c r="F39" s="73"/>
      <c r="G39" s="73"/>
      <c r="H39" s="73"/>
      <c r="I39" s="73"/>
      <c r="J39" s="3"/>
      <c r="K39" s="7"/>
      <c r="L39" s="15"/>
      <c r="N39" s="462">
        <v>34</v>
      </c>
      <c r="O39" s="463">
        <v>181.19200129999999</v>
      </c>
      <c r="P39" s="463">
        <v>183.68200680000001</v>
      </c>
      <c r="Q39" s="464">
        <v>156.8220062</v>
      </c>
      <c r="R39" s="465"/>
      <c r="S39" s="462">
        <v>34</v>
      </c>
      <c r="T39" s="463">
        <v>214.38699817</v>
      </c>
      <c r="U39" s="463">
        <v>307.85200500000002</v>
      </c>
      <c r="V39" s="464">
        <v>317.64699750999995</v>
      </c>
    </row>
    <row r="40" spans="1:23" ht="11.25" customHeight="1">
      <c r="A40" s="74"/>
      <c r="B40" s="73"/>
      <c r="C40" s="73"/>
      <c r="D40" s="73"/>
      <c r="E40" s="73"/>
      <c r="F40" s="73"/>
      <c r="G40" s="73"/>
      <c r="H40" s="73"/>
      <c r="I40" s="73"/>
      <c r="J40" s="3"/>
      <c r="K40" s="7"/>
      <c r="L40" s="15"/>
      <c r="N40" s="462">
        <v>35</v>
      </c>
      <c r="O40" s="463">
        <v>171.32600400000001</v>
      </c>
      <c r="P40" s="467">
        <v>176.23899840000001</v>
      </c>
      <c r="Q40" s="464">
        <v>156.82</v>
      </c>
      <c r="R40" s="465"/>
      <c r="S40" s="462">
        <v>35</v>
      </c>
      <c r="T40" s="463">
        <v>208.95000171000001</v>
      </c>
      <c r="U40" s="463">
        <v>300.83900069999999</v>
      </c>
      <c r="V40" s="464">
        <v>311.42</v>
      </c>
    </row>
    <row r="41" spans="1:23" ht="11.25" customHeight="1">
      <c r="A41" s="74"/>
      <c r="B41" s="73"/>
      <c r="C41" s="73"/>
      <c r="D41" s="73"/>
      <c r="E41" s="73"/>
      <c r="F41" s="73"/>
      <c r="G41" s="73"/>
      <c r="H41" s="73"/>
      <c r="I41" s="73"/>
      <c r="J41" s="3"/>
      <c r="K41" s="7"/>
      <c r="L41" s="15"/>
      <c r="N41" s="462">
        <v>36</v>
      </c>
      <c r="O41" s="463">
        <v>164.02999879999999</v>
      </c>
      <c r="P41" s="467">
        <v>168.8840027</v>
      </c>
      <c r="Q41" s="464">
        <v>159.21</v>
      </c>
      <c r="R41" s="465"/>
      <c r="S41" s="462">
        <v>36</v>
      </c>
      <c r="T41" s="463">
        <v>202.97300145000003</v>
      </c>
      <c r="U41" s="463">
        <v>293.46100233999999</v>
      </c>
      <c r="V41" s="464">
        <v>305.20999999999998</v>
      </c>
    </row>
    <row r="42" spans="1:23" ht="11.25" customHeight="1">
      <c r="A42" s="74"/>
      <c r="B42" s="73"/>
      <c r="C42" s="73"/>
      <c r="D42" s="73"/>
      <c r="E42" s="73"/>
      <c r="F42" s="73"/>
      <c r="G42" s="73"/>
      <c r="H42" s="73"/>
      <c r="I42" s="73"/>
      <c r="J42" s="6"/>
      <c r="K42" s="10"/>
      <c r="L42" s="15"/>
      <c r="N42" s="462">
        <v>37</v>
      </c>
      <c r="O42" s="463">
        <v>147.34800720000001</v>
      </c>
      <c r="P42" s="467">
        <v>159.2149963</v>
      </c>
      <c r="Q42" s="464">
        <v>159.2149963</v>
      </c>
      <c r="R42" s="465"/>
      <c r="S42" s="462">
        <v>37</v>
      </c>
      <c r="T42" s="463">
        <v>196.95000080099999</v>
      </c>
      <c r="U42" s="463">
        <v>287.76599501999999</v>
      </c>
      <c r="V42" s="464">
        <v>299.17000225600003</v>
      </c>
    </row>
    <row r="43" spans="1:23" ht="11.25" customHeight="1">
      <c r="A43" s="74"/>
      <c r="B43" s="73"/>
      <c r="C43" s="73"/>
      <c r="D43" s="73"/>
      <c r="E43" s="73"/>
      <c r="F43" s="73"/>
      <c r="G43" s="73"/>
      <c r="H43" s="73"/>
      <c r="I43" s="73"/>
      <c r="J43" s="3"/>
      <c r="K43" s="10"/>
      <c r="L43" s="15"/>
      <c r="N43" s="462">
        <v>38</v>
      </c>
      <c r="O43" s="463">
        <v>131.14500430000001</v>
      </c>
      <c r="P43" s="467">
        <v>149.70199579999999</v>
      </c>
      <c r="Q43" s="464">
        <v>149.70199579999999</v>
      </c>
      <c r="R43" s="465"/>
      <c r="S43" s="462">
        <v>38</v>
      </c>
      <c r="T43" s="463">
        <v>190.78400421900002</v>
      </c>
      <c r="U43" s="463">
        <v>282.07300377000001</v>
      </c>
      <c r="V43" s="464">
        <v>292.45899891799996</v>
      </c>
    </row>
    <row r="44" spans="1:23" ht="11.25" customHeight="1">
      <c r="A44" s="74"/>
      <c r="B44" s="73"/>
      <c r="C44" s="73"/>
      <c r="D44" s="73"/>
      <c r="E44" s="73"/>
      <c r="F44" s="73"/>
      <c r="G44" s="73"/>
      <c r="H44" s="73"/>
      <c r="I44" s="73"/>
      <c r="J44" s="3"/>
      <c r="K44" s="10"/>
      <c r="L44" s="15"/>
      <c r="N44" s="462">
        <v>39</v>
      </c>
      <c r="O44" s="463">
        <v>119.8639984</v>
      </c>
      <c r="P44" s="467">
        <v>138.02999879999999</v>
      </c>
      <c r="Q44" s="464">
        <v>117.6380005</v>
      </c>
      <c r="R44" s="465"/>
      <c r="S44" s="462">
        <v>39</v>
      </c>
      <c r="T44" s="463">
        <v>184.44099947499998</v>
      </c>
      <c r="U44" s="463">
        <v>275.53000069000001</v>
      </c>
      <c r="V44" s="464">
        <v>286.11999916000002</v>
      </c>
    </row>
    <row r="45" spans="1:23" ht="11.25" customHeight="1">
      <c r="A45" s="74"/>
      <c r="B45" s="73"/>
      <c r="C45" s="73"/>
      <c r="D45" s="73"/>
      <c r="E45" s="73"/>
      <c r="F45" s="73"/>
      <c r="G45" s="73"/>
      <c r="H45" s="73"/>
      <c r="I45" s="73"/>
      <c r="J45" s="11"/>
      <c r="K45" s="11"/>
      <c r="L45" s="11"/>
      <c r="N45" s="462">
        <v>40</v>
      </c>
      <c r="O45" s="463">
        <v>119.8639984</v>
      </c>
      <c r="P45" s="463">
        <v>131.14500430000001</v>
      </c>
      <c r="Q45" s="464">
        <v>91.680000309999997</v>
      </c>
      <c r="R45" s="465"/>
      <c r="S45" s="462">
        <v>40</v>
      </c>
      <c r="T45" s="463">
        <v>177.93399906500002</v>
      </c>
      <c r="U45" s="463">
        <v>268.25699615000002</v>
      </c>
      <c r="V45" s="464">
        <v>278.57999837699998</v>
      </c>
    </row>
    <row r="46" spans="1:23" ht="11.25" customHeight="1">
      <c r="A46" s="74"/>
      <c r="B46" s="73"/>
      <c r="C46" s="73"/>
      <c r="D46" s="73"/>
      <c r="E46" s="73"/>
      <c r="F46" s="73"/>
      <c r="G46" s="73"/>
      <c r="H46" s="73"/>
      <c r="I46" s="73"/>
      <c r="J46" s="11"/>
      <c r="K46" s="11"/>
      <c r="L46" s="11"/>
      <c r="N46" s="462">
        <v>41</v>
      </c>
      <c r="O46" s="463">
        <v>113.213996887207</v>
      </c>
      <c r="P46" s="463">
        <v>108.82900239999999</v>
      </c>
      <c r="Q46" s="464">
        <v>71.125</v>
      </c>
      <c r="R46" s="465"/>
      <c r="S46" s="462">
        <v>41</v>
      </c>
      <c r="T46" s="463">
        <v>171.68900227546672</v>
      </c>
      <c r="U46" s="463">
        <v>261.21399689000003</v>
      </c>
      <c r="V46" s="464">
        <v>271.23250496387476</v>
      </c>
    </row>
    <row r="47" spans="1:23" ht="11.25" customHeight="1">
      <c r="A47" s="74"/>
      <c r="B47" s="73"/>
      <c r="C47" s="73"/>
      <c r="D47" s="73"/>
      <c r="E47" s="73"/>
      <c r="F47" s="73"/>
      <c r="G47" s="73"/>
      <c r="H47" s="73"/>
      <c r="I47" s="73"/>
      <c r="J47" s="11"/>
      <c r="K47" s="11"/>
      <c r="L47" s="11"/>
      <c r="N47" s="462">
        <v>42</v>
      </c>
      <c r="O47" s="463">
        <v>100.1760025</v>
      </c>
      <c r="P47" s="463">
        <v>95.908996579999993</v>
      </c>
      <c r="Q47" s="464">
        <v>59.261001586913999</v>
      </c>
      <c r="R47" s="465"/>
      <c r="S47" s="462">
        <v>42</v>
      </c>
      <c r="T47" s="463">
        <v>165.69499874400003</v>
      </c>
      <c r="U47" s="463">
        <v>255.58900451</v>
      </c>
      <c r="V47" s="464">
        <v>256.27199935913058</v>
      </c>
    </row>
    <row r="48" spans="1:23" ht="11.25" customHeight="1">
      <c r="A48" s="74"/>
      <c r="B48" s="73"/>
      <c r="C48" s="73"/>
      <c r="D48" s="73"/>
      <c r="E48" s="73"/>
      <c r="F48" s="73"/>
      <c r="G48" s="73"/>
      <c r="H48" s="73"/>
      <c r="I48" s="73"/>
      <c r="J48" s="11"/>
      <c r="K48" s="11"/>
      <c r="L48" s="11"/>
      <c r="N48" s="462">
        <v>43</v>
      </c>
      <c r="O48" s="463">
        <v>89.581001279999995</v>
      </c>
      <c r="P48" s="463">
        <v>83.341003420000007</v>
      </c>
      <c r="Q48" s="464">
        <v>47.749000549316399</v>
      </c>
      <c r="R48" s="465"/>
      <c r="S48" s="462">
        <v>43</v>
      </c>
      <c r="T48" s="463">
        <v>160.397996525</v>
      </c>
      <c r="U48" s="463">
        <v>249.85500335</v>
      </c>
      <c r="V48" s="464">
        <v>249.67099761962871</v>
      </c>
    </row>
    <row r="49" spans="1:22" ht="11.25" customHeight="1">
      <c r="A49" s="74"/>
      <c r="B49" s="73"/>
      <c r="C49" s="73"/>
      <c r="D49" s="73"/>
      <c r="E49" s="73"/>
      <c r="F49" s="73"/>
      <c r="G49" s="73"/>
      <c r="H49" s="73"/>
      <c r="I49" s="73"/>
      <c r="J49" s="11"/>
      <c r="K49" s="11"/>
      <c r="L49" s="11"/>
      <c r="N49" s="462">
        <v>44</v>
      </c>
      <c r="O49" s="463">
        <v>75.156997680000003</v>
      </c>
      <c r="P49" s="463">
        <v>75.16</v>
      </c>
      <c r="Q49" s="464">
        <v>38.424999239999998</v>
      </c>
      <c r="R49" s="465"/>
      <c r="S49" s="462">
        <v>44</v>
      </c>
      <c r="T49" s="463">
        <v>154.79199918699999</v>
      </c>
      <c r="U49" s="463">
        <v>242.79000000000002</v>
      </c>
      <c r="V49" s="464">
        <v>249.67099761962871</v>
      </c>
    </row>
    <row r="50" spans="1:22" ht="12.75">
      <c r="A50" s="74"/>
      <c r="B50" s="73"/>
      <c r="C50" s="73"/>
      <c r="D50" s="73"/>
      <c r="E50" s="73"/>
      <c r="F50" s="73"/>
      <c r="G50" s="73"/>
      <c r="H50" s="73"/>
      <c r="I50" s="73"/>
      <c r="J50" s="11"/>
      <c r="K50" s="11"/>
      <c r="L50" s="11"/>
      <c r="N50" s="462">
        <v>45</v>
      </c>
      <c r="O50" s="463">
        <v>61.2140007</v>
      </c>
      <c r="P50" s="463">
        <v>65.149002080000002</v>
      </c>
      <c r="Q50" s="464">
        <v>31.142000199999998</v>
      </c>
      <c r="R50" s="465"/>
      <c r="S50" s="462">
        <v>45</v>
      </c>
      <c r="T50" s="463">
        <v>149.715000041</v>
      </c>
      <c r="U50" s="463">
        <v>235.60499572000001</v>
      </c>
      <c r="V50" s="464">
        <v>243.378839739</v>
      </c>
    </row>
    <row r="51" spans="1:22" ht="12.75">
      <c r="A51" s="74"/>
      <c r="B51" s="73"/>
      <c r="C51" s="73"/>
      <c r="D51" s="73"/>
      <c r="E51" s="73"/>
      <c r="F51" s="73"/>
      <c r="G51" s="73"/>
      <c r="H51" s="73"/>
      <c r="I51" s="73"/>
      <c r="J51" s="11"/>
      <c r="K51" s="11"/>
      <c r="L51" s="11"/>
      <c r="N51" s="462">
        <v>46</v>
      </c>
      <c r="O51" s="463">
        <v>43.990001679999999</v>
      </c>
      <c r="P51" s="463">
        <v>47.749000549999998</v>
      </c>
      <c r="Q51" s="464">
        <v>22.26</v>
      </c>
      <c r="R51" s="465"/>
      <c r="S51" s="462">
        <v>46</v>
      </c>
      <c r="T51" s="463">
        <v>144.11800040400001</v>
      </c>
      <c r="U51" s="463">
        <v>230.54900361099999</v>
      </c>
      <c r="V51" s="464">
        <v>236.34</v>
      </c>
    </row>
    <row r="52" spans="1:22" ht="12.75">
      <c r="A52" s="74"/>
      <c r="B52" s="73"/>
      <c r="C52" s="73"/>
      <c r="D52" s="73"/>
      <c r="E52" s="73"/>
      <c r="F52" s="73"/>
      <c r="G52" s="73"/>
      <c r="H52" s="73"/>
      <c r="I52" s="73"/>
      <c r="J52" s="11"/>
      <c r="K52" s="11"/>
      <c r="L52" s="11"/>
      <c r="N52" s="462">
        <v>47</v>
      </c>
      <c r="O52" s="463">
        <v>25.781999590000002</v>
      </c>
      <c r="P52" s="463">
        <v>34.763999939999998</v>
      </c>
      <c r="Q52" s="464">
        <v>17.044000629999999</v>
      </c>
      <c r="R52" s="465"/>
      <c r="S52" s="462">
        <v>47</v>
      </c>
      <c r="T52" s="463">
        <v>138.82499813000001</v>
      </c>
      <c r="U52" s="463">
        <v>223.60000467499998</v>
      </c>
      <c r="V52" s="464">
        <v>227.62000255999999</v>
      </c>
    </row>
    <row r="53" spans="1:22" ht="12.75">
      <c r="A53" s="74"/>
      <c r="B53" s="73"/>
      <c r="C53" s="73"/>
      <c r="D53" s="73"/>
      <c r="E53" s="73"/>
      <c r="F53" s="73"/>
      <c r="G53" s="73"/>
      <c r="H53" s="73"/>
      <c r="I53" s="73"/>
      <c r="J53" s="11"/>
      <c r="K53" s="11"/>
      <c r="L53" s="11"/>
      <c r="N53" s="462">
        <v>48</v>
      </c>
      <c r="O53" s="463">
        <v>29.344999309999999</v>
      </c>
      <c r="P53" s="463">
        <v>13.618000029999999</v>
      </c>
      <c r="Q53" s="464">
        <v>36.5890007</v>
      </c>
      <c r="R53" s="465"/>
      <c r="S53" s="462">
        <v>48</v>
      </c>
      <c r="T53" s="463">
        <v>133.112998957</v>
      </c>
      <c r="U53" s="463">
        <v>217.17600035300001</v>
      </c>
      <c r="V53" s="464">
        <v>220.01436420799999</v>
      </c>
    </row>
    <row r="54" spans="1:22" ht="13.5">
      <c r="A54" s="74"/>
      <c r="B54" s="73"/>
      <c r="C54" s="73"/>
      <c r="D54" s="73"/>
      <c r="E54" s="73"/>
      <c r="F54" s="73"/>
      <c r="G54" s="73"/>
      <c r="H54" s="73"/>
      <c r="I54" s="73"/>
      <c r="J54" s="11"/>
      <c r="K54" s="11"/>
      <c r="L54" s="11"/>
      <c r="N54" s="462">
        <v>49</v>
      </c>
      <c r="O54" s="468">
        <v>34.763999939999998</v>
      </c>
      <c r="P54" s="463">
        <v>8.5520000459999999</v>
      </c>
      <c r="Q54" s="464">
        <v>36.590000000000003</v>
      </c>
      <c r="R54" s="465"/>
      <c r="S54" s="462">
        <v>49</v>
      </c>
      <c r="T54" s="463">
        <v>128.370002666</v>
      </c>
      <c r="U54" s="463">
        <v>210.45100211699997</v>
      </c>
      <c r="V54" s="464">
        <v>212.37999999999997</v>
      </c>
    </row>
    <row r="55" spans="1:22" ht="12.75">
      <c r="A55" s="74"/>
      <c r="B55" s="73"/>
      <c r="C55" s="73"/>
      <c r="D55" s="73"/>
      <c r="E55" s="73"/>
      <c r="F55" s="73"/>
      <c r="G55" s="73"/>
      <c r="H55" s="73"/>
      <c r="I55" s="73"/>
      <c r="J55" s="11"/>
      <c r="K55" s="11"/>
      <c r="L55" s="11"/>
      <c r="N55" s="462">
        <v>50</v>
      </c>
      <c r="O55" s="463">
        <v>32.948001859999998</v>
      </c>
      <c r="P55" s="463">
        <v>13.618000029999999</v>
      </c>
      <c r="Q55" s="464">
        <v>34.763999939999998</v>
      </c>
      <c r="R55" s="465"/>
      <c r="S55" s="462">
        <v>50</v>
      </c>
      <c r="T55" s="463">
        <v>122.71499820000001</v>
      </c>
      <c r="U55" s="463">
        <v>203.37099885499998</v>
      </c>
      <c r="V55" s="464">
        <v>205.46782675599999</v>
      </c>
    </row>
    <row r="56" spans="1:22" ht="12.75">
      <c r="A56" s="74"/>
      <c r="B56" s="73"/>
      <c r="C56" s="73"/>
      <c r="D56" s="73"/>
      <c r="E56" s="73"/>
      <c r="F56" s="73"/>
      <c r="G56" s="73"/>
      <c r="H56" s="73"/>
      <c r="I56" s="73"/>
      <c r="J56" s="11"/>
      <c r="K56" s="11"/>
      <c r="L56" s="11"/>
      <c r="N56" s="462">
        <v>51</v>
      </c>
      <c r="O56" s="463">
        <v>25.781999590000002</v>
      </c>
      <c r="P56" s="463">
        <v>18.771999359999999</v>
      </c>
      <c r="Q56" s="464">
        <v>38.4</v>
      </c>
      <c r="R56" s="465"/>
      <c r="S56" s="462">
        <v>51</v>
      </c>
      <c r="T56" s="463">
        <v>120.15600296300001</v>
      </c>
      <c r="U56" s="463">
        <v>202.35899971500001</v>
      </c>
      <c r="V56" s="464">
        <v>199</v>
      </c>
    </row>
    <row r="57" spans="1:22" ht="12.75">
      <c r="A57" s="74"/>
      <c r="B57" s="73"/>
      <c r="C57" s="73"/>
      <c r="D57" s="73"/>
      <c r="E57" s="73"/>
      <c r="F57" s="73"/>
      <c r="G57" s="73"/>
      <c r="H57" s="73"/>
      <c r="I57" s="73"/>
      <c r="N57" s="462">
        <v>52</v>
      </c>
      <c r="O57" s="463">
        <v>22.256999969999999</v>
      </c>
      <c r="P57" s="463">
        <v>25.781999590000002</v>
      </c>
      <c r="Q57" s="464">
        <v>59.261001589999999</v>
      </c>
      <c r="R57" s="465"/>
      <c r="S57" s="462">
        <v>52</v>
      </c>
      <c r="T57" s="463">
        <v>116.12899696700001</v>
      </c>
      <c r="U57" s="463">
        <v>201.25199794899999</v>
      </c>
      <c r="V57" s="464">
        <v>192.88799664499999</v>
      </c>
    </row>
    <row r="58" spans="1:22" ht="12.75">
      <c r="A58" s="74"/>
      <c r="B58" s="73"/>
      <c r="C58" s="73"/>
      <c r="D58" s="73"/>
      <c r="E58" s="73"/>
      <c r="F58" s="73"/>
      <c r="G58" s="73"/>
      <c r="H58" s="73"/>
      <c r="I58" s="73"/>
      <c r="N58" s="462">
        <v>53</v>
      </c>
      <c r="O58" s="465"/>
      <c r="P58" s="465"/>
      <c r="Q58" s="465"/>
      <c r="R58" s="465"/>
      <c r="S58" s="462">
        <v>53</v>
      </c>
      <c r="T58" s="463"/>
      <c r="U58" s="463"/>
      <c r="V58" s="464"/>
    </row>
    <row r="59" spans="1:22" ht="12.75">
      <c r="B59" s="73"/>
      <c r="C59" s="73"/>
      <c r="D59" s="73"/>
      <c r="E59" s="73"/>
      <c r="F59" s="73"/>
      <c r="G59" s="73"/>
      <c r="H59" s="73"/>
      <c r="I59" s="73"/>
    </row>
    <row r="60" spans="1:22" ht="12.75">
      <c r="A60" s="74"/>
      <c r="B60" s="73"/>
      <c r="C60" s="73"/>
      <c r="D60" s="73"/>
      <c r="E60" s="73"/>
      <c r="F60" s="73"/>
      <c r="G60" s="73"/>
      <c r="H60" s="73"/>
      <c r="I60" s="73"/>
    </row>
    <row r="63" spans="1:22">
      <c r="A63" s="273" t="s">
        <v>514</v>
      </c>
    </row>
  </sheetData>
  <mergeCells count="2">
    <mergeCell ref="A5:I5"/>
    <mergeCell ref="B7:C7"/>
  </mergeCells>
  <pageMargins left="0.70866141732283472" right="0.7086614173228347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77A5"/>
  </sheetPr>
  <dimension ref="A1:U213"/>
  <sheetViews>
    <sheetView showGridLines="0" view="pageBreakPreview" zoomScale="115" zoomScaleNormal="100" zoomScaleSheetLayoutView="115" zoomScalePageLayoutView="130" workbookViewId="0">
      <selection activeCell="C15" sqref="C15"/>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56"/>
    <col min="12" max="12" width="3.1640625" style="457" bestFit="1" customWidth="1"/>
    <col min="13" max="21" width="9.33203125" style="456"/>
  </cols>
  <sheetData>
    <row r="1" spans="1:15" ht="11.25" customHeight="1"/>
    <row r="2" spans="1:15" ht="11.25" customHeight="1">
      <c r="A2" s="17"/>
      <c r="B2" s="17"/>
      <c r="C2" s="17"/>
      <c r="D2" s="17"/>
      <c r="E2" s="73"/>
      <c r="F2" s="73"/>
      <c r="G2" s="73"/>
    </row>
    <row r="3" spans="1:15" ht="17.25" customHeight="1">
      <c r="A3" s="966" t="s">
        <v>447</v>
      </c>
      <c r="B3" s="966"/>
      <c r="C3" s="966"/>
      <c r="D3" s="966"/>
      <c r="E3" s="966"/>
      <c r="F3" s="966"/>
      <c r="G3" s="966"/>
      <c r="H3" s="36"/>
      <c r="I3" s="36"/>
      <c r="K3" s="456" t="s">
        <v>276</v>
      </c>
      <c r="M3" s="456" t="s">
        <v>277</v>
      </c>
      <c r="N3" s="456" t="s">
        <v>278</v>
      </c>
      <c r="O3" s="456" t="s">
        <v>279</v>
      </c>
    </row>
    <row r="4" spans="1:15" ht="11.25" customHeight="1">
      <c r="A4" s="74"/>
      <c r="B4" s="73"/>
      <c r="C4" s="73"/>
      <c r="D4" s="73"/>
      <c r="E4" s="73"/>
      <c r="F4" s="73"/>
      <c r="G4" s="73"/>
      <c r="H4" s="36"/>
      <c r="I4" s="36"/>
      <c r="J4" s="25">
        <v>2016</v>
      </c>
      <c r="K4" s="456">
        <v>1</v>
      </c>
      <c r="L4" s="457">
        <v>1</v>
      </c>
      <c r="M4" s="458">
        <v>40.61</v>
      </c>
      <c r="N4" s="458">
        <v>96.75</v>
      </c>
      <c r="O4" s="458">
        <v>16.37</v>
      </c>
    </row>
    <row r="5" spans="1:15" ht="11.25" customHeight="1">
      <c r="A5" s="74"/>
      <c r="B5" s="73"/>
      <c r="C5" s="73"/>
      <c r="D5" s="73"/>
      <c r="E5" s="73"/>
      <c r="F5" s="73"/>
      <c r="G5" s="73"/>
      <c r="H5" s="12"/>
      <c r="I5" s="12"/>
      <c r="L5" s="457">
        <v>2</v>
      </c>
      <c r="M5" s="458">
        <v>29.82</v>
      </c>
      <c r="N5" s="458">
        <v>76.510000000000005</v>
      </c>
      <c r="O5" s="458">
        <v>15.9</v>
      </c>
    </row>
    <row r="6" spans="1:15" ht="29.25" customHeight="1">
      <c r="A6" s="136"/>
      <c r="C6" s="536" t="s">
        <v>148</v>
      </c>
      <c r="D6" s="539" t="str">
        <f>UPPER('1. Resumen'!Q4)&amp;"
 "&amp;'1. Resumen'!Q5</f>
        <v>JULIO
 2019</v>
      </c>
      <c r="E6" s="540" t="str">
        <f>UPPER('1. Resumen'!Q4)&amp;"
 "&amp;'1. Resumen'!Q5-1</f>
        <v>JULIO
 2018</v>
      </c>
      <c r="F6" s="541" t="s">
        <v>558</v>
      </c>
      <c r="G6" s="138"/>
      <c r="H6" s="24"/>
      <c r="I6" s="12"/>
      <c r="L6" s="457">
        <v>3</v>
      </c>
      <c r="M6" s="458">
        <v>27.06</v>
      </c>
      <c r="N6" s="458">
        <v>80.096000000000004</v>
      </c>
      <c r="O6" s="458">
        <v>29.21</v>
      </c>
    </row>
    <row r="7" spans="1:15" ht="11.25" customHeight="1">
      <c r="A7" s="174"/>
      <c r="C7" s="620" t="s">
        <v>149</v>
      </c>
      <c r="D7" s="621">
        <v>11.659586216000001</v>
      </c>
      <c r="E7" s="621">
        <v>8.7519998549999993</v>
      </c>
      <c r="F7" s="622">
        <f>IF(E7=0,"",(D7-E7)/E7)</f>
        <v>0.33221965369879475</v>
      </c>
      <c r="G7" s="138"/>
      <c r="H7" s="25"/>
      <c r="I7" s="3"/>
      <c r="K7" s="456">
        <v>4</v>
      </c>
      <c r="L7" s="457">
        <v>4</v>
      </c>
      <c r="M7" s="458">
        <v>27.93</v>
      </c>
      <c r="N7" s="458">
        <v>77.09</v>
      </c>
      <c r="O7" s="458">
        <v>20.7</v>
      </c>
    </row>
    <row r="8" spans="1:15" ht="11.25" customHeight="1">
      <c r="A8" s="174"/>
      <c r="C8" s="623" t="s">
        <v>155</v>
      </c>
      <c r="D8" s="624">
        <v>9.2621000924000025</v>
      </c>
      <c r="E8" s="624">
        <v>10.475000380000001</v>
      </c>
      <c r="F8" s="625">
        <f t="shared" ref="F8:F30" si="0">IF(E8=0,"",(D8-E8)/E8)</f>
        <v>-0.11578999938900224</v>
      </c>
      <c r="G8" s="138"/>
      <c r="H8" s="23"/>
      <c r="I8" s="3"/>
      <c r="L8" s="457">
        <v>5</v>
      </c>
      <c r="M8" s="458">
        <v>49.585999999999999</v>
      </c>
      <c r="N8" s="458">
        <v>140.12</v>
      </c>
      <c r="O8" s="458">
        <v>74.02</v>
      </c>
    </row>
    <row r="9" spans="1:15" ht="11.25" customHeight="1">
      <c r="A9" s="174"/>
      <c r="C9" s="626" t="s">
        <v>156</v>
      </c>
      <c r="D9" s="627">
        <v>34.659700012000002</v>
      </c>
      <c r="E9" s="627">
        <v>34.541999820000001</v>
      </c>
      <c r="F9" s="628">
        <f t="shared" si="0"/>
        <v>3.4074515839656711E-3</v>
      </c>
      <c r="G9" s="138"/>
      <c r="H9" s="25"/>
      <c r="I9" s="3"/>
      <c r="L9" s="457">
        <v>6</v>
      </c>
      <c r="M9" s="458">
        <v>57</v>
      </c>
      <c r="N9" s="458">
        <v>144.66999999999999</v>
      </c>
      <c r="O9" s="458">
        <v>78.08</v>
      </c>
    </row>
    <row r="10" spans="1:15" ht="11.25" customHeight="1">
      <c r="A10" s="174"/>
      <c r="C10" s="623" t="s">
        <v>163</v>
      </c>
      <c r="D10" s="624">
        <v>33.330033302333341</v>
      </c>
      <c r="E10" s="624">
        <v>26.69199944</v>
      </c>
      <c r="F10" s="625">
        <f t="shared" si="0"/>
        <v>0.24869001954142633</v>
      </c>
      <c r="G10" s="138"/>
      <c r="H10" s="25"/>
      <c r="I10" s="3"/>
      <c r="L10" s="457">
        <v>7</v>
      </c>
      <c r="M10" s="458">
        <v>52.31</v>
      </c>
      <c r="N10" s="458">
        <v>117.32</v>
      </c>
      <c r="O10" s="458">
        <v>41.34</v>
      </c>
    </row>
    <row r="11" spans="1:15" ht="11.25" customHeight="1">
      <c r="A11" s="174"/>
      <c r="C11" s="626" t="s">
        <v>164</v>
      </c>
      <c r="D11" s="627">
        <v>17.418466648166667</v>
      </c>
      <c r="E11" s="627">
        <v>12.99400043</v>
      </c>
      <c r="F11" s="628">
        <f t="shared" si="0"/>
        <v>0.34050069814925099</v>
      </c>
      <c r="G11" s="138"/>
      <c r="H11" s="25"/>
      <c r="I11" s="3"/>
      <c r="K11" s="456">
        <v>8</v>
      </c>
      <c r="L11" s="457">
        <v>8</v>
      </c>
      <c r="M11" s="458">
        <v>57.96</v>
      </c>
      <c r="N11" s="458">
        <v>140.31</v>
      </c>
      <c r="O11" s="458">
        <v>96.52</v>
      </c>
    </row>
    <row r="12" spans="1:15" ht="11.25" customHeight="1">
      <c r="A12" s="174"/>
      <c r="C12" s="623" t="s">
        <v>166</v>
      </c>
      <c r="D12" s="624">
        <v>9.0357332548333353</v>
      </c>
      <c r="E12" s="624">
        <v>6.6170001029999996</v>
      </c>
      <c r="F12" s="625">
        <f t="shared" si="0"/>
        <v>0.36553318938845658</v>
      </c>
      <c r="G12" s="138"/>
      <c r="H12" s="25"/>
      <c r="I12" s="3"/>
      <c r="L12" s="457">
        <v>9</v>
      </c>
      <c r="M12" s="458">
        <v>100.51885660000001</v>
      </c>
      <c r="N12" s="458">
        <v>268.94750210000001</v>
      </c>
      <c r="O12" s="458">
        <v>150.104332</v>
      </c>
    </row>
    <row r="13" spans="1:15" ht="11.25" customHeight="1">
      <c r="A13" s="174"/>
      <c r="C13" s="626" t="s">
        <v>154</v>
      </c>
      <c r="D13" s="627">
        <v>20.173999999999999</v>
      </c>
      <c r="E13" s="627">
        <v>19.671527777777779</v>
      </c>
      <c r="F13" s="628">
        <f t="shared" si="0"/>
        <v>2.554312140360776E-2</v>
      </c>
      <c r="G13" s="138"/>
      <c r="H13" s="23"/>
      <c r="I13" s="3"/>
      <c r="L13" s="457">
        <v>10</v>
      </c>
      <c r="M13" s="458">
        <v>75.15657152448378</v>
      </c>
      <c r="N13" s="458">
        <v>243.71150207519463</v>
      </c>
      <c r="O13" s="458">
        <v>181.79733530680286</v>
      </c>
    </row>
    <row r="14" spans="1:15" ht="11.25" customHeight="1">
      <c r="A14" s="174"/>
      <c r="C14" s="623" t="s">
        <v>267</v>
      </c>
      <c r="D14" s="624">
        <v>22.018939972333335</v>
      </c>
      <c r="E14" s="624">
        <v>24.248050689999999</v>
      </c>
      <c r="F14" s="625">
        <f t="shared" si="0"/>
        <v>-9.192948110199882E-2</v>
      </c>
      <c r="G14" s="138"/>
      <c r="H14" s="25"/>
      <c r="I14" s="3"/>
      <c r="L14" s="457">
        <v>11</v>
      </c>
      <c r="M14" s="458">
        <v>52.24</v>
      </c>
      <c r="N14" s="458">
        <v>154.21</v>
      </c>
      <c r="O14" s="458">
        <v>79.12</v>
      </c>
    </row>
    <row r="15" spans="1:15" ht="11.25" customHeight="1">
      <c r="A15" s="174"/>
      <c r="C15" s="626" t="s">
        <v>268</v>
      </c>
      <c r="D15" s="627">
        <v>44.327166747999996</v>
      </c>
      <c r="E15" s="627">
        <v>41.674999239999998</v>
      </c>
      <c r="F15" s="628">
        <f t="shared" si="0"/>
        <v>6.3639293494081858E-2</v>
      </c>
      <c r="G15" s="138"/>
      <c r="H15" s="25"/>
      <c r="I15" s="3"/>
      <c r="K15" s="456">
        <v>12</v>
      </c>
      <c r="L15" s="457">
        <v>12</v>
      </c>
      <c r="M15" s="458">
        <v>44.628571101597331</v>
      </c>
      <c r="N15" s="458">
        <v>116.62271445138057</v>
      </c>
      <c r="O15" s="458">
        <v>41.373285293579045</v>
      </c>
    </row>
    <row r="16" spans="1:15" ht="11.25" customHeight="1">
      <c r="A16" s="174"/>
      <c r="C16" s="623" t="s">
        <v>161</v>
      </c>
      <c r="D16" s="624">
        <v>15.560366630999999</v>
      </c>
      <c r="E16" s="624">
        <v>13.56700039</v>
      </c>
      <c r="F16" s="625">
        <f t="shared" si="0"/>
        <v>0.14692755831784851</v>
      </c>
      <c r="G16" s="138"/>
      <c r="H16" s="25"/>
      <c r="I16" s="3"/>
      <c r="L16" s="457">
        <v>13</v>
      </c>
      <c r="M16" s="458">
        <v>42.599998474121001</v>
      </c>
      <c r="N16" s="458">
        <v>120.78800201416</v>
      </c>
      <c r="O16" s="458">
        <v>93.665000915527301</v>
      </c>
    </row>
    <row r="17" spans="1:17" ht="11.25" customHeight="1">
      <c r="A17" s="174"/>
      <c r="C17" s="626" t="s">
        <v>165</v>
      </c>
      <c r="D17" s="627">
        <v>10.320900090666667</v>
      </c>
      <c r="E17" s="627">
        <v>9.1999998089999995</v>
      </c>
      <c r="F17" s="628">
        <f t="shared" si="0"/>
        <v>0.12183698966712311</v>
      </c>
      <c r="G17" s="138"/>
      <c r="H17" s="25"/>
      <c r="I17" s="3"/>
      <c r="L17" s="457">
        <v>14</v>
      </c>
      <c r="M17" s="458">
        <v>49.743000030517535</v>
      </c>
      <c r="N17" s="458">
        <v>125.66285814557708</v>
      </c>
      <c r="O17" s="458">
        <v>131.74585723876913</v>
      </c>
    </row>
    <row r="18" spans="1:17" ht="11.25" customHeight="1">
      <c r="A18" s="174"/>
      <c r="C18" s="623" t="s">
        <v>269</v>
      </c>
      <c r="D18" s="624">
        <v>10.956972376505487</v>
      </c>
      <c r="E18" s="624">
        <v>12.58312988</v>
      </c>
      <c r="F18" s="625">
        <f t="shared" si="0"/>
        <v>-0.12923314938353897</v>
      </c>
      <c r="G18" s="138"/>
      <c r="H18" s="25"/>
      <c r="I18" s="3"/>
      <c r="L18" s="457">
        <v>15</v>
      </c>
      <c r="M18" s="458">
        <v>54.414285387311615</v>
      </c>
      <c r="N18" s="458">
        <v>127.68985639299636</v>
      </c>
      <c r="O18" s="458">
        <v>71.706143515450577</v>
      </c>
    </row>
    <row r="19" spans="1:17" ht="11.25" customHeight="1">
      <c r="A19" s="174"/>
      <c r="C19" s="626" t="s">
        <v>270</v>
      </c>
      <c r="D19" s="627">
        <v>17.876999999999999</v>
      </c>
      <c r="E19" s="627">
        <v>17.516774611111117</v>
      </c>
      <c r="F19" s="628">
        <f t="shared" si="0"/>
        <v>2.0564595759563303E-2</v>
      </c>
      <c r="G19" s="138"/>
      <c r="H19" s="25"/>
      <c r="I19" s="3"/>
      <c r="K19" s="456">
        <v>16</v>
      </c>
      <c r="L19" s="457">
        <v>16</v>
      </c>
      <c r="M19" s="458">
        <v>47.73</v>
      </c>
      <c r="N19" s="458">
        <v>97.4</v>
      </c>
      <c r="O19" s="458">
        <v>53.49</v>
      </c>
      <c r="Q19" s="861"/>
    </row>
    <row r="20" spans="1:17" ht="11.25" customHeight="1">
      <c r="A20" s="174"/>
      <c r="C20" s="623" t="s">
        <v>271</v>
      </c>
      <c r="D20" s="624">
        <v>1.4471666733333337</v>
      </c>
      <c r="E20" s="624">
        <v>1.442999959</v>
      </c>
      <c r="F20" s="625">
        <f t="shared" si="0"/>
        <v>2.887536002579824E-3</v>
      </c>
      <c r="G20" s="138"/>
      <c r="H20" s="25"/>
      <c r="I20" s="3"/>
      <c r="L20" s="457">
        <v>17</v>
      </c>
      <c r="M20" s="458">
        <v>42.142857687813873</v>
      </c>
      <c r="N20" s="458">
        <v>85.487143380301248</v>
      </c>
      <c r="O20" s="458">
        <v>51.424428122384178</v>
      </c>
    </row>
    <row r="21" spans="1:17" ht="11.25" customHeight="1">
      <c r="A21" s="174"/>
      <c r="C21" s="626" t="s">
        <v>152</v>
      </c>
      <c r="D21" s="627">
        <v>95.857100425666644</v>
      </c>
      <c r="E21" s="627">
        <v>90.853996280000004</v>
      </c>
      <c r="F21" s="628">
        <f t="shared" si="0"/>
        <v>5.5067518772071784E-2</v>
      </c>
      <c r="G21" s="138"/>
      <c r="H21" s="25"/>
      <c r="I21" s="3"/>
      <c r="L21" s="457">
        <v>18</v>
      </c>
      <c r="M21" s="458">
        <v>27.452428545270582</v>
      </c>
      <c r="N21" s="458">
        <v>62.369998931884716</v>
      </c>
      <c r="O21" s="458">
        <v>34.353571755545424</v>
      </c>
    </row>
    <row r="22" spans="1:17" ht="11.25" customHeight="1">
      <c r="A22" s="174"/>
      <c r="C22" s="623" t="s">
        <v>150</v>
      </c>
      <c r="D22" s="624">
        <v>0.6</v>
      </c>
      <c r="E22" s="624">
        <v>0.93000000699999996</v>
      </c>
      <c r="F22" s="625">
        <f t="shared" si="0"/>
        <v>-0.35483871453347204</v>
      </c>
      <c r="G22" s="138"/>
      <c r="H22" s="25"/>
      <c r="I22" s="3"/>
      <c r="L22" s="457">
        <v>19</v>
      </c>
      <c r="M22" s="458">
        <v>21.857142584664455</v>
      </c>
      <c r="N22" s="458">
        <v>58.684285300118525</v>
      </c>
      <c r="O22" s="458">
        <v>29.207143238612552</v>
      </c>
    </row>
    <row r="23" spans="1:17" ht="11.25" customHeight="1">
      <c r="A23" s="174"/>
      <c r="C23" s="626" t="s">
        <v>151</v>
      </c>
      <c r="D23" s="627">
        <v>28.907699339633311</v>
      </c>
      <c r="E23" s="627">
        <v>26.368999479999999</v>
      </c>
      <c r="F23" s="628">
        <f t="shared" si="0"/>
        <v>9.6275926644802362E-2</v>
      </c>
      <c r="G23" s="138"/>
      <c r="H23" s="25"/>
      <c r="I23" s="3"/>
      <c r="K23" s="456">
        <v>20</v>
      </c>
      <c r="L23" s="457">
        <v>20</v>
      </c>
      <c r="M23" s="458">
        <v>19.5</v>
      </c>
      <c r="N23" s="458">
        <v>54</v>
      </c>
      <c r="O23" s="458">
        <v>22.1</v>
      </c>
    </row>
    <row r="24" spans="1:17" ht="11.25" customHeight="1">
      <c r="A24" s="174"/>
      <c r="C24" s="623" t="s">
        <v>167</v>
      </c>
      <c r="D24" s="624">
        <v>12.581933435066667</v>
      </c>
      <c r="E24" s="624">
        <v>0</v>
      </c>
      <c r="F24" s="625" t="str">
        <f t="shared" si="0"/>
        <v/>
      </c>
      <c r="G24" s="138"/>
      <c r="H24" s="26"/>
      <c r="I24" s="3"/>
      <c r="L24" s="457">
        <v>21</v>
      </c>
      <c r="M24" s="458">
        <v>19.485713958740185</v>
      </c>
      <c r="N24" s="458">
        <v>50.756999969482365</v>
      </c>
      <c r="O24" s="458">
        <v>17.473428726196214</v>
      </c>
    </row>
    <row r="25" spans="1:17" ht="11.25" customHeight="1">
      <c r="A25" s="138"/>
      <c r="C25" s="626" t="s">
        <v>157</v>
      </c>
      <c r="D25" s="627">
        <v>7.370072372500001</v>
      </c>
      <c r="E25" s="627">
        <v>5.0809998509999996</v>
      </c>
      <c r="F25" s="628">
        <f t="shared" si="0"/>
        <v>0.45051615599821077</v>
      </c>
      <c r="G25" s="158"/>
      <c r="H25" s="25"/>
      <c r="I25" s="3"/>
      <c r="L25" s="457">
        <v>22</v>
      </c>
      <c r="M25" s="458">
        <v>16.329999999999998</v>
      </c>
      <c r="N25" s="458">
        <v>46.59</v>
      </c>
      <c r="O25" s="458">
        <v>17.04</v>
      </c>
    </row>
    <row r="26" spans="1:17" ht="11.25" customHeight="1">
      <c r="A26" s="175"/>
      <c r="C26" s="623" t="s">
        <v>158</v>
      </c>
      <c r="D26" s="624">
        <v>0.85476667520000005</v>
      </c>
      <c r="E26" s="624">
        <v>5.8839998250000001</v>
      </c>
      <c r="F26" s="625">
        <f t="shared" si="0"/>
        <v>-0.85473033640003537</v>
      </c>
      <c r="G26" s="138"/>
      <c r="H26" s="23"/>
      <c r="I26" s="3"/>
      <c r="L26" s="457">
        <v>23</v>
      </c>
      <c r="M26" s="458">
        <v>15.18</v>
      </c>
      <c r="N26" s="458">
        <v>40.29</v>
      </c>
      <c r="O26" s="458">
        <v>22.12</v>
      </c>
    </row>
    <row r="27" spans="1:17" ht="11.25" customHeight="1">
      <c r="A27" s="138"/>
      <c r="C27" s="626" t="s">
        <v>159</v>
      </c>
      <c r="D27" s="627">
        <v>8.2999999000000022E-3</v>
      </c>
      <c r="E27" s="627">
        <v>1</v>
      </c>
      <c r="F27" s="628">
        <f t="shared" si="0"/>
        <v>-0.99170000010000003</v>
      </c>
      <c r="G27" s="138"/>
      <c r="H27" s="23"/>
      <c r="I27" s="3"/>
      <c r="K27" s="456">
        <v>24</v>
      </c>
      <c r="L27" s="457">
        <v>24</v>
      </c>
      <c r="M27" s="458">
        <v>15.1</v>
      </c>
      <c r="N27" s="458">
        <v>35.630000000000003</v>
      </c>
      <c r="O27" s="458">
        <v>13.87</v>
      </c>
    </row>
    <row r="28" spans="1:17" ht="11.25" customHeight="1">
      <c r="A28" s="138"/>
      <c r="C28" s="623" t="s">
        <v>160</v>
      </c>
      <c r="D28" s="624">
        <v>0</v>
      </c>
      <c r="E28" s="624">
        <v>0</v>
      </c>
      <c r="F28" s="625" t="str">
        <f t="shared" si="0"/>
        <v/>
      </c>
      <c r="G28" s="138"/>
      <c r="H28" s="23"/>
      <c r="I28" s="3"/>
      <c r="L28" s="457">
        <v>25</v>
      </c>
      <c r="M28" s="458">
        <v>18.016999930000001</v>
      </c>
      <c r="N28" s="458">
        <v>34.608428410000002</v>
      </c>
      <c r="O28" s="458">
        <v>10.78285721</v>
      </c>
    </row>
    <row r="29" spans="1:17" ht="11.25" customHeight="1">
      <c r="A29" s="158"/>
      <c r="C29" s="626" t="s">
        <v>162</v>
      </c>
      <c r="D29" s="627">
        <v>3.0285910435000005</v>
      </c>
      <c r="E29" s="627">
        <v>1.2999999520000001</v>
      </c>
      <c r="F29" s="628">
        <f t="shared" si="0"/>
        <v>1.3296855040960804</v>
      </c>
      <c r="G29" s="176"/>
      <c r="H29" s="23"/>
      <c r="I29" s="3"/>
      <c r="L29" s="457">
        <v>26</v>
      </c>
      <c r="M29" s="458">
        <v>16.489714209999999</v>
      </c>
      <c r="N29" s="458">
        <v>34.074285510000003</v>
      </c>
      <c r="O29" s="458">
        <v>9.5958572120000003</v>
      </c>
    </row>
    <row r="30" spans="1:17" ht="11.25" customHeight="1">
      <c r="A30" s="175"/>
      <c r="C30" s="629" t="s">
        <v>153</v>
      </c>
      <c r="D30" s="630">
        <v>1</v>
      </c>
      <c r="E30" s="630">
        <v>1</v>
      </c>
      <c r="F30" s="631">
        <f t="shared" si="0"/>
        <v>0</v>
      </c>
      <c r="G30" s="138"/>
      <c r="H30" s="25"/>
      <c r="I30" s="3"/>
      <c r="L30" s="457">
        <v>27</v>
      </c>
      <c r="M30" s="458">
        <v>16.199999810000001</v>
      </c>
      <c r="N30" s="458">
        <v>29.599571770000001</v>
      </c>
      <c r="O30" s="458">
        <v>7.8892858370000001</v>
      </c>
    </row>
    <row r="31" spans="1:17" ht="11.25" customHeight="1">
      <c r="A31" s="137"/>
      <c r="C31" s="274" t="str">
        <f>"Cuadro N°10: Promedio de caudales en "&amp;'1. Resumen'!Q4</f>
        <v>Cuadro N°10: Promedio de caudales en julio</v>
      </c>
      <c r="D31" s="137"/>
      <c r="E31" s="137"/>
      <c r="F31" s="137"/>
      <c r="G31" s="137"/>
      <c r="H31" s="25"/>
      <c r="I31" s="6"/>
      <c r="K31" s="456">
        <v>28</v>
      </c>
      <c r="L31" s="457">
        <v>28</v>
      </c>
      <c r="M31" s="458">
        <v>12.016285760000001</v>
      </c>
      <c r="N31" s="458">
        <v>29.3955713</v>
      </c>
      <c r="O31" s="458">
        <v>7.2334286140000001</v>
      </c>
    </row>
    <row r="32" spans="1:17" ht="11.25" customHeight="1">
      <c r="A32" s="137"/>
      <c r="B32" s="137"/>
      <c r="C32" s="137"/>
      <c r="D32" s="137"/>
      <c r="E32" s="137"/>
      <c r="F32" s="137"/>
      <c r="G32" s="137"/>
      <c r="H32" s="25"/>
      <c r="I32" s="6"/>
      <c r="L32" s="457">
        <v>29</v>
      </c>
      <c r="M32" s="458">
        <v>10.423571450000001</v>
      </c>
      <c r="N32" s="458">
        <v>32.468857079999999</v>
      </c>
      <c r="O32" s="458">
        <v>6.729428564</v>
      </c>
    </row>
    <row r="33" spans="1:15" ht="11.25" customHeight="1">
      <c r="A33" s="137"/>
      <c r="B33" s="137"/>
      <c r="C33" s="137"/>
      <c r="D33" s="137"/>
      <c r="E33" s="137"/>
      <c r="F33" s="137"/>
      <c r="G33" s="137"/>
      <c r="H33" s="25"/>
      <c r="I33" s="6"/>
      <c r="L33" s="457">
        <v>30</v>
      </c>
      <c r="M33" s="458">
        <v>10.043285640000001</v>
      </c>
      <c r="N33" s="458">
        <v>32.112285890000003</v>
      </c>
      <c r="O33" s="458">
        <v>5.6338571819999999</v>
      </c>
    </row>
    <row r="34" spans="1:15" ht="11.25" customHeight="1">
      <c r="A34" s="137"/>
      <c r="B34" s="137"/>
      <c r="C34" s="137"/>
      <c r="D34" s="137"/>
      <c r="E34" s="137"/>
      <c r="F34" s="137"/>
      <c r="G34" s="137"/>
      <c r="H34" s="25"/>
      <c r="I34" s="6"/>
      <c r="L34" s="457">
        <v>31</v>
      </c>
      <c r="M34" s="458">
        <v>10.086428642272944</v>
      </c>
      <c r="N34" s="458">
        <v>29.132714407784558</v>
      </c>
      <c r="O34" s="458">
        <v>5.181999887738904</v>
      </c>
    </row>
    <row r="35" spans="1:15" ht="17.25" customHeight="1">
      <c r="A35" s="966" t="s">
        <v>448</v>
      </c>
      <c r="B35" s="966"/>
      <c r="C35" s="966"/>
      <c r="D35" s="966"/>
      <c r="E35" s="966"/>
      <c r="F35" s="966"/>
      <c r="G35" s="966"/>
      <c r="H35" s="25"/>
      <c r="I35" s="6"/>
      <c r="K35" s="456">
        <v>32</v>
      </c>
      <c r="L35" s="457">
        <v>32</v>
      </c>
      <c r="M35" s="458">
        <v>12.08228561</v>
      </c>
      <c r="N35" s="458">
        <v>34.150143489999998</v>
      </c>
      <c r="O35" s="458">
        <v>4.8032856669999999</v>
      </c>
    </row>
    <row r="36" spans="1:15" ht="11.25" customHeight="1">
      <c r="A36" s="137"/>
      <c r="B36" s="137"/>
      <c r="C36" s="137"/>
      <c r="D36" s="137"/>
      <c r="E36" s="137"/>
      <c r="F36" s="137"/>
      <c r="G36" s="137"/>
      <c r="H36" s="25"/>
      <c r="I36" s="6"/>
      <c r="L36" s="457">
        <v>33</v>
      </c>
      <c r="M36" s="458">
        <v>11.874000004359614</v>
      </c>
      <c r="N36" s="458">
        <v>35.225571223667643</v>
      </c>
      <c r="O36" s="458">
        <v>4.3821428843906904</v>
      </c>
    </row>
    <row r="37" spans="1:15" ht="11.25" customHeight="1">
      <c r="A37" s="136"/>
      <c r="B37" s="138"/>
      <c r="C37" s="138"/>
      <c r="D37" s="138"/>
      <c r="E37" s="138"/>
      <c r="F37" s="138"/>
      <c r="G37" s="138"/>
      <c r="H37" s="26"/>
      <c r="I37" s="6"/>
      <c r="L37" s="457">
        <v>34</v>
      </c>
      <c r="M37" s="458">
        <v>10.842857090000001</v>
      </c>
      <c r="N37" s="458">
        <v>35.168570930000001</v>
      </c>
      <c r="O37" s="458">
        <v>13.837000059999999</v>
      </c>
    </row>
    <row r="38" spans="1:15" ht="11.25" customHeight="1">
      <c r="A38" s="74"/>
      <c r="B38" s="73"/>
      <c r="C38" s="73"/>
      <c r="D38" s="73"/>
      <c r="E38" s="73"/>
      <c r="F38" s="73"/>
      <c r="G38" s="73"/>
      <c r="H38" s="3"/>
      <c r="I38" s="6"/>
      <c r="L38" s="457">
        <v>35</v>
      </c>
      <c r="M38" s="458">
        <v>10.48142842</v>
      </c>
      <c r="N38" s="458">
        <v>37.824428560000001</v>
      </c>
      <c r="O38" s="458">
        <v>3.922857182</v>
      </c>
    </row>
    <row r="39" spans="1:15" ht="11.25" customHeight="1">
      <c r="A39" s="74"/>
      <c r="B39" s="73"/>
      <c r="C39" s="73"/>
      <c r="D39" s="73"/>
      <c r="E39" s="73"/>
      <c r="F39" s="73"/>
      <c r="G39" s="73"/>
      <c r="H39" s="3"/>
      <c r="I39" s="10"/>
      <c r="K39" s="456">
        <v>36</v>
      </c>
      <c r="L39" s="457">
        <v>36</v>
      </c>
      <c r="M39" s="458">
        <v>11.85</v>
      </c>
      <c r="N39" s="458">
        <v>39.78</v>
      </c>
      <c r="O39" s="458">
        <v>4.9800000000000004</v>
      </c>
    </row>
    <row r="40" spans="1:15" ht="11.25" customHeight="1">
      <c r="A40" s="74"/>
      <c r="B40" s="73"/>
      <c r="C40" s="73"/>
      <c r="D40" s="73"/>
      <c r="E40" s="73"/>
      <c r="F40" s="73"/>
      <c r="G40" s="73"/>
      <c r="H40" s="3"/>
      <c r="I40" s="10"/>
      <c r="L40" s="457">
        <v>37</v>
      </c>
      <c r="M40" s="458">
        <v>12.08</v>
      </c>
      <c r="N40" s="458">
        <v>44.25</v>
      </c>
      <c r="O40" s="458">
        <v>4.92</v>
      </c>
    </row>
    <row r="41" spans="1:15" ht="11.25" customHeight="1">
      <c r="A41" s="74"/>
      <c r="B41" s="73"/>
      <c r="C41" s="73"/>
      <c r="D41" s="73"/>
      <c r="E41" s="73"/>
      <c r="F41" s="73"/>
      <c r="G41" s="73"/>
      <c r="H41" s="3"/>
      <c r="I41" s="7"/>
      <c r="L41" s="457">
        <v>38</v>
      </c>
      <c r="M41" s="458">
        <v>11.88371427</v>
      </c>
      <c r="N41" s="458">
        <v>41.311858039999997</v>
      </c>
      <c r="O41" s="458">
        <v>4.6447142870000002</v>
      </c>
    </row>
    <row r="42" spans="1:15" ht="11.25" customHeight="1">
      <c r="A42" s="74"/>
      <c r="B42" s="73"/>
      <c r="C42" s="73"/>
      <c r="D42" s="73"/>
      <c r="E42" s="73"/>
      <c r="F42" s="73"/>
      <c r="G42" s="73"/>
      <c r="H42" s="3"/>
      <c r="I42" s="7"/>
      <c r="K42" s="456">
        <v>39</v>
      </c>
      <c r="L42" s="457">
        <v>39</v>
      </c>
      <c r="M42" s="458">
        <v>13.06</v>
      </c>
      <c r="N42" s="458">
        <v>41.13</v>
      </c>
      <c r="O42" s="458">
        <v>4.2699999999999996</v>
      </c>
    </row>
    <row r="43" spans="1:15" ht="11.25" customHeight="1">
      <c r="A43" s="74"/>
      <c r="B43" s="73"/>
      <c r="C43" s="73"/>
      <c r="D43" s="73"/>
      <c r="E43" s="73"/>
      <c r="F43" s="73"/>
      <c r="G43" s="73"/>
      <c r="H43" s="3"/>
      <c r="I43" s="7"/>
      <c r="L43" s="457">
        <v>40</v>
      </c>
      <c r="M43" s="458">
        <v>15.945571764285715</v>
      </c>
      <c r="N43" s="458">
        <v>46.466000694285704</v>
      </c>
      <c r="O43" s="458">
        <v>5.3634285927142864</v>
      </c>
    </row>
    <row r="44" spans="1:15" ht="11.25" customHeight="1">
      <c r="A44" s="74"/>
      <c r="B44" s="73"/>
      <c r="C44" s="73"/>
      <c r="D44" s="73"/>
      <c r="E44" s="73"/>
      <c r="F44" s="73"/>
      <c r="G44" s="73"/>
      <c r="H44" s="6"/>
      <c r="I44" s="10"/>
      <c r="L44" s="457">
        <v>41</v>
      </c>
      <c r="M44" s="458">
        <v>15.848856789725129</v>
      </c>
      <c r="N44" s="458">
        <v>37.273714882986837</v>
      </c>
      <c r="O44" s="458">
        <v>6.9682856968470812</v>
      </c>
    </row>
    <row r="45" spans="1:15" ht="11.25" customHeight="1">
      <c r="A45" s="74"/>
      <c r="B45" s="73"/>
      <c r="C45" s="73"/>
      <c r="D45" s="73"/>
      <c r="E45" s="73"/>
      <c r="F45" s="73"/>
      <c r="G45" s="73"/>
      <c r="H45" s="3"/>
      <c r="I45" s="10"/>
      <c r="L45" s="457">
        <v>42</v>
      </c>
      <c r="M45" s="458">
        <v>15.549142972857144</v>
      </c>
      <c r="N45" s="458">
        <v>48.572000228571433</v>
      </c>
      <c r="O45" s="458">
        <v>11.100428648285714</v>
      </c>
    </row>
    <row r="46" spans="1:15" ht="11.25" customHeight="1">
      <c r="A46" s="74"/>
      <c r="B46" s="73"/>
      <c r="C46" s="73"/>
      <c r="D46" s="73"/>
      <c r="E46" s="73"/>
      <c r="F46" s="73"/>
      <c r="G46" s="73"/>
      <c r="H46" s="3"/>
      <c r="I46" s="10"/>
      <c r="K46" s="456">
        <v>43</v>
      </c>
      <c r="L46" s="457">
        <v>43</v>
      </c>
      <c r="M46" s="458">
        <v>13.17</v>
      </c>
      <c r="N46" s="458">
        <v>35.32</v>
      </c>
      <c r="O46" s="458">
        <v>6.01</v>
      </c>
    </row>
    <row r="47" spans="1:15" ht="11.25" customHeight="1">
      <c r="A47" s="74"/>
      <c r="B47" s="73"/>
      <c r="C47" s="73"/>
      <c r="D47" s="73"/>
      <c r="E47" s="73"/>
      <c r="F47" s="73"/>
      <c r="G47" s="73"/>
      <c r="H47" s="11"/>
      <c r="I47" s="11"/>
      <c r="L47" s="457">
        <v>44</v>
      </c>
      <c r="M47" s="458">
        <v>13.18</v>
      </c>
      <c r="N47" s="458">
        <v>36.83</v>
      </c>
      <c r="O47" s="458">
        <v>4.57</v>
      </c>
    </row>
    <row r="48" spans="1:15" ht="11.25" customHeight="1">
      <c r="A48" s="74"/>
      <c r="B48" s="73"/>
      <c r="C48" s="73"/>
      <c r="D48" s="73"/>
      <c r="E48" s="73"/>
      <c r="F48" s="73"/>
      <c r="G48" s="73"/>
      <c r="H48" s="11"/>
      <c r="I48" s="11"/>
      <c r="L48" s="457">
        <v>45</v>
      </c>
      <c r="M48" s="458">
        <v>13.49</v>
      </c>
      <c r="N48" s="458">
        <v>39.520000000000003</v>
      </c>
      <c r="O48" s="458">
        <v>4.83</v>
      </c>
    </row>
    <row r="49" spans="1:15" ht="11.25" customHeight="1">
      <c r="A49" s="74"/>
      <c r="B49" s="73"/>
      <c r="C49" s="73"/>
      <c r="D49" s="73"/>
      <c r="E49" s="73"/>
      <c r="F49" s="73"/>
      <c r="G49" s="73"/>
      <c r="H49" s="11"/>
      <c r="I49" s="11"/>
      <c r="L49" s="457">
        <v>46</v>
      </c>
      <c r="M49" s="458">
        <v>15.4</v>
      </c>
      <c r="N49" s="458">
        <v>53.38</v>
      </c>
      <c r="O49" s="458">
        <v>3.73</v>
      </c>
    </row>
    <row r="50" spans="1:15" ht="11.25" customHeight="1">
      <c r="A50" s="74"/>
      <c r="B50" s="73"/>
      <c r="C50" s="73"/>
      <c r="D50" s="73"/>
      <c r="E50" s="73"/>
      <c r="F50" s="73"/>
      <c r="G50" s="73"/>
      <c r="H50" s="11"/>
      <c r="I50" s="11"/>
      <c r="L50" s="457">
        <v>47</v>
      </c>
      <c r="M50" s="458">
        <v>16.408999999999999</v>
      </c>
      <c r="N50" s="458">
        <v>61.853000000000002</v>
      </c>
      <c r="O50" s="458">
        <v>2.5211429999999999</v>
      </c>
    </row>
    <row r="51" spans="1:15" ht="11.25" customHeight="1">
      <c r="A51" s="74"/>
      <c r="B51" s="73"/>
      <c r="C51" s="73"/>
      <c r="D51" s="73"/>
      <c r="E51" s="73"/>
      <c r="F51" s="73"/>
      <c r="G51" s="73"/>
      <c r="H51" s="11"/>
      <c r="I51" s="11"/>
      <c r="K51" s="456">
        <v>48</v>
      </c>
      <c r="L51" s="457">
        <v>48</v>
      </c>
      <c r="M51" s="458">
        <v>16.328857422857144</v>
      </c>
      <c r="N51" s="458">
        <v>65.330427987142869</v>
      </c>
      <c r="O51" s="458">
        <v>3.571428503285714</v>
      </c>
    </row>
    <row r="52" spans="1:15" ht="11.25" customHeight="1">
      <c r="A52" s="74"/>
      <c r="B52" s="73"/>
      <c r="C52" s="73"/>
      <c r="D52" s="73"/>
      <c r="E52" s="73"/>
      <c r="F52" s="73"/>
      <c r="G52" s="73"/>
      <c r="H52" s="11"/>
      <c r="I52" s="11"/>
      <c r="L52" s="457">
        <v>49</v>
      </c>
      <c r="M52" s="458">
        <v>20.236285890000001</v>
      </c>
      <c r="N52" s="458">
        <v>66.680000000000007</v>
      </c>
      <c r="O52" s="458">
        <v>6.1</v>
      </c>
    </row>
    <row r="53" spans="1:15" ht="11.25" customHeight="1">
      <c r="A53" s="74"/>
      <c r="B53" s="73"/>
      <c r="C53" s="73"/>
      <c r="D53" s="73"/>
      <c r="E53" s="73"/>
      <c r="F53" s="73"/>
      <c r="G53" s="73"/>
      <c r="H53" s="11"/>
      <c r="I53" s="11"/>
      <c r="L53" s="457">
        <v>50</v>
      </c>
      <c r="M53" s="458">
        <v>19.809999999999999</v>
      </c>
      <c r="N53" s="458">
        <v>61.31</v>
      </c>
      <c r="O53" s="458">
        <v>6.69</v>
      </c>
    </row>
    <row r="54" spans="1:15" ht="11.25" customHeight="1">
      <c r="A54" s="74"/>
      <c r="B54" s="73"/>
      <c r="C54" s="73"/>
      <c r="D54" s="73"/>
      <c r="E54" s="73"/>
      <c r="F54" s="73"/>
      <c r="G54" s="73"/>
      <c r="H54" s="11"/>
      <c r="I54" s="11"/>
      <c r="L54" s="457">
        <v>51</v>
      </c>
      <c r="M54" s="458">
        <v>21.91</v>
      </c>
      <c r="N54" s="458">
        <v>70.790000000000006</v>
      </c>
      <c r="O54" s="458">
        <v>13.15</v>
      </c>
    </row>
    <row r="55" spans="1:15" ht="12.75">
      <c r="A55" s="74"/>
      <c r="B55" s="73"/>
      <c r="C55" s="73"/>
      <c r="D55" s="73"/>
      <c r="E55" s="73"/>
      <c r="F55" s="73"/>
      <c r="G55" s="73"/>
      <c r="H55" s="11"/>
      <c r="I55" s="11"/>
      <c r="L55" s="457">
        <v>52</v>
      </c>
      <c r="M55" s="458">
        <v>22</v>
      </c>
      <c r="N55" s="458">
        <v>77.434859137142865</v>
      </c>
      <c r="O55" s="458">
        <v>17.75700037857143</v>
      </c>
    </row>
    <row r="56" spans="1:15" ht="12.75">
      <c r="A56" s="74"/>
      <c r="B56" s="73"/>
      <c r="C56" s="73"/>
      <c r="D56" s="73"/>
      <c r="E56" s="73"/>
      <c r="F56" s="73"/>
      <c r="G56" s="73"/>
      <c r="H56" s="11"/>
      <c r="I56" s="11"/>
      <c r="J56" s="25">
        <v>2017</v>
      </c>
      <c r="K56" s="456">
        <v>1</v>
      </c>
      <c r="L56" s="457">
        <v>1</v>
      </c>
      <c r="M56" s="458">
        <v>41.55</v>
      </c>
      <c r="N56" s="458">
        <v>103.58</v>
      </c>
      <c r="O56" s="458">
        <v>29.67</v>
      </c>
    </row>
    <row r="57" spans="1:15" ht="12.75">
      <c r="A57" s="74"/>
      <c r="B57" s="73"/>
      <c r="C57" s="73"/>
      <c r="D57" s="73"/>
      <c r="E57" s="73"/>
      <c r="F57" s="73"/>
      <c r="G57" s="73"/>
      <c r="H57" s="11"/>
      <c r="I57" s="11"/>
      <c r="L57" s="457">
        <v>2</v>
      </c>
      <c r="M57" s="458">
        <v>39.6</v>
      </c>
      <c r="N57" s="458">
        <v>105.01</v>
      </c>
      <c r="O57" s="458">
        <v>51.2</v>
      </c>
    </row>
    <row r="58" spans="1:15" ht="12.75">
      <c r="A58" s="74"/>
      <c r="B58" s="73"/>
      <c r="C58" s="73"/>
      <c r="D58" s="73"/>
      <c r="E58" s="73"/>
      <c r="F58" s="73"/>
      <c r="G58" s="73"/>
      <c r="H58" s="11"/>
      <c r="I58" s="11"/>
      <c r="L58" s="457">
        <v>3</v>
      </c>
      <c r="M58" s="458">
        <v>73.650000000000006</v>
      </c>
      <c r="N58" s="458">
        <v>137.41</v>
      </c>
      <c r="O58" s="458">
        <v>43.26</v>
      </c>
    </row>
    <row r="59" spans="1:15" ht="12.75">
      <c r="A59" s="74"/>
      <c r="B59" s="73"/>
      <c r="C59" s="73"/>
      <c r="D59" s="73"/>
      <c r="E59" s="73"/>
      <c r="F59" s="73"/>
      <c r="G59" s="73"/>
      <c r="H59" s="11"/>
      <c r="I59" s="11"/>
      <c r="K59" s="456">
        <v>4</v>
      </c>
      <c r="L59" s="457">
        <v>4</v>
      </c>
      <c r="M59" s="458">
        <v>65.03</v>
      </c>
      <c r="N59" s="458">
        <v>127.83</v>
      </c>
      <c r="O59" s="458">
        <v>32.72</v>
      </c>
    </row>
    <row r="60" spans="1:15" ht="12.75">
      <c r="A60" s="74"/>
      <c r="B60" s="73"/>
      <c r="C60" s="73"/>
      <c r="D60" s="73"/>
      <c r="E60" s="73"/>
      <c r="F60" s="73"/>
      <c r="G60" s="73"/>
      <c r="H60" s="11"/>
      <c r="I60" s="11"/>
      <c r="L60" s="457">
        <v>5</v>
      </c>
      <c r="M60" s="458">
        <v>56.95</v>
      </c>
      <c r="N60" s="458">
        <v>97.31</v>
      </c>
      <c r="O60" s="458">
        <v>48.46</v>
      </c>
    </row>
    <row r="61" spans="1:15" ht="12.75">
      <c r="A61" s="274" t="s">
        <v>515</v>
      </c>
      <c r="B61" s="73"/>
      <c r="C61" s="73"/>
      <c r="D61" s="73"/>
      <c r="E61" s="73"/>
      <c r="F61" s="73"/>
      <c r="G61" s="73"/>
      <c r="H61" s="11"/>
      <c r="I61" s="11"/>
      <c r="L61" s="457">
        <v>6</v>
      </c>
      <c r="M61" s="458">
        <v>61.87</v>
      </c>
      <c r="N61" s="458">
        <v>123.44</v>
      </c>
      <c r="O61" s="458">
        <v>72.52</v>
      </c>
    </row>
    <row r="62" spans="1:15">
      <c r="L62" s="457">
        <v>7</v>
      </c>
      <c r="M62" s="458">
        <v>77.569999999999993</v>
      </c>
      <c r="N62" s="458">
        <v>145.02000000000001</v>
      </c>
      <c r="O62" s="458">
        <v>59.16</v>
      </c>
    </row>
    <row r="63" spans="1:15">
      <c r="K63" s="456">
        <v>8</v>
      </c>
      <c r="L63" s="457">
        <v>8</v>
      </c>
      <c r="M63" s="458">
        <v>86.94</v>
      </c>
      <c r="N63" s="458">
        <v>175.03</v>
      </c>
      <c r="O63" s="458">
        <v>24.36</v>
      </c>
    </row>
    <row r="64" spans="1:15">
      <c r="L64" s="457">
        <v>9</v>
      </c>
      <c r="M64" s="458">
        <v>85.13</v>
      </c>
      <c r="N64" s="458">
        <v>206.14</v>
      </c>
      <c r="O64" s="458">
        <v>39.07</v>
      </c>
    </row>
    <row r="65" spans="11:15">
      <c r="L65" s="457">
        <v>10</v>
      </c>
      <c r="M65" s="458">
        <v>84.78</v>
      </c>
      <c r="N65" s="458">
        <v>270.17</v>
      </c>
      <c r="O65" s="458">
        <v>109.16</v>
      </c>
    </row>
    <row r="66" spans="11:15">
      <c r="L66" s="457">
        <v>11</v>
      </c>
      <c r="M66" s="458">
        <v>84.78</v>
      </c>
      <c r="N66" s="458">
        <v>376.42</v>
      </c>
      <c r="O66" s="458">
        <v>188.18</v>
      </c>
    </row>
    <row r="67" spans="11:15">
      <c r="K67" s="456">
        <v>12</v>
      </c>
      <c r="L67" s="457">
        <v>12</v>
      </c>
      <c r="M67" s="458">
        <v>106.16</v>
      </c>
      <c r="N67" s="458">
        <v>351.57</v>
      </c>
      <c r="O67" s="458">
        <v>159.6</v>
      </c>
    </row>
    <row r="68" spans="11:15">
      <c r="L68" s="457">
        <v>13</v>
      </c>
      <c r="M68" s="458">
        <v>101.71</v>
      </c>
      <c r="N68" s="458">
        <v>384.37</v>
      </c>
      <c r="O68" s="458">
        <v>161.77000000000001</v>
      </c>
    </row>
    <row r="69" spans="11:15">
      <c r="L69" s="457">
        <v>14</v>
      </c>
      <c r="M69" s="458">
        <v>83.1</v>
      </c>
      <c r="N69" s="458">
        <v>337.84</v>
      </c>
      <c r="O69" s="458">
        <v>115.43</v>
      </c>
    </row>
    <row r="70" spans="11:15">
      <c r="L70" s="457">
        <v>15</v>
      </c>
      <c r="M70" s="458">
        <v>61.23</v>
      </c>
      <c r="N70" s="458">
        <v>282.32</v>
      </c>
      <c r="O70" s="458">
        <v>98.92</v>
      </c>
    </row>
    <row r="71" spans="11:15">
      <c r="K71" s="456">
        <v>16</v>
      </c>
      <c r="L71" s="457">
        <v>16</v>
      </c>
      <c r="M71" s="458">
        <v>49.8</v>
      </c>
      <c r="N71" s="458">
        <v>191.65</v>
      </c>
      <c r="O71" s="458">
        <v>82.48</v>
      </c>
    </row>
    <row r="72" spans="11:15">
      <c r="L72" s="457">
        <v>17</v>
      </c>
      <c r="M72" s="458">
        <v>40.21</v>
      </c>
      <c r="N72" s="458">
        <v>160.35</v>
      </c>
      <c r="O72" s="458">
        <v>77.02</v>
      </c>
    </row>
    <row r="73" spans="11:15">
      <c r="L73" s="457">
        <v>18</v>
      </c>
      <c r="M73" s="458">
        <v>43.46</v>
      </c>
      <c r="N73" s="458">
        <v>136.65</v>
      </c>
      <c r="O73" s="458">
        <v>62.63</v>
      </c>
    </row>
    <row r="74" spans="11:15">
      <c r="L74" s="457">
        <v>19</v>
      </c>
      <c r="M74" s="458">
        <v>35.65</v>
      </c>
      <c r="N74" s="458">
        <v>135.97</v>
      </c>
      <c r="O74" s="458">
        <v>93.03</v>
      </c>
    </row>
    <row r="75" spans="11:15">
      <c r="K75" s="456">
        <v>20</v>
      </c>
      <c r="L75" s="457">
        <v>20</v>
      </c>
      <c r="M75" s="458">
        <v>26.22</v>
      </c>
      <c r="N75" s="458">
        <v>135.66</v>
      </c>
      <c r="O75" s="458">
        <v>72.349999999999994</v>
      </c>
    </row>
    <row r="76" spans="11:15">
      <c r="L76" s="457">
        <v>21</v>
      </c>
      <c r="M76" s="458">
        <v>27.95</v>
      </c>
      <c r="N76" s="458">
        <v>113.82</v>
      </c>
      <c r="O76" s="458">
        <v>90.75</v>
      </c>
    </row>
    <row r="77" spans="11:15">
      <c r="L77" s="457">
        <v>22</v>
      </c>
      <c r="M77" s="458">
        <v>32.409999999999997</v>
      </c>
      <c r="N77" s="458">
        <v>64.03</v>
      </c>
      <c r="O77" s="458">
        <v>53.02</v>
      </c>
    </row>
    <row r="78" spans="11:15">
      <c r="L78" s="457">
        <v>23</v>
      </c>
      <c r="M78" s="458">
        <v>28.93</v>
      </c>
      <c r="N78" s="458">
        <v>53.15</v>
      </c>
      <c r="O78" s="458">
        <v>32.43</v>
      </c>
    </row>
    <row r="79" spans="11:15">
      <c r="K79" s="456">
        <v>24</v>
      </c>
      <c r="L79" s="457">
        <v>24</v>
      </c>
      <c r="M79" s="458">
        <v>26.59</v>
      </c>
      <c r="N79" s="458">
        <v>45.98</v>
      </c>
      <c r="O79" s="458">
        <v>27.75</v>
      </c>
    </row>
    <row r="80" spans="11:15">
      <c r="L80" s="457">
        <v>25</v>
      </c>
      <c r="M80" s="458">
        <v>23.61</v>
      </c>
      <c r="N80" s="458">
        <v>38.68</v>
      </c>
      <c r="O80" s="458">
        <v>24.81</v>
      </c>
    </row>
    <row r="81" spans="11:15">
      <c r="L81" s="457">
        <v>26</v>
      </c>
      <c r="M81" s="458">
        <v>24.94</v>
      </c>
      <c r="N81" s="458">
        <v>34.68</v>
      </c>
      <c r="O81" s="458">
        <v>21.81</v>
      </c>
    </row>
    <row r="82" spans="11:15">
      <c r="L82" s="457">
        <v>27</v>
      </c>
      <c r="M82" s="458">
        <v>25.54</v>
      </c>
      <c r="N82" s="458">
        <v>31.72</v>
      </c>
      <c r="O82" s="458">
        <v>18.649999999999999</v>
      </c>
    </row>
    <row r="83" spans="11:15">
      <c r="K83" s="456">
        <v>28</v>
      </c>
      <c r="L83" s="457">
        <v>28</v>
      </c>
      <c r="M83" s="458">
        <v>23.56</v>
      </c>
      <c r="N83" s="458">
        <v>29.25</v>
      </c>
      <c r="O83" s="458">
        <v>14.27</v>
      </c>
    </row>
    <row r="84" spans="11:15">
      <c r="L84" s="457">
        <v>29</v>
      </c>
      <c r="M84" s="458">
        <v>22.4</v>
      </c>
      <c r="N84" s="458">
        <v>29.53</v>
      </c>
      <c r="O84" s="458">
        <v>11.51</v>
      </c>
    </row>
    <row r="85" spans="11:15">
      <c r="L85" s="457">
        <v>30</v>
      </c>
      <c r="M85" s="458">
        <v>21.29</v>
      </c>
      <c r="N85" s="458">
        <v>27.62</v>
      </c>
      <c r="O85" s="458">
        <v>9.7200000000000006</v>
      </c>
    </row>
    <row r="86" spans="11:15">
      <c r="L86" s="457">
        <v>31</v>
      </c>
      <c r="M86" s="458">
        <v>19.34</v>
      </c>
      <c r="N86" s="458">
        <v>27.99</v>
      </c>
      <c r="O86" s="458">
        <v>8.09</v>
      </c>
    </row>
    <row r="87" spans="11:15">
      <c r="K87" s="456">
        <v>32</v>
      </c>
      <c r="L87" s="457">
        <v>32</v>
      </c>
      <c r="M87" s="458">
        <v>19.649999999999999</v>
      </c>
      <c r="N87" s="458">
        <v>31.42</v>
      </c>
      <c r="O87" s="458">
        <v>7.62</v>
      </c>
    </row>
    <row r="88" spans="11:15">
      <c r="L88" s="457">
        <v>33</v>
      </c>
      <c r="M88" s="458">
        <v>18.420000000000002</v>
      </c>
      <c r="N88" s="458">
        <v>29.71</v>
      </c>
      <c r="O88" s="458">
        <v>9.5500000000000007</v>
      </c>
    </row>
    <row r="89" spans="11:15">
      <c r="L89" s="457">
        <v>34</v>
      </c>
      <c r="M89" s="458">
        <v>17.170000000000002</v>
      </c>
      <c r="N89" s="458">
        <v>30.51</v>
      </c>
      <c r="O89" s="458">
        <v>10.75</v>
      </c>
    </row>
    <row r="90" spans="11:15">
      <c r="L90" s="457">
        <v>35</v>
      </c>
      <c r="M90" s="458">
        <v>17.47</v>
      </c>
      <c r="N90" s="458">
        <v>27.5</v>
      </c>
      <c r="O90" s="458">
        <v>8.31</v>
      </c>
    </row>
    <row r="91" spans="11:15">
      <c r="K91" s="456">
        <v>36</v>
      </c>
      <c r="L91" s="457">
        <v>36</v>
      </c>
      <c r="M91" s="458">
        <v>13.42</v>
      </c>
      <c r="N91" s="458">
        <v>26.21</v>
      </c>
      <c r="O91" s="458">
        <v>6.53</v>
      </c>
    </row>
    <row r="92" spans="11:15">
      <c r="L92" s="457">
        <v>37</v>
      </c>
      <c r="M92" s="458">
        <v>11.2</v>
      </c>
      <c r="N92" s="458">
        <v>29.98</v>
      </c>
      <c r="O92" s="458">
        <v>9.7799999999999994</v>
      </c>
    </row>
    <row r="93" spans="11:15">
      <c r="L93" s="457">
        <v>38</v>
      </c>
      <c r="M93" s="458">
        <v>11</v>
      </c>
      <c r="N93" s="458">
        <v>34.369999999999997</v>
      </c>
      <c r="O93" s="458">
        <v>7.47</v>
      </c>
    </row>
    <row r="94" spans="11:15">
      <c r="K94" s="456">
        <v>39</v>
      </c>
      <c r="L94" s="457">
        <v>39</v>
      </c>
      <c r="M94" s="458">
        <v>11.14</v>
      </c>
      <c r="N94" s="458">
        <v>42.17</v>
      </c>
      <c r="O94" s="458">
        <v>7.49</v>
      </c>
    </row>
    <row r="95" spans="11:15">
      <c r="L95" s="457">
        <v>40</v>
      </c>
      <c r="M95" s="458">
        <v>12.8</v>
      </c>
      <c r="N95" s="458">
        <v>37.270000000000003</v>
      </c>
      <c r="O95" s="458">
        <v>15.47</v>
      </c>
    </row>
    <row r="96" spans="11:15">
      <c r="L96" s="457">
        <v>41</v>
      </c>
      <c r="M96" s="458">
        <v>14.41</v>
      </c>
      <c r="N96" s="458">
        <v>40.04</v>
      </c>
      <c r="O96" s="458">
        <v>18</v>
      </c>
    </row>
    <row r="97" spans="10:15">
      <c r="L97" s="457">
        <v>42</v>
      </c>
      <c r="M97" s="458">
        <v>15.87</v>
      </c>
      <c r="N97" s="458">
        <v>35.79</v>
      </c>
      <c r="O97" s="458">
        <v>12.74</v>
      </c>
    </row>
    <row r="98" spans="10:15">
      <c r="K98" s="456">
        <v>43</v>
      </c>
      <c r="L98" s="457">
        <v>43</v>
      </c>
      <c r="M98" s="458">
        <v>19.61</v>
      </c>
      <c r="N98" s="458">
        <v>50.36</v>
      </c>
      <c r="O98" s="458">
        <v>30.75</v>
      </c>
    </row>
    <row r="99" spans="10:15">
      <c r="L99" s="457">
        <v>44</v>
      </c>
      <c r="M99" s="458">
        <v>21.85</v>
      </c>
      <c r="N99" s="458">
        <v>54.94</v>
      </c>
      <c r="O99" s="458">
        <v>23.58</v>
      </c>
    </row>
    <row r="100" spans="10:15">
      <c r="L100" s="457">
        <v>45</v>
      </c>
      <c r="M100" s="458">
        <v>16.79</v>
      </c>
      <c r="N100" s="458">
        <v>41.16</v>
      </c>
      <c r="O100" s="458">
        <v>11.77</v>
      </c>
    </row>
    <row r="101" spans="10:15">
      <c r="L101" s="457">
        <v>46</v>
      </c>
      <c r="M101" s="458">
        <v>16.010000000000002</v>
      </c>
      <c r="N101" s="458">
        <v>42.65</v>
      </c>
      <c r="O101" s="458">
        <v>9.33</v>
      </c>
    </row>
    <row r="102" spans="10:15">
      <c r="L102" s="457">
        <v>47</v>
      </c>
      <c r="M102" s="458">
        <v>14.72</v>
      </c>
      <c r="N102" s="458">
        <v>39.76</v>
      </c>
      <c r="O102" s="458">
        <v>8.19</v>
      </c>
    </row>
    <row r="103" spans="10:15">
      <c r="K103" s="456">
        <v>48</v>
      </c>
      <c r="L103" s="457">
        <v>48</v>
      </c>
      <c r="M103" s="458">
        <v>18.932000297142856</v>
      </c>
      <c r="N103" s="458">
        <v>47.388000487142854</v>
      </c>
      <c r="O103" s="458">
        <v>19.661285946</v>
      </c>
    </row>
    <row r="104" spans="10:15">
      <c r="L104" s="457">
        <v>49</v>
      </c>
      <c r="M104" s="458">
        <v>28.48371397</v>
      </c>
      <c r="N104" s="458">
        <v>78.087428497142852</v>
      </c>
      <c r="O104" s="458">
        <v>19.181428364285715</v>
      </c>
    </row>
    <row r="105" spans="10:15">
      <c r="L105" s="457">
        <v>50</v>
      </c>
      <c r="M105" s="458">
        <v>32.583286012857144</v>
      </c>
      <c r="N105" s="458">
        <v>69.764142717142846</v>
      </c>
      <c r="O105" s="458">
        <v>23.7245715</v>
      </c>
    </row>
    <row r="106" spans="10:15">
      <c r="L106" s="457">
        <v>51</v>
      </c>
      <c r="M106" s="458">
        <v>34.501856668571428</v>
      </c>
      <c r="N106" s="458">
        <v>71.14499991142857</v>
      </c>
      <c r="O106" s="458">
        <v>26.158142907142857</v>
      </c>
    </row>
    <row r="107" spans="10:15">
      <c r="K107" s="456">
        <v>52</v>
      </c>
      <c r="L107" s="457">
        <v>52</v>
      </c>
      <c r="M107" s="458">
        <v>27.781857355714287</v>
      </c>
      <c r="N107" s="458">
        <v>83.196000228571435</v>
      </c>
      <c r="O107" s="458">
        <v>21.776999882857144</v>
      </c>
    </row>
    <row r="108" spans="10:15">
      <c r="J108" s="25">
        <v>2018</v>
      </c>
      <c r="K108" s="456">
        <v>1</v>
      </c>
      <c r="L108" s="457">
        <v>1</v>
      </c>
      <c r="M108" s="458">
        <v>29.44</v>
      </c>
      <c r="N108" s="458">
        <v>69.087142857142865</v>
      </c>
      <c r="O108" s="458">
        <v>15.747142857142856</v>
      </c>
    </row>
    <row r="109" spans="10:15">
      <c r="L109" s="457">
        <v>2</v>
      </c>
      <c r="M109" s="458">
        <v>42.880857194285717</v>
      </c>
      <c r="N109" s="458">
        <v>96.785858138571413</v>
      </c>
      <c r="O109" s="458">
        <v>37.6</v>
      </c>
    </row>
    <row r="110" spans="10:15">
      <c r="L110" s="457">
        <v>3</v>
      </c>
      <c r="M110" s="458">
        <v>74.002572194285705</v>
      </c>
      <c r="N110" s="458">
        <v>158.17728531428571</v>
      </c>
      <c r="O110" s="458">
        <v>101.26128550142856</v>
      </c>
    </row>
    <row r="111" spans="10:15">
      <c r="K111" s="456">
        <v>4</v>
      </c>
      <c r="L111" s="457">
        <v>4</v>
      </c>
      <c r="M111" s="458">
        <v>77.812570845714291</v>
      </c>
      <c r="N111" s="458">
        <v>167.02357267142858</v>
      </c>
      <c r="O111" s="458">
        <v>77.354000085714276</v>
      </c>
    </row>
    <row r="112" spans="10:15">
      <c r="L112" s="457">
        <v>5</v>
      </c>
      <c r="M112" s="458">
        <v>61.531714848571433</v>
      </c>
      <c r="N112" s="458">
        <v>113.19585745142855</v>
      </c>
      <c r="O112" s="458">
        <v>30.667142595714285</v>
      </c>
    </row>
    <row r="113" spans="11:15">
      <c r="L113" s="457">
        <v>6</v>
      </c>
      <c r="M113" s="458">
        <v>54.024142672857138</v>
      </c>
      <c r="N113" s="458">
        <v>88.535714287142852</v>
      </c>
      <c r="O113" s="458">
        <v>32.444142750000005</v>
      </c>
    </row>
    <row r="114" spans="11:15">
      <c r="L114" s="457">
        <v>7</v>
      </c>
      <c r="M114" s="458">
        <v>59.271427155714285</v>
      </c>
      <c r="N114" s="458">
        <v>99.37822619047617</v>
      </c>
      <c r="O114" s="458">
        <v>30.338148809523812</v>
      </c>
    </row>
    <row r="115" spans="11:15">
      <c r="K115" s="456">
        <v>8</v>
      </c>
      <c r="L115" s="457">
        <v>8</v>
      </c>
      <c r="M115" s="458">
        <v>78.025571005714284</v>
      </c>
      <c r="N115" s="458">
        <v>140.28</v>
      </c>
      <c r="O115" s="458">
        <v>62.97</v>
      </c>
    </row>
    <row r="116" spans="11:15">
      <c r="L116" s="457">
        <v>9</v>
      </c>
      <c r="M116" s="458">
        <v>61.11871501571428</v>
      </c>
      <c r="N116" s="458">
        <v>102.99642836285715</v>
      </c>
      <c r="O116" s="458">
        <v>31.244571685714288</v>
      </c>
    </row>
    <row r="117" spans="11:15">
      <c r="L117" s="457">
        <v>10</v>
      </c>
      <c r="M117" s="458">
        <v>84.500714981428573</v>
      </c>
      <c r="N117" s="458">
        <v>175.90485927142853</v>
      </c>
      <c r="O117" s="458">
        <v>36.038285662857142</v>
      </c>
    </row>
    <row r="118" spans="11:15">
      <c r="L118" s="457">
        <v>11</v>
      </c>
      <c r="M118" s="458">
        <v>83.643855504285725</v>
      </c>
      <c r="N118" s="458">
        <v>169.64671761428571</v>
      </c>
      <c r="O118" s="458">
        <v>25.076428275714282</v>
      </c>
    </row>
    <row r="119" spans="11:15">
      <c r="K119" s="456">
        <v>12</v>
      </c>
      <c r="L119" s="457">
        <v>12</v>
      </c>
      <c r="M119" s="458">
        <v>98.99</v>
      </c>
      <c r="N119" s="458">
        <v>198.22</v>
      </c>
      <c r="O119" s="458">
        <v>24.63</v>
      </c>
    </row>
    <row r="120" spans="11:15">
      <c r="L120" s="457">
        <v>13</v>
      </c>
      <c r="M120" s="458">
        <v>106.64928652857144</v>
      </c>
      <c r="N120" s="458">
        <v>312.6314304857143</v>
      </c>
      <c r="O120" s="458">
        <v>38.701428550000003</v>
      </c>
    </row>
    <row r="121" spans="11:15">
      <c r="L121" s="457">
        <v>14</v>
      </c>
      <c r="M121" s="458">
        <v>86.488428389999996</v>
      </c>
      <c r="N121" s="458">
        <v>235.31328691428573</v>
      </c>
      <c r="O121" s="458">
        <v>94.596427907142839</v>
      </c>
    </row>
    <row r="122" spans="11:15">
      <c r="L122" s="457">
        <v>15</v>
      </c>
      <c r="M122" s="458">
        <v>88.217001778571429</v>
      </c>
      <c r="N122" s="458">
        <v>294.1721409428572</v>
      </c>
      <c r="O122" s="458">
        <v>92.07</v>
      </c>
    </row>
    <row r="123" spans="11:15">
      <c r="K123" s="456">
        <v>16</v>
      </c>
      <c r="L123" s="457">
        <v>16</v>
      </c>
      <c r="M123" s="458">
        <v>65.84</v>
      </c>
      <c r="N123" s="458">
        <v>149.18</v>
      </c>
      <c r="O123" s="458">
        <v>45.4</v>
      </c>
    </row>
    <row r="124" spans="11:15">
      <c r="L124" s="457">
        <v>17</v>
      </c>
      <c r="M124" s="458">
        <v>51.88</v>
      </c>
      <c r="N124" s="458">
        <v>104.35</v>
      </c>
      <c r="O124" s="458">
        <v>41.47</v>
      </c>
    </row>
    <row r="125" spans="11:15">
      <c r="L125" s="457">
        <v>18</v>
      </c>
      <c r="M125" s="458">
        <v>49.672285897142856</v>
      </c>
      <c r="N125" s="458">
        <v>78.038143701428567</v>
      </c>
      <c r="O125" s="458">
        <v>65.800999782857133</v>
      </c>
    </row>
    <row r="126" spans="11:15">
      <c r="L126" s="457">
        <v>19</v>
      </c>
      <c r="M126" s="458">
        <v>45.203000204285708</v>
      </c>
      <c r="N126" s="458">
        <v>78.313856942857129</v>
      </c>
      <c r="O126" s="458">
        <v>75.104713441428572</v>
      </c>
    </row>
    <row r="127" spans="11:15">
      <c r="K127" s="456">
        <v>20</v>
      </c>
      <c r="L127" s="457">
        <v>20</v>
      </c>
      <c r="M127" s="458">
        <v>37.385857718571437</v>
      </c>
      <c r="N127" s="458">
        <v>130.92628696285712</v>
      </c>
      <c r="O127" s="458">
        <v>97.861000055714285</v>
      </c>
    </row>
    <row r="128" spans="11:15">
      <c r="L128" s="457">
        <v>21</v>
      </c>
      <c r="M128" s="458">
        <v>31.609713962857143</v>
      </c>
      <c r="N128" s="458">
        <v>64.449287412857146</v>
      </c>
      <c r="O128" s="458">
        <v>107.7964292242857</v>
      </c>
    </row>
    <row r="129" spans="11:15">
      <c r="L129" s="457">
        <v>22</v>
      </c>
      <c r="M129" s="458">
        <v>23.360142844285715</v>
      </c>
      <c r="N129" s="458">
        <v>64.449287412857146</v>
      </c>
      <c r="O129" s="458">
        <v>107.7964292242857</v>
      </c>
    </row>
    <row r="130" spans="11:15">
      <c r="L130" s="457">
        <v>23</v>
      </c>
      <c r="M130" s="458">
        <v>22.118571418571431</v>
      </c>
      <c r="N130" s="458">
        <v>39.50100054</v>
      </c>
      <c r="O130" s="458">
        <v>35.176713670000005</v>
      </c>
    </row>
    <row r="131" spans="11:15">
      <c r="K131" s="456">
        <v>24</v>
      </c>
      <c r="L131" s="457">
        <v>24</v>
      </c>
      <c r="M131" s="458">
        <v>18.655142918571432</v>
      </c>
      <c r="N131" s="458">
        <v>33.690285274285714</v>
      </c>
      <c r="O131" s="458">
        <v>23.41942841571429</v>
      </c>
    </row>
    <row r="132" spans="11:15">
      <c r="L132" s="457">
        <v>25</v>
      </c>
      <c r="M132" s="458">
        <v>15.664428437142856</v>
      </c>
      <c r="N132" s="458">
        <v>30.228428704285715</v>
      </c>
      <c r="O132" s="458">
        <v>15.98614284142857</v>
      </c>
    </row>
    <row r="133" spans="11:15">
      <c r="L133" s="457">
        <v>26</v>
      </c>
      <c r="M133" s="458">
        <v>13.848143032857147</v>
      </c>
      <c r="N133" s="458">
        <v>27.872285568571431</v>
      </c>
      <c r="O133" s="458">
        <v>14.09042848857143</v>
      </c>
    </row>
    <row r="134" spans="11:15">
      <c r="L134" s="457">
        <v>27</v>
      </c>
      <c r="M134" s="458">
        <v>12.865857259999999</v>
      </c>
      <c r="N134" s="458">
        <v>27.257571358571429</v>
      </c>
      <c r="O134" s="458">
        <v>11.838857105714284</v>
      </c>
    </row>
    <row r="135" spans="11:15">
      <c r="K135" s="456">
        <v>28</v>
      </c>
      <c r="L135" s="457">
        <v>28</v>
      </c>
      <c r="M135" s="458">
        <v>12.915285789999999</v>
      </c>
      <c r="N135" s="485">
        <v>27.217285974285712</v>
      </c>
      <c r="O135" s="458">
        <v>9.7789998731428565</v>
      </c>
    </row>
    <row r="136" spans="11:15">
      <c r="L136" s="457">
        <v>29</v>
      </c>
      <c r="M136" s="458">
        <v>15.908571428571426</v>
      </c>
      <c r="N136" s="485">
        <v>24.955714285714286</v>
      </c>
      <c r="O136" s="458">
        <v>8.4957142857142856</v>
      </c>
    </row>
    <row r="137" spans="11:15">
      <c r="L137" s="457">
        <v>30</v>
      </c>
      <c r="M137" s="458">
        <v>16.584000042857145</v>
      </c>
      <c r="N137" s="485">
        <v>24.80942862142857</v>
      </c>
      <c r="O137" s="458">
        <v>7.807428428142857</v>
      </c>
    </row>
    <row r="138" spans="11:15">
      <c r="L138" s="457">
        <v>31</v>
      </c>
      <c r="M138" s="458">
        <v>18.553000000000001</v>
      </c>
      <c r="N138" s="485">
        <v>25.690999999999999</v>
      </c>
      <c r="O138" s="458">
        <v>7.53</v>
      </c>
    </row>
    <row r="139" spans="11:15">
      <c r="K139" s="456">
        <v>32</v>
      </c>
      <c r="L139" s="457">
        <v>32</v>
      </c>
      <c r="M139" s="458">
        <v>17.769714355714285</v>
      </c>
      <c r="N139" s="485">
        <v>27.630000251428573</v>
      </c>
      <c r="O139" s="458">
        <v>6.4074286734285701</v>
      </c>
    </row>
    <row r="140" spans="11:15">
      <c r="L140" s="457">
        <v>33</v>
      </c>
      <c r="M140" s="458">
        <v>14.782857348571428</v>
      </c>
      <c r="N140" s="485">
        <v>23.78</v>
      </c>
      <c r="O140" s="458">
        <v>4.9400000000000004</v>
      </c>
    </row>
    <row r="141" spans="11:15">
      <c r="L141" s="457">
        <v>34</v>
      </c>
      <c r="M141" s="458">
        <v>15.984000069999999</v>
      </c>
      <c r="N141" s="485">
        <v>23.527999878571428</v>
      </c>
      <c r="O141" s="458">
        <v>4.6688571658571432</v>
      </c>
    </row>
    <row r="142" spans="11:15">
      <c r="L142" s="457">
        <v>35</v>
      </c>
      <c r="M142" s="458">
        <v>15.55</v>
      </c>
      <c r="N142" s="485">
        <v>23.29</v>
      </c>
      <c r="O142" s="458">
        <v>4.5999999999999996</v>
      </c>
    </row>
    <row r="143" spans="11:15">
      <c r="K143" s="456">
        <v>36</v>
      </c>
      <c r="L143" s="457">
        <v>36</v>
      </c>
      <c r="M143" s="458">
        <v>15.042857142857143</v>
      </c>
      <c r="N143" s="458">
        <v>23.007142857142856</v>
      </c>
      <c r="O143" s="458">
        <v>3.9657142857142857</v>
      </c>
    </row>
    <row r="144" spans="11:15">
      <c r="L144" s="457">
        <v>37</v>
      </c>
      <c r="M144" s="458">
        <v>13.386857033</v>
      </c>
      <c r="N144" s="458">
        <v>23.173571724285711</v>
      </c>
      <c r="O144" s="458">
        <v>3.5334285327142858</v>
      </c>
    </row>
    <row r="145" spans="10:15">
      <c r="L145" s="457">
        <v>38</v>
      </c>
      <c r="M145" s="458">
        <v>12.963714189999999</v>
      </c>
      <c r="N145" s="458">
        <v>26.454000201428567</v>
      </c>
      <c r="O145" s="458">
        <v>6.4914285118571433</v>
      </c>
    </row>
    <row r="146" spans="10:15">
      <c r="L146" s="457">
        <v>39</v>
      </c>
      <c r="M146" s="458">
        <v>9.4700000000000006</v>
      </c>
      <c r="N146" s="458">
        <v>23.7</v>
      </c>
      <c r="O146" s="458">
        <v>4.9000000000000004</v>
      </c>
    </row>
    <row r="147" spans="10:15">
      <c r="K147" s="456">
        <v>40</v>
      </c>
      <c r="L147" s="457">
        <v>40</v>
      </c>
      <c r="M147" s="458">
        <v>9.6714286802857146</v>
      </c>
      <c r="N147" s="576">
        <v>23.695143017142858</v>
      </c>
      <c r="O147" s="458">
        <v>4.898285797571428</v>
      </c>
    </row>
    <row r="148" spans="10:15">
      <c r="L148" s="457">
        <v>41</v>
      </c>
      <c r="M148" s="458">
        <v>13.23900018419533</v>
      </c>
      <c r="N148" s="576">
        <v>28.113285882132363</v>
      </c>
      <c r="O148" s="458">
        <v>8.3430000032697169</v>
      </c>
    </row>
    <row r="149" spans="10:15">
      <c r="L149" s="457">
        <v>42</v>
      </c>
      <c r="M149" s="458">
        <v>13.085142816816015</v>
      </c>
      <c r="N149" s="576">
        <v>37.073285511561743</v>
      </c>
      <c r="O149" s="458">
        <v>7.2735712868826683</v>
      </c>
    </row>
    <row r="150" spans="10:15">
      <c r="L150" s="457">
        <v>43</v>
      </c>
      <c r="M150" s="458">
        <v>24.981571742466489</v>
      </c>
      <c r="N150" s="576">
        <v>70.535571507045162</v>
      </c>
      <c r="O150" s="458">
        <v>7.4324284962245324</v>
      </c>
    </row>
    <row r="151" spans="10:15">
      <c r="K151" s="456">
        <v>44</v>
      </c>
      <c r="L151" s="457">
        <v>44</v>
      </c>
      <c r="M151" s="458">
        <v>20.55814279714286</v>
      </c>
      <c r="N151" s="576">
        <v>55.183714184285712</v>
      </c>
      <c r="O151" s="458">
        <v>15.801856994857145</v>
      </c>
    </row>
    <row r="152" spans="10:15">
      <c r="L152" s="457">
        <v>45</v>
      </c>
      <c r="M152" s="458">
        <v>26.170000077142856</v>
      </c>
      <c r="N152" s="458">
        <v>60.445714132857141</v>
      </c>
      <c r="O152" s="458">
        <v>26.432857787142858</v>
      </c>
    </row>
    <row r="153" spans="10:15">
      <c r="L153" s="457">
        <v>46</v>
      </c>
      <c r="M153" s="458">
        <v>19.728571428571428</v>
      </c>
      <c r="N153" s="458">
        <v>57.005714285714291</v>
      </c>
      <c r="O153" s="458">
        <v>53.502857142857145</v>
      </c>
    </row>
    <row r="154" spans="10:15">
      <c r="L154" s="457">
        <v>47</v>
      </c>
      <c r="M154" s="458">
        <v>39.656714302857139</v>
      </c>
      <c r="N154" s="458">
        <v>103.00771440714287</v>
      </c>
      <c r="O154" s="458">
        <v>53.459142955714292</v>
      </c>
    </row>
    <row r="155" spans="10:15">
      <c r="K155" s="456">
        <v>48</v>
      </c>
      <c r="L155" s="457">
        <v>48</v>
      </c>
      <c r="M155" s="458">
        <v>39.656714302857139</v>
      </c>
      <c r="N155" s="458">
        <v>99.828000734285709</v>
      </c>
      <c r="O155" s="458">
        <v>45.539571760000008</v>
      </c>
    </row>
    <row r="156" spans="10:15">
      <c r="L156" s="457">
        <v>49</v>
      </c>
      <c r="M156" s="458">
        <v>22.62857142857143</v>
      </c>
      <c r="N156" s="458">
        <v>60.27571428571428</v>
      </c>
      <c r="O156" s="458">
        <v>17.955714285714286</v>
      </c>
    </row>
    <row r="157" spans="10:15">
      <c r="L157" s="457">
        <v>50</v>
      </c>
      <c r="M157" s="458">
        <v>17.776714461428572</v>
      </c>
      <c r="N157" s="458">
        <v>46.701999664285715</v>
      </c>
      <c r="O157" s="458">
        <v>13.432571411428571</v>
      </c>
    </row>
    <row r="158" spans="10:15">
      <c r="L158" s="457">
        <v>51</v>
      </c>
      <c r="M158" s="458">
        <v>34.085714285714282</v>
      </c>
      <c r="N158" s="458">
        <v>68.7</v>
      </c>
      <c r="O158" s="458">
        <v>39.414285714285711</v>
      </c>
    </row>
    <row r="159" spans="10:15">
      <c r="K159" s="456">
        <v>52</v>
      </c>
      <c r="L159" s="457">
        <v>52</v>
      </c>
      <c r="M159" s="458">
        <v>52.094142914285719</v>
      </c>
      <c r="N159" s="458">
        <v>97.347143448571416</v>
      </c>
      <c r="O159" s="458">
        <v>65.679429182857149</v>
      </c>
    </row>
    <row r="160" spans="10:15">
      <c r="J160" s="25">
        <v>2019</v>
      </c>
      <c r="K160" s="457">
        <v>1</v>
      </c>
      <c r="L160" s="457">
        <v>1</v>
      </c>
      <c r="M160" s="458">
        <v>27.79999951142857</v>
      </c>
      <c r="N160" s="458">
        <v>78.298570904285711</v>
      </c>
      <c r="O160" s="458">
        <v>21.927143370000003</v>
      </c>
    </row>
    <row r="161" spans="11:15">
      <c r="K161" s="457"/>
      <c r="L161" s="457">
        <v>2</v>
      </c>
      <c r="M161" s="458">
        <v>28.678571428571427</v>
      </c>
      <c r="N161" s="458">
        <v>95.081715179999989</v>
      </c>
      <c r="O161" s="458">
        <v>22.397999900000002</v>
      </c>
    </row>
    <row r="162" spans="11:15">
      <c r="K162" s="457"/>
      <c r="L162" s="457">
        <v>3</v>
      </c>
      <c r="M162" s="458">
        <v>44.51</v>
      </c>
      <c r="N162" s="458">
        <v>95.65</v>
      </c>
      <c r="O162" s="458">
        <v>17.61</v>
      </c>
    </row>
    <row r="163" spans="11:15">
      <c r="K163" s="457">
        <v>4</v>
      </c>
      <c r="L163" s="457">
        <v>4</v>
      </c>
      <c r="M163" s="458">
        <v>73.323141914285699</v>
      </c>
      <c r="N163" s="458">
        <v>109.29957036285714</v>
      </c>
      <c r="O163" s="458">
        <v>17.638000354285712</v>
      </c>
    </row>
    <row r="164" spans="11:15">
      <c r="L164" s="457">
        <v>5</v>
      </c>
      <c r="M164" s="458">
        <v>103.17716724333333</v>
      </c>
      <c r="N164" s="458">
        <v>149.65083311999999</v>
      </c>
      <c r="O164" s="458">
        <v>19.218833289999999</v>
      </c>
    </row>
    <row r="165" spans="11:15">
      <c r="L165" s="457">
        <v>6</v>
      </c>
      <c r="M165" s="458">
        <v>79.165714285714287</v>
      </c>
      <c r="N165" s="458">
        <v>136.57714285714286</v>
      </c>
      <c r="O165" s="458">
        <v>57.185714285714276</v>
      </c>
    </row>
    <row r="166" spans="11:15">
      <c r="L166" s="457">
        <v>7</v>
      </c>
      <c r="M166" s="458">
        <v>120.02256992142858</v>
      </c>
      <c r="N166" s="458">
        <v>224.71071514285714</v>
      </c>
      <c r="O166" s="458">
        <v>118.06042697857141</v>
      </c>
    </row>
    <row r="167" spans="11:15">
      <c r="K167" s="457">
        <v>8</v>
      </c>
      <c r="L167" s="457">
        <v>8</v>
      </c>
      <c r="M167" s="458">
        <v>97.560142514285715</v>
      </c>
      <c r="N167" s="458">
        <v>198.04342652857142</v>
      </c>
      <c r="O167" s="458">
        <v>106.29885756428571</v>
      </c>
    </row>
    <row r="168" spans="11:15">
      <c r="L168" s="457">
        <v>9</v>
      </c>
      <c r="M168" s="458">
        <v>97.560142514285715</v>
      </c>
      <c r="N168" s="458">
        <v>191.0112849857143</v>
      </c>
      <c r="O168" s="458">
        <v>142.12385776285717</v>
      </c>
    </row>
    <row r="169" spans="11:15">
      <c r="L169" s="457">
        <v>10</v>
      </c>
      <c r="M169" s="458">
        <v>97.497286117142863</v>
      </c>
      <c r="N169" s="458">
        <v>215.64014109999999</v>
      </c>
      <c r="O169" s="458">
        <v>164.59685624285717</v>
      </c>
    </row>
    <row r="170" spans="11:15">
      <c r="L170" s="457">
        <v>11</v>
      </c>
      <c r="M170" s="458">
        <v>98.21585736955906</v>
      </c>
      <c r="N170" s="458">
        <v>236.76099940708642</v>
      </c>
      <c r="O170" s="458">
        <v>121.6507121494835</v>
      </c>
    </row>
    <row r="171" spans="11:15">
      <c r="K171" s="457">
        <v>12</v>
      </c>
      <c r="L171" s="457">
        <v>12</v>
      </c>
      <c r="M171" s="458">
        <v>91.857713972857141</v>
      </c>
      <c r="N171" s="458">
        <v>250.8679761904763</v>
      </c>
      <c r="O171" s="458">
        <v>166.63136904761905</v>
      </c>
    </row>
    <row r="172" spans="11:15">
      <c r="K172" s="457"/>
      <c r="L172" s="457">
        <v>13</v>
      </c>
      <c r="M172" s="458">
        <v>100.0137132957143</v>
      </c>
      <c r="N172" s="458">
        <v>301.45971681428574</v>
      </c>
      <c r="O172" s="458">
        <v>180.07000078571429</v>
      </c>
    </row>
    <row r="173" spans="11:15">
      <c r="K173" s="457"/>
      <c r="L173" s="457">
        <v>14</v>
      </c>
      <c r="M173" s="458">
        <v>84.272714885714294</v>
      </c>
      <c r="N173" s="458">
        <v>253.08542525714284</v>
      </c>
      <c r="O173" s="458">
        <v>143.43971579999999</v>
      </c>
    </row>
    <row r="174" spans="11:15">
      <c r="L174" s="457">
        <v>15</v>
      </c>
      <c r="M174" s="458">
        <v>61.074856892857142</v>
      </c>
      <c r="N174" s="458">
        <v>253.08542525714284</v>
      </c>
      <c r="O174" s="458">
        <v>152.6561442857143</v>
      </c>
    </row>
    <row r="175" spans="11:15">
      <c r="K175" s="757">
        <v>16</v>
      </c>
      <c r="L175" s="757">
        <v>16</v>
      </c>
      <c r="M175" s="458">
        <v>47.843714031428576</v>
      </c>
      <c r="N175" s="458">
        <v>141.0458592</v>
      </c>
      <c r="O175" s="458">
        <v>83.844285145714295</v>
      </c>
    </row>
    <row r="176" spans="11:15">
      <c r="K176" s="757"/>
      <c r="L176" s="757">
        <v>17</v>
      </c>
      <c r="M176" s="458">
        <v>50.907143728571427</v>
      </c>
      <c r="N176" s="458">
        <v>123.86656951428571</v>
      </c>
      <c r="O176" s="458">
        <v>125.28814153857142</v>
      </c>
    </row>
    <row r="177" spans="11:15">
      <c r="K177" s="757"/>
      <c r="L177" s="757">
        <v>18</v>
      </c>
      <c r="M177" s="458">
        <v>39.120999471428568</v>
      </c>
      <c r="N177" s="458">
        <v>85.173857551428583</v>
      </c>
      <c r="O177" s="458">
        <v>66.347143447142855</v>
      </c>
    </row>
    <row r="178" spans="11:15">
      <c r="K178" s="757"/>
      <c r="L178" s="457">
        <v>19</v>
      </c>
      <c r="M178" s="458">
        <v>35.410856791428571</v>
      </c>
      <c r="N178" s="458">
        <v>71.224285714285699</v>
      </c>
      <c r="O178" s="458">
        <v>42.216071428571425</v>
      </c>
    </row>
    <row r="179" spans="11:15">
      <c r="K179" s="757"/>
      <c r="L179" s="757">
        <v>20</v>
      </c>
      <c r="M179" s="458">
        <v>32.405142920000003</v>
      </c>
      <c r="N179" s="458">
        <v>76.857142859999996</v>
      </c>
      <c r="O179" s="458">
        <v>58.324429100000003</v>
      </c>
    </row>
    <row r="180" spans="11:15">
      <c r="K180" s="757"/>
      <c r="L180" s="757">
        <v>21</v>
      </c>
      <c r="M180" s="458">
        <v>26.58385740142857</v>
      </c>
      <c r="N180" s="458">
        <v>47.97114345</v>
      </c>
      <c r="O180" s="458">
        <v>34.032571519999998</v>
      </c>
    </row>
    <row r="181" spans="11:15">
      <c r="K181" s="757">
        <v>22</v>
      </c>
      <c r="L181" s="757">
        <v>22</v>
      </c>
      <c r="M181" s="458">
        <v>19.653714315714286</v>
      </c>
      <c r="N181" s="458">
        <v>37.624285945285713</v>
      </c>
      <c r="O181" s="458">
        <v>40.524285998571429</v>
      </c>
    </row>
    <row r="182" spans="11:15">
      <c r="K182" s="714"/>
      <c r="L182" s="757">
        <v>23</v>
      </c>
      <c r="M182" s="458">
        <v>16.50400011857143</v>
      </c>
      <c r="N182" s="458">
        <v>37.806285858571421</v>
      </c>
      <c r="O182" s="458">
        <v>25.010571342857141</v>
      </c>
    </row>
    <row r="183" spans="11:15">
      <c r="K183" s="714"/>
      <c r="L183" s="757">
        <v>24</v>
      </c>
      <c r="M183" s="458">
        <v>14.890428544285713</v>
      </c>
      <c r="N183" s="458">
        <v>35.468714032857143</v>
      </c>
      <c r="O183" s="458">
        <v>18.242713997857145</v>
      </c>
    </row>
    <row r="184" spans="11:15">
      <c r="K184" s="714"/>
      <c r="L184" s="757">
        <v>25</v>
      </c>
      <c r="M184" s="458">
        <v>15.340000017142858</v>
      </c>
      <c r="N184" s="458">
        <v>33.200142724285719</v>
      </c>
      <c r="O184" s="458">
        <v>16.013142995714286</v>
      </c>
    </row>
    <row r="185" spans="11:15">
      <c r="K185" s="757">
        <v>26</v>
      </c>
      <c r="L185" s="757">
        <v>26</v>
      </c>
      <c r="M185" s="458">
        <v>15.521142687142857</v>
      </c>
      <c r="N185" s="458">
        <v>28.376285825714287</v>
      </c>
      <c r="O185" s="458">
        <v>12.961571557142857</v>
      </c>
    </row>
    <row r="186" spans="11:15">
      <c r="K186" s="714"/>
      <c r="L186" s="757">
        <v>27</v>
      </c>
      <c r="M186" s="458">
        <v>15.32</v>
      </c>
      <c r="N186" s="458">
        <v>28.47</v>
      </c>
      <c r="O186" s="458">
        <v>11.39</v>
      </c>
    </row>
    <row r="187" spans="11:15">
      <c r="K187" s="714"/>
      <c r="L187" s="757">
        <v>28</v>
      </c>
      <c r="M187" s="458">
        <v>14.809428488571427</v>
      </c>
      <c r="N187" s="458">
        <v>28.920333226666667</v>
      </c>
      <c r="O187" s="458">
        <v>11.405166626666668</v>
      </c>
    </row>
    <row r="188" spans="11:15">
      <c r="K188" s="714"/>
      <c r="L188" s="757">
        <v>29</v>
      </c>
      <c r="M188" s="458">
        <v>13.666428565978956</v>
      </c>
      <c r="N188" s="458">
        <v>24.422333717346149</v>
      </c>
      <c r="O188" s="458">
        <v>10.173999945322651</v>
      </c>
    </row>
    <row r="189" spans="11:15">
      <c r="K189" s="757">
        <v>30</v>
      </c>
      <c r="L189" s="757">
        <v>30</v>
      </c>
      <c r="M189" s="458">
        <v>13.392857142857142</v>
      </c>
      <c r="N189" s="458">
        <v>24.086666666666662</v>
      </c>
      <c r="O189" s="458">
        <v>9.1716666666666669</v>
      </c>
    </row>
    <row r="190" spans="11:15">
      <c r="K190" s="714"/>
      <c r="L190" s="757">
        <v>31</v>
      </c>
      <c r="M190" s="458">
        <v>13.098428589999999</v>
      </c>
      <c r="N190" s="458">
        <v>22.471285411428575</v>
      </c>
      <c r="O190" s="458">
        <v>8.5915715354285727</v>
      </c>
    </row>
    <row r="191" spans="11:15">
      <c r="K191" s="714"/>
      <c r="L191" s="757">
        <v>32</v>
      </c>
      <c r="M191" s="458"/>
      <c r="N191" s="458"/>
      <c r="O191" s="458"/>
    </row>
    <row r="192" spans="11:15">
      <c r="K192" s="714"/>
      <c r="L192" s="757">
        <v>33</v>
      </c>
      <c r="M192" s="458"/>
      <c r="N192" s="458"/>
      <c r="O192" s="458"/>
    </row>
    <row r="193" spans="11:15">
      <c r="K193" s="714"/>
      <c r="L193" s="757">
        <v>34</v>
      </c>
      <c r="M193" s="458"/>
      <c r="N193" s="458"/>
      <c r="O193" s="458"/>
    </row>
    <row r="194" spans="11:15">
      <c r="K194" s="714"/>
      <c r="L194" s="757"/>
      <c r="M194" s="458"/>
      <c r="N194" s="458"/>
      <c r="O194" s="458"/>
    </row>
    <row r="195" spans="11:15">
      <c r="K195" s="714">
        <v>36</v>
      </c>
      <c r="L195" s="757">
        <v>36</v>
      </c>
      <c r="M195" s="458"/>
      <c r="N195" s="458"/>
      <c r="O195" s="458"/>
    </row>
    <row r="196" spans="11:15">
      <c r="K196" s="714"/>
      <c r="L196" s="757">
        <v>37</v>
      </c>
      <c r="M196" s="458"/>
      <c r="N196" s="458"/>
      <c r="O196" s="458"/>
    </row>
    <row r="197" spans="11:15">
      <c r="K197" s="714"/>
      <c r="L197" s="757">
        <v>38</v>
      </c>
      <c r="M197" s="458"/>
      <c r="N197" s="458"/>
      <c r="O197" s="458"/>
    </row>
    <row r="198" spans="11:15">
      <c r="K198" s="456">
        <v>39</v>
      </c>
      <c r="L198" s="457">
        <v>39</v>
      </c>
      <c r="M198" s="458"/>
      <c r="N198" s="458"/>
      <c r="O198" s="458"/>
    </row>
    <row r="199" spans="11:15">
      <c r="L199" s="457">
        <v>40</v>
      </c>
      <c r="M199" s="458"/>
      <c r="N199" s="458"/>
      <c r="O199" s="458"/>
    </row>
    <row r="200" spans="11:15">
      <c r="L200" s="457">
        <v>41</v>
      </c>
      <c r="M200" s="458"/>
      <c r="N200" s="458"/>
      <c r="O200" s="458"/>
    </row>
    <row r="201" spans="11:15">
      <c r="L201" s="457">
        <v>42</v>
      </c>
      <c r="M201" s="458"/>
      <c r="N201" s="458"/>
      <c r="O201" s="458"/>
    </row>
    <row r="202" spans="11:15">
      <c r="K202" s="456">
        <v>43</v>
      </c>
      <c r="L202" s="457">
        <v>43</v>
      </c>
      <c r="M202" s="458"/>
      <c r="N202" s="458"/>
      <c r="O202" s="458"/>
    </row>
    <row r="203" spans="11:15">
      <c r="L203" s="457">
        <v>44</v>
      </c>
      <c r="M203" s="458"/>
      <c r="N203" s="458"/>
      <c r="O203" s="458"/>
    </row>
    <row r="204" spans="11:15">
      <c r="L204" s="457">
        <v>45</v>
      </c>
      <c r="M204" s="458"/>
      <c r="N204" s="458"/>
      <c r="O204" s="458"/>
    </row>
    <row r="205" spans="11:15">
      <c r="L205" s="457">
        <v>46</v>
      </c>
      <c r="M205" s="458"/>
      <c r="N205" s="458"/>
      <c r="O205" s="458"/>
    </row>
    <row r="206" spans="11:15">
      <c r="L206" s="457">
        <v>47</v>
      </c>
      <c r="M206" s="458"/>
      <c r="N206" s="458"/>
      <c r="O206" s="458"/>
    </row>
    <row r="207" spans="11:15">
      <c r="K207" s="456">
        <v>48</v>
      </c>
      <c r="L207" s="457">
        <v>48</v>
      </c>
      <c r="M207" s="458"/>
      <c r="N207" s="458"/>
      <c r="O207" s="458"/>
    </row>
    <row r="208" spans="11:15">
      <c r="L208" s="457">
        <v>49</v>
      </c>
      <c r="M208" s="458"/>
      <c r="N208" s="458"/>
      <c r="O208" s="458"/>
    </row>
    <row r="209" spans="11:15">
      <c r="L209" s="457">
        <v>50</v>
      </c>
      <c r="M209" s="458"/>
      <c r="N209" s="458"/>
      <c r="O209" s="458"/>
    </row>
    <row r="210" spans="11:15">
      <c r="L210" s="457">
        <v>51</v>
      </c>
      <c r="M210" s="458"/>
      <c r="N210" s="458"/>
      <c r="O210" s="458"/>
    </row>
    <row r="211" spans="11:15">
      <c r="K211" s="456">
        <v>52</v>
      </c>
      <c r="L211" s="457">
        <v>52</v>
      </c>
      <c r="M211" s="458"/>
      <c r="N211" s="458"/>
      <c r="O211" s="458"/>
    </row>
    <row r="213" spans="11:15">
      <c r="M213" s="456" t="s">
        <v>277</v>
      </c>
      <c r="N213" s="456" t="s">
        <v>278</v>
      </c>
      <c r="O213" s="456" t="s">
        <v>279</v>
      </c>
    </row>
  </sheetData>
  <mergeCells count="2">
    <mergeCell ref="A3:G3"/>
    <mergeCell ref="A35:G35"/>
  </mergeCells>
  <pageMargins left="0.70866141732283472" right="0.70866141732283472" top="1.4173228346456694" bottom="0.62992125984251968" header="0.31496062992125984" footer="0.31496062992125984"/>
  <pageSetup paperSize="9" scale="94" orientation="portrait" r:id="rId1"/>
  <headerFooter>
    <oddHeader>&amp;R&amp;7Informe de la Operación Mensual-Julio 2019
INFSGI-MES-07-2019
08/08/2019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7A5"/>
  </sheetPr>
  <dimension ref="A1:AF220"/>
  <sheetViews>
    <sheetView showGridLines="0" view="pageBreakPreview" zoomScale="130" zoomScaleNormal="100" zoomScaleSheetLayoutView="130" zoomScalePageLayoutView="130" workbookViewId="0">
      <selection activeCell="U69" sqref="T69:U69"/>
    </sheetView>
  </sheetViews>
  <sheetFormatPr defaultColWidth="9.33203125" defaultRowHeight="11.25"/>
  <cols>
    <col min="10" max="11" width="9.33203125" customWidth="1"/>
    <col min="13" max="16" width="9.33203125" style="456"/>
    <col min="17" max="17" width="11.6640625" style="456" bestFit="1" customWidth="1"/>
    <col min="18" max="18" width="19.1640625" style="456" customWidth="1"/>
    <col min="19" max="19" width="9.6640625" style="456" bestFit="1" customWidth="1"/>
    <col min="20" max="20" width="14.5" style="456" customWidth="1"/>
    <col min="21" max="21" width="9.5" style="456" bestFit="1" customWidth="1"/>
    <col min="22" max="22" width="14.6640625" style="456" customWidth="1"/>
    <col min="23" max="23" width="9.5" style="456" bestFit="1" customWidth="1"/>
    <col min="24" max="24" width="9.6640625" style="456" bestFit="1" customWidth="1"/>
    <col min="25" max="25" width="9.5" style="456" bestFit="1" customWidth="1"/>
    <col min="26" max="26" width="9.33203125" style="446"/>
    <col min="27" max="30" width="9.33203125" style="322"/>
    <col min="31" max="32" width="9.33203125" style="310"/>
  </cols>
  <sheetData>
    <row r="1" spans="1:25" ht="11.25" customHeight="1"/>
    <row r="2" spans="1:25" ht="11.25" customHeight="1">
      <c r="A2" s="323"/>
      <c r="B2" s="324"/>
      <c r="C2" s="324"/>
      <c r="D2" s="324"/>
      <c r="E2" s="324"/>
      <c r="F2" s="324"/>
      <c r="G2" s="174"/>
      <c r="H2" s="174"/>
      <c r="I2" s="132"/>
    </row>
    <row r="3" spans="1:25" ht="11.25" customHeight="1">
      <c r="A3" s="132"/>
      <c r="B3" s="132"/>
      <c r="C3" s="132"/>
      <c r="D3" s="132"/>
      <c r="E3" s="132"/>
      <c r="F3" s="132"/>
      <c r="G3" s="138"/>
      <c r="H3" s="138"/>
      <c r="I3" s="138"/>
      <c r="J3" s="148"/>
      <c r="K3" s="148"/>
      <c r="L3" s="148"/>
      <c r="O3" s="456" t="s">
        <v>276</v>
      </c>
      <c r="P3" s="457"/>
      <c r="Q3" s="456" t="s">
        <v>280</v>
      </c>
      <c r="R3" s="456" t="s">
        <v>281</v>
      </c>
      <c r="S3" s="456" t="s">
        <v>282</v>
      </c>
      <c r="T3" s="456" t="s">
        <v>283</v>
      </c>
      <c r="U3" s="456" t="s">
        <v>284</v>
      </c>
      <c r="V3" s="456" t="s">
        <v>285</v>
      </c>
      <c r="W3" s="456" t="s">
        <v>286</v>
      </c>
      <c r="X3" s="456" t="s">
        <v>287</v>
      </c>
      <c r="Y3" s="456" t="s">
        <v>288</v>
      </c>
    </row>
    <row r="4" spans="1:25" ht="11.25" customHeight="1">
      <c r="A4" s="132"/>
      <c r="B4" s="132"/>
      <c r="C4" s="132"/>
      <c r="D4" s="132"/>
      <c r="E4" s="132"/>
      <c r="F4" s="132"/>
      <c r="G4" s="138"/>
      <c r="H4" s="138"/>
      <c r="I4" s="138"/>
      <c r="J4" s="148"/>
      <c r="K4" s="148"/>
      <c r="L4" s="148"/>
      <c r="N4" s="456">
        <v>2016</v>
      </c>
      <c r="O4" s="456">
        <v>1</v>
      </c>
      <c r="P4" s="457">
        <v>1</v>
      </c>
      <c r="Q4" s="458">
        <v>12.12</v>
      </c>
      <c r="R4" s="458">
        <v>8.33</v>
      </c>
      <c r="S4" s="458">
        <v>165.03200000000001</v>
      </c>
      <c r="T4" s="458">
        <v>95.83</v>
      </c>
      <c r="U4" s="458">
        <v>18.5</v>
      </c>
      <c r="V4" s="458">
        <v>10.01</v>
      </c>
      <c r="W4" s="458">
        <v>1.23</v>
      </c>
      <c r="X4" s="458">
        <v>109.19</v>
      </c>
      <c r="Y4" s="458">
        <v>37.270000000000003</v>
      </c>
    </row>
    <row r="5" spans="1:25" ht="11.25" customHeight="1">
      <c r="A5" s="176"/>
      <c r="B5" s="176"/>
      <c r="C5" s="176"/>
      <c r="D5" s="176"/>
      <c r="E5" s="176"/>
      <c r="F5" s="176"/>
      <c r="G5" s="176"/>
      <c r="H5" s="176"/>
      <c r="I5" s="176"/>
      <c r="J5" s="24"/>
      <c r="K5" s="24"/>
      <c r="L5" s="131"/>
      <c r="P5" s="457">
        <v>2</v>
      </c>
      <c r="Q5" s="458">
        <v>10.45</v>
      </c>
      <c r="R5" s="458">
        <v>5.38</v>
      </c>
      <c r="S5" s="458">
        <v>137.04</v>
      </c>
      <c r="T5" s="458">
        <v>78.260000000000005</v>
      </c>
      <c r="U5" s="458">
        <v>13.1</v>
      </c>
      <c r="V5" s="458">
        <v>10</v>
      </c>
      <c r="W5" s="458">
        <v>1.18</v>
      </c>
      <c r="X5" s="458">
        <v>177.91</v>
      </c>
      <c r="Y5" s="458">
        <v>53.34</v>
      </c>
    </row>
    <row r="6" spans="1:25" ht="11.25" customHeight="1">
      <c r="A6" s="132"/>
      <c r="B6" s="325"/>
      <c r="C6" s="326"/>
      <c r="D6" s="327"/>
      <c r="E6" s="327"/>
      <c r="F6" s="177"/>
      <c r="G6" s="178"/>
      <c r="H6" s="178"/>
      <c r="I6" s="179"/>
      <c r="J6" s="24"/>
      <c r="K6" s="24"/>
      <c r="L6" s="19"/>
      <c r="P6" s="457">
        <v>3</v>
      </c>
      <c r="Q6" s="458">
        <v>10.396000000000001</v>
      </c>
      <c r="R6" s="458">
        <v>5.29</v>
      </c>
      <c r="S6" s="458">
        <v>102.45</v>
      </c>
      <c r="T6" s="458">
        <v>101.264</v>
      </c>
      <c r="U6" s="458">
        <v>15.26</v>
      </c>
      <c r="V6" s="458">
        <v>10.01</v>
      </c>
      <c r="W6" s="458">
        <v>1.2529999999999999</v>
      </c>
      <c r="X6" s="458">
        <v>248.28</v>
      </c>
      <c r="Y6" s="458">
        <v>76.69</v>
      </c>
    </row>
    <row r="7" spans="1:25" ht="11.25" customHeight="1">
      <c r="A7" s="132"/>
      <c r="B7" s="180"/>
      <c r="C7" s="180"/>
      <c r="D7" s="181"/>
      <c r="E7" s="181"/>
      <c r="F7" s="177"/>
      <c r="G7" s="178"/>
      <c r="H7" s="178"/>
      <c r="I7" s="179"/>
      <c r="J7" s="25"/>
      <c r="K7" s="25"/>
      <c r="L7" s="22"/>
      <c r="O7" s="456">
        <v>4</v>
      </c>
      <c r="P7" s="457">
        <v>4</v>
      </c>
      <c r="Q7" s="458">
        <v>10.32</v>
      </c>
      <c r="R7" s="458">
        <v>6.0640000000000001</v>
      </c>
      <c r="S7" s="458">
        <v>93.71</v>
      </c>
      <c r="T7" s="458">
        <v>79.73</v>
      </c>
      <c r="U7" s="458">
        <v>12.66</v>
      </c>
      <c r="V7" s="458">
        <v>10.01</v>
      </c>
      <c r="W7" s="458">
        <v>1.22</v>
      </c>
      <c r="X7" s="458">
        <v>142.55000000000001</v>
      </c>
      <c r="Y7" s="458">
        <v>40.92</v>
      </c>
    </row>
    <row r="8" spans="1:25" ht="11.25" customHeight="1">
      <c r="A8" s="132"/>
      <c r="B8" s="182"/>
      <c r="C8" s="132"/>
      <c r="D8" s="156"/>
      <c r="E8" s="156"/>
      <c r="F8" s="177"/>
      <c r="G8" s="178"/>
      <c r="H8" s="178"/>
      <c r="I8" s="179"/>
      <c r="J8" s="23"/>
      <c r="K8" s="23"/>
      <c r="L8" s="24"/>
      <c r="P8" s="457">
        <v>5</v>
      </c>
      <c r="Q8" s="458">
        <v>14.34</v>
      </c>
      <c r="R8" s="458">
        <v>9.59</v>
      </c>
      <c r="S8" s="458">
        <v>142.55000000000001</v>
      </c>
      <c r="T8" s="458">
        <v>128.66</v>
      </c>
      <c r="U8" s="458">
        <v>24.24</v>
      </c>
      <c r="V8" s="458">
        <v>10.01</v>
      </c>
      <c r="W8" s="458">
        <v>1.17</v>
      </c>
      <c r="X8" s="458">
        <v>251.59399999999999</v>
      </c>
      <c r="Y8" s="458">
        <v>58.97</v>
      </c>
    </row>
    <row r="9" spans="1:25" ht="11.25" customHeight="1">
      <c r="A9" s="132"/>
      <c r="B9" s="182"/>
      <c r="C9" s="132"/>
      <c r="D9" s="156"/>
      <c r="E9" s="156"/>
      <c r="F9" s="177"/>
      <c r="G9" s="178"/>
      <c r="H9" s="178"/>
      <c r="I9" s="179"/>
      <c r="J9" s="25"/>
      <c r="K9" s="26"/>
      <c r="L9" s="22"/>
      <c r="P9" s="457">
        <v>6</v>
      </c>
      <c r="Q9" s="458">
        <v>14.98</v>
      </c>
      <c r="R9" s="458">
        <v>12.82</v>
      </c>
      <c r="S9" s="458">
        <v>223.15</v>
      </c>
      <c r="T9" s="458">
        <v>174.87</v>
      </c>
      <c r="U9" s="458">
        <v>35.18</v>
      </c>
      <c r="V9" s="458">
        <v>9.01</v>
      </c>
      <c r="W9" s="458">
        <v>0.82</v>
      </c>
      <c r="X9" s="458">
        <v>388.05428210000002</v>
      </c>
      <c r="Y9" s="458">
        <v>80.41</v>
      </c>
    </row>
    <row r="10" spans="1:25" ht="11.25" customHeight="1">
      <c r="A10" s="132"/>
      <c r="B10" s="182"/>
      <c r="C10" s="132"/>
      <c r="D10" s="156"/>
      <c r="E10" s="156"/>
      <c r="F10" s="177"/>
      <c r="G10" s="178"/>
      <c r="H10" s="178"/>
      <c r="I10" s="179"/>
      <c r="J10" s="25"/>
      <c r="K10" s="25"/>
      <c r="L10" s="22"/>
      <c r="P10" s="457">
        <v>7</v>
      </c>
      <c r="Q10" s="458">
        <v>15.86</v>
      </c>
      <c r="R10" s="458">
        <v>12.43</v>
      </c>
      <c r="S10" s="458">
        <v>223.86</v>
      </c>
      <c r="T10" s="458">
        <v>126.56</v>
      </c>
      <c r="U10" s="458">
        <v>25.04</v>
      </c>
      <c r="V10" s="458">
        <v>9.01</v>
      </c>
      <c r="W10" s="458">
        <v>1.59</v>
      </c>
      <c r="X10" s="458">
        <v>283.21000240000001</v>
      </c>
      <c r="Y10" s="458">
        <v>53.36</v>
      </c>
    </row>
    <row r="11" spans="1:25" ht="11.25" customHeight="1">
      <c r="A11" s="132"/>
      <c r="B11" s="156"/>
      <c r="C11" s="132"/>
      <c r="D11" s="156"/>
      <c r="E11" s="156"/>
      <c r="F11" s="177"/>
      <c r="G11" s="178"/>
      <c r="H11" s="178"/>
      <c r="I11" s="179"/>
      <c r="J11" s="25"/>
      <c r="K11" s="25"/>
      <c r="L11" s="22"/>
      <c r="O11" s="456">
        <v>8</v>
      </c>
      <c r="P11" s="457">
        <v>8</v>
      </c>
      <c r="Q11" s="458">
        <v>22.12</v>
      </c>
      <c r="R11" s="458">
        <v>19.3</v>
      </c>
      <c r="S11" s="458">
        <v>297.45999999999998</v>
      </c>
      <c r="T11" s="458">
        <v>188.83</v>
      </c>
      <c r="U11" s="458">
        <v>26.72</v>
      </c>
      <c r="V11" s="458">
        <v>18.309999999999999</v>
      </c>
      <c r="W11" s="458">
        <v>14.62</v>
      </c>
      <c r="X11" s="458">
        <v>414.29357470000002</v>
      </c>
      <c r="Y11" s="458">
        <v>65.55</v>
      </c>
    </row>
    <row r="12" spans="1:25" ht="11.25" customHeight="1">
      <c r="A12" s="132"/>
      <c r="B12" s="156"/>
      <c r="C12" s="132"/>
      <c r="D12" s="156"/>
      <c r="E12" s="156"/>
      <c r="F12" s="177"/>
      <c r="G12" s="178"/>
      <c r="H12" s="178"/>
      <c r="I12" s="179"/>
      <c r="J12" s="25"/>
      <c r="K12" s="25"/>
      <c r="L12" s="22"/>
      <c r="P12" s="457">
        <v>9</v>
      </c>
      <c r="Q12" s="458">
        <v>31.986428669999999</v>
      </c>
      <c r="R12" s="458">
        <v>19.514333090000001</v>
      </c>
      <c r="S12" s="458">
        <v>326.48699649999998</v>
      </c>
      <c r="T12" s="458">
        <v>170.33500290000001</v>
      </c>
      <c r="U12" s="458">
        <v>30.940000529999999</v>
      </c>
      <c r="V12" s="458">
        <v>16.54985727582655</v>
      </c>
      <c r="W12" s="458">
        <v>7.4597144130000004</v>
      </c>
      <c r="X12" s="458">
        <v>382.60643219999997</v>
      </c>
      <c r="Y12" s="458">
        <v>72.96314185</v>
      </c>
    </row>
    <row r="13" spans="1:25" ht="11.25" customHeight="1">
      <c r="A13" s="132"/>
      <c r="B13" s="156"/>
      <c r="C13" s="132"/>
      <c r="D13" s="156"/>
      <c r="E13" s="156"/>
      <c r="F13" s="177"/>
      <c r="G13" s="178"/>
      <c r="H13" s="178"/>
      <c r="I13" s="179"/>
      <c r="J13" s="23"/>
      <c r="K13" s="23"/>
      <c r="L13" s="24"/>
      <c r="P13" s="457">
        <v>10</v>
      </c>
      <c r="Q13" s="458">
        <v>21.817856924874398</v>
      </c>
      <c r="R13" s="458">
        <v>20.1870002746582</v>
      </c>
      <c r="S13" s="458">
        <v>281.91442869999997</v>
      </c>
      <c r="T13" s="458">
        <v>164.05856977190246</v>
      </c>
      <c r="U13" s="458">
        <v>30.751428604125927</v>
      </c>
      <c r="V13" s="458">
        <v>9.5257144655499921</v>
      </c>
      <c r="W13" s="458">
        <v>2.1815714495522598</v>
      </c>
      <c r="X13" s="458">
        <v>245.78571646554084</v>
      </c>
      <c r="Y13" s="458">
        <v>47.002858298165428</v>
      </c>
    </row>
    <row r="14" spans="1:25" ht="11.25" customHeight="1">
      <c r="A14" s="132"/>
      <c r="B14" s="156"/>
      <c r="C14" s="132"/>
      <c r="D14" s="156"/>
      <c r="E14" s="156"/>
      <c r="F14" s="177"/>
      <c r="G14" s="178"/>
      <c r="H14" s="178"/>
      <c r="I14" s="179"/>
      <c r="J14" s="25"/>
      <c r="K14" s="26"/>
      <c r="L14" s="22"/>
      <c r="P14" s="457">
        <v>11</v>
      </c>
      <c r="Q14" s="458">
        <v>21.645000185285259</v>
      </c>
      <c r="R14" s="458">
        <v>18.452999932425314</v>
      </c>
      <c r="S14" s="458">
        <v>302.97000000000003</v>
      </c>
      <c r="T14" s="458">
        <v>146.11571393694155</v>
      </c>
      <c r="U14" s="458">
        <v>26.230000359671411</v>
      </c>
      <c r="V14" s="458">
        <v>10.001428604125973</v>
      </c>
      <c r="W14" s="458">
        <v>1.7041428429739771</v>
      </c>
      <c r="X14" s="458">
        <v>239.62</v>
      </c>
      <c r="Y14" s="458">
        <v>42.29</v>
      </c>
    </row>
    <row r="15" spans="1:25" ht="11.25" customHeight="1">
      <c r="A15" s="132"/>
      <c r="B15" s="156"/>
      <c r="C15" s="132"/>
      <c r="D15" s="156"/>
      <c r="E15" s="156"/>
      <c r="F15" s="177"/>
      <c r="G15" s="178"/>
      <c r="H15" s="178"/>
      <c r="I15" s="179"/>
      <c r="J15" s="25"/>
      <c r="K15" s="26"/>
      <c r="L15" s="22"/>
      <c r="O15" s="456">
        <v>12</v>
      </c>
      <c r="P15" s="457">
        <v>12</v>
      </c>
      <c r="Q15" s="458">
        <v>15.247000013078916</v>
      </c>
      <c r="R15" s="458">
        <v>12.7100000381469</v>
      </c>
      <c r="S15" s="458">
        <v>179.33771623883899</v>
      </c>
      <c r="T15" s="458">
        <v>114.18428584507485</v>
      </c>
      <c r="U15" s="458">
        <v>18.61999988555905</v>
      </c>
      <c r="V15" s="458">
        <v>9.9999999999999964</v>
      </c>
      <c r="W15" s="458">
        <v>1.2444285835538544</v>
      </c>
      <c r="X15" s="458">
        <v>150.27357046944684</v>
      </c>
      <c r="Y15" s="458">
        <v>24.915714263915959</v>
      </c>
    </row>
    <row r="16" spans="1:25" ht="11.25" customHeight="1">
      <c r="A16" s="132"/>
      <c r="B16" s="156"/>
      <c r="C16" s="132"/>
      <c r="D16" s="156"/>
      <c r="E16" s="156"/>
      <c r="F16" s="177"/>
      <c r="G16" s="178"/>
      <c r="H16" s="178"/>
      <c r="I16" s="179"/>
      <c r="J16" s="25"/>
      <c r="K16" s="26"/>
      <c r="L16" s="22"/>
      <c r="P16" s="457">
        <v>13</v>
      </c>
      <c r="Q16" s="458">
        <v>17.322999954223601</v>
      </c>
      <c r="R16" s="458">
        <v>15.171999931335399</v>
      </c>
      <c r="S16" s="458">
        <v>130.67500305175699</v>
      </c>
      <c r="T16" s="458">
        <v>89.040000915527301</v>
      </c>
      <c r="U16" s="458">
        <v>15.310000419616699</v>
      </c>
      <c r="V16" s="458">
        <v>10</v>
      </c>
      <c r="W16" s="458">
        <v>1.0199999809265099</v>
      </c>
      <c r="X16" s="458">
        <v>116.33999633789</v>
      </c>
      <c r="Y16" s="458">
        <v>24.159999847412099</v>
      </c>
    </row>
    <row r="17" spans="1:25" ht="11.25" customHeight="1">
      <c r="A17" s="132"/>
      <c r="B17" s="156"/>
      <c r="C17" s="132"/>
      <c r="D17" s="156"/>
      <c r="E17" s="156"/>
      <c r="F17" s="177"/>
      <c r="G17" s="178"/>
      <c r="H17" s="178"/>
      <c r="I17" s="179"/>
      <c r="J17" s="25"/>
      <c r="K17" s="26"/>
      <c r="L17" s="22"/>
      <c r="P17" s="457">
        <v>14</v>
      </c>
      <c r="Q17" s="458">
        <v>14.828142711094401</v>
      </c>
      <c r="R17" s="458">
        <v>13.217000007629398</v>
      </c>
      <c r="S17" s="458">
        <v>121.81457192557171</v>
      </c>
      <c r="T17" s="458">
        <v>78.037142072405103</v>
      </c>
      <c r="U17" s="458">
        <v>14.082857131957956</v>
      </c>
      <c r="V17" s="458">
        <v>10.001428604125973</v>
      </c>
      <c r="W17" s="458">
        <v>1.3691428899764975</v>
      </c>
      <c r="X17" s="458">
        <v>126.18428475516127</v>
      </c>
      <c r="Y17" s="458">
        <v>22.646999904087572</v>
      </c>
    </row>
    <row r="18" spans="1:25" ht="11.25" customHeight="1">
      <c r="A18" s="967" t="s">
        <v>516</v>
      </c>
      <c r="B18" s="967"/>
      <c r="C18" s="967"/>
      <c r="D18" s="967"/>
      <c r="E18" s="967"/>
      <c r="F18" s="967"/>
      <c r="G18" s="967"/>
      <c r="H18" s="967"/>
      <c r="I18" s="967"/>
      <c r="J18" s="967"/>
      <c r="K18" s="967"/>
      <c r="L18" s="967"/>
      <c r="P18" s="457">
        <v>15</v>
      </c>
      <c r="Q18" s="458">
        <v>15.017142977033298</v>
      </c>
      <c r="R18" s="458">
        <v>11.291000366210898</v>
      </c>
      <c r="S18" s="458">
        <v>184.69442967006074</v>
      </c>
      <c r="T18" s="458">
        <v>74.048570905412902</v>
      </c>
      <c r="U18" s="458">
        <v>17.312857082911869</v>
      </c>
      <c r="V18" s="458">
        <v>10.005714416503881</v>
      </c>
      <c r="W18" s="458">
        <v>1.6558571543012313</v>
      </c>
      <c r="X18" s="458">
        <v>140.54571315220355</v>
      </c>
      <c r="Y18" s="458">
        <v>22.742571422031897</v>
      </c>
    </row>
    <row r="19" spans="1:25" ht="11.25" customHeight="1">
      <c r="A19" s="25"/>
      <c r="B19" s="156"/>
      <c r="C19" s="132"/>
      <c r="D19" s="156"/>
      <c r="E19" s="156"/>
      <c r="F19" s="177"/>
      <c r="G19" s="178"/>
      <c r="H19" s="178"/>
      <c r="I19" s="179"/>
      <c r="J19" s="25"/>
      <c r="K19" s="26"/>
      <c r="L19" s="22"/>
      <c r="O19" s="456">
        <v>16</v>
      </c>
      <c r="P19" s="457">
        <v>16</v>
      </c>
      <c r="Q19" s="458">
        <v>13.98</v>
      </c>
      <c r="R19" s="458">
        <v>11.63</v>
      </c>
      <c r="S19" s="458">
        <v>164.52</v>
      </c>
      <c r="T19" s="458">
        <v>81.069999999999993</v>
      </c>
      <c r="U19" s="458">
        <v>21.07</v>
      </c>
      <c r="V19" s="458">
        <v>10.01</v>
      </c>
      <c r="W19" s="458">
        <v>1.27</v>
      </c>
      <c r="X19" s="458">
        <v>141.29</v>
      </c>
      <c r="Y19" s="458">
        <v>23.21</v>
      </c>
    </row>
    <row r="20" spans="1:25" ht="11.25" customHeight="1">
      <c r="A20" s="132"/>
      <c r="B20" s="156"/>
      <c r="C20" s="132"/>
      <c r="D20" s="156"/>
      <c r="E20" s="156"/>
      <c r="F20" s="177"/>
      <c r="G20" s="178"/>
      <c r="H20" s="178"/>
      <c r="I20" s="179"/>
      <c r="J20" s="25"/>
      <c r="K20" s="26"/>
      <c r="L20" s="22"/>
      <c r="P20" s="457">
        <v>17</v>
      </c>
      <c r="Q20" s="458">
        <v>12.944285669999999</v>
      </c>
      <c r="R20" s="458">
        <v>10.010000228881799</v>
      </c>
      <c r="S20" s="458">
        <v>152.88357325962556</v>
      </c>
      <c r="T20" s="458">
        <v>64.311428070000005</v>
      </c>
      <c r="U20" s="458">
        <v>16.638571469999999</v>
      </c>
      <c r="V20" s="458">
        <v>10.004285812377887</v>
      </c>
      <c r="W20" s="458">
        <v>1.7342857122421229</v>
      </c>
      <c r="X20" s="458">
        <v>105.73500061035119</v>
      </c>
      <c r="Y20" s="458">
        <v>19.724285806928286</v>
      </c>
    </row>
    <row r="21" spans="1:25" ht="11.25" customHeight="1">
      <c r="A21" s="132"/>
      <c r="B21" s="156"/>
      <c r="C21" s="132"/>
      <c r="D21" s="156"/>
      <c r="E21" s="156"/>
      <c r="F21" s="177"/>
      <c r="G21" s="178"/>
      <c r="H21" s="178"/>
      <c r="I21" s="179"/>
      <c r="J21" s="25"/>
      <c r="K21" s="29"/>
      <c r="L21" s="30"/>
      <c r="P21" s="457">
        <v>18</v>
      </c>
      <c r="Q21" s="458">
        <v>10.727142742701899</v>
      </c>
      <c r="R21" s="458">
        <v>6.3112858363560251</v>
      </c>
      <c r="S21" s="458">
        <v>98.225285121372636</v>
      </c>
      <c r="T21" s="458">
        <v>46.242857796805197</v>
      </c>
      <c r="U21" s="458">
        <v>10.637142998831566</v>
      </c>
      <c r="V21" s="458">
        <v>10.007143020629858</v>
      </c>
      <c r="W21" s="458">
        <v>1.4345714194433998</v>
      </c>
      <c r="X21" s="458">
        <v>72.620000566754968</v>
      </c>
      <c r="Y21" s="458">
        <v>14.075714383806471</v>
      </c>
    </row>
    <row r="22" spans="1:25" ht="11.25" customHeight="1">
      <c r="A22" s="137"/>
      <c r="B22" s="156"/>
      <c r="C22" s="132"/>
      <c r="D22" s="156"/>
      <c r="E22" s="156"/>
      <c r="F22" s="177"/>
      <c r="G22" s="178"/>
      <c r="H22" s="178"/>
      <c r="I22" s="179"/>
      <c r="J22" s="25"/>
      <c r="K22" s="26"/>
      <c r="L22" s="22"/>
      <c r="P22" s="457">
        <v>19</v>
      </c>
      <c r="Q22" s="458">
        <v>9.4342857088361427</v>
      </c>
      <c r="R22" s="458">
        <v>7.4910001754760689</v>
      </c>
      <c r="S22" s="458">
        <v>86.615142822265582</v>
      </c>
      <c r="T22" s="458">
        <v>41.954286302838973</v>
      </c>
      <c r="U22" s="458">
        <v>9.4342857088361427</v>
      </c>
      <c r="V22" s="458">
        <v>10.004285812377914</v>
      </c>
      <c r="W22" s="458">
        <v>1.3051428794860784</v>
      </c>
      <c r="X22" s="458">
        <v>60.497857775006928</v>
      </c>
      <c r="Y22" s="458">
        <v>12.797142846243686</v>
      </c>
    </row>
    <row r="23" spans="1:25" ht="11.25" customHeight="1">
      <c r="A23" s="137"/>
      <c r="B23" s="156"/>
      <c r="C23" s="132"/>
      <c r="D23" s="156"/>
      <c r="E23" s="156"/>
      <c r="F23" s="177"/>
      <c r="G23" s="178"/>
      <c r="H23" s="178"/>
      <c r="I23" s="179"/>
      <c r="J23" s="25"/>
      <c r="K23" s="26"/>
      <c r="L23" s="22"/>
      <c r="O23" s="456">
        <v>20</v>
      </c>
      <c r="P23" s="457">
        <v>20</v>
      </c>
      <c r="Q23" s="458">
        <v>9.1999999999999993</v>
      </c>
      <c r="R23" s="458">
        <v>6.8</v>
      </c>
      <c r="S23" s="458">
        <v>78.2</v>
      </c>
      <c r="T23" s="458">
        <v>39.6</v>
      </c>
      <c r="U23" s="458">
        <v>8.6</v>
      </c>
      <c r="V23" s="458">
        <v>10</v>
      </c>
      <c r="W23" s="458">
        <v>1.6</v>
      </c>
      <c r="X23" s="458">
        <v>56.6</v>
      </c>
      <c r="Y23" s="458">
        <v>12.9</v>
      </c>
    </row>
    <row r="24" spans="1:25" ht="11.25" customHeight="1">
      <c r="A24" s="137"/>
      <c r="B24" s="156"/>
      <c r="C24" s="132"/>
      <c r="D24" s="156"/>
      <c r="E24" s="156"/>
      <c r="F24" s="177"/>
      <c r="G24" s="178"/>
      <c r="H24" s="178"/>
      <c r="I24" s="179"/>
      <c r="J24" s="26"/>
      <c r="K24" s="26"/>
      <c r="L24" s="22"/>
      <c r="P24" s="457">
        <v>21</v>
      </c>
      <c r="Q24" s="458">
        <v>9.0128573008945967</v>
      </c>
      <c r="R24" s="458">
        <v>5.4099998474121005</v>
      </c>
      <c r="S24" s="458">
        <v>73.744141714913454</v>
      </c>
      <c r="T24" s="458">
        <v>44.79285812377924</v>
      </c>
      <c r="U24" s="458">
        <v>10.11999988555907</v>
      </c>
      <c r="V24" s="458">
        <v>10.011428560529414</v>
      </c>
      <c r="W24" s="458">
        <v>1.2349999972752113</v>
      </c>
      <c r="X24" s="458">
        <v>52.17071369716097</v>
      </c>
      <c r="Y24" s="458">
        <v>11.968571390424414</v>
      </c>
    </row>
    <row r="25" spans="1:25" ht="11.25" customHeight="1">
      <c r="A25" s="137"/>
      <c r="B25" s="156"/>
      <c r="C25" s="132"/>
      <c r="D25" s="156"/>
      <c r="E25" s="156"/>
      <c r="F25" s="177"/>
      <c r="G25" s="178"/>
      <c r="H25" s="178"/>
      <c r="I25" s="179"/>
      <c r="J25" s="25"/>
      <c r="K25" s="29"/>
      <c r="L25" s="30"/>
      <c r="P25" s="457">
        <v>22</v>
      </c>
      <c r="Q25" s="458">
        <v>7.95</v>
      </c>
      <c r="R25" s="458">
        <v>3.82</v>
      </c>
      <c r="S25" s="458">
        <v>66.739999999999995</v>
      </c>
      <c r="T25" s="458">
        <v>34.01</v>
      </c>
      <c r="U25" s="458">
        <v>8.15</v>
      </c>
      <c r="V25" s="458">
        <v>10.02</v>
      </c>
      <c r="W25" s="458">
        <v>1.52</v>
      </c>
      <c r="X25" s="458">
        <v>46.88</v>
      </c>
      <c r="Y25" s="458">
        <v>9.89</v>
      </c>
    </row>
    <row r="26" spans="1:25" ht="11.25" customHeight="1">
      <c r="A26" s="137"/>
      <c r="B26" s="156"/>
      <c r="C26" s="132"/>
      <c r="D26" s="156"/>
      <c r="E26" s="156"/>
      <c r="F26" s="138"/>
      <c r="G26" s="138"/>
      <c r="H26" s="138"/>
      <c r="I26" s="138"/>
      <c r="J26" s="23"/>
      <c r="K26" s="26"/>
      <c r="L26" s="22"/>
      <c r="P26" s="457">
        <v>23</v>
      </c>
      <c r="Q26" s="458">
        <v>7.6</v>
      </c>
      <c r="R26" s="458">
        <v>3.22</v>
      </c>
      <c r="S26" s="458">
        <v>59.4</v>
      </c>
      <c r="T26" s="458">
        <v>28.71</v>
      </c>
      <c r="U26" s="458">
        <v>7.74</v>
      </c>
      <c r="V26" s="458">
        <v>10</v>
      </c>
      <c r="W26" s="458">
        <v>1.55</v>
      </c>
      <c r="X26" s="458">
        <v>43.39</v>
      </c>
      <c r="Y26" s="458">
        <v>8.57</v>
      </c>
    </row>
    <row r="27" spans="1:25" ht="11.25" customHeight="1">
      <c r="A27" s="137"/>
      <c r="B27" s="156"/>
      <c r="C27" s="132"/>
      <c r="D27" s="156"/>
      <c r="E27" s="156"/>
      <c r="F27" s="138"/>
      <c r="G27" s="138"/>
      <c r="H27" s="138"/>
      <c r="I27" s="138"/>
      <c r="J27" s="23"/>
      <c r="K27" s="26"/>
      <c r="L27" s="22"/>
      <c r="O27" s="456">
        <v>24</v>
      </c>
      <c r="P27" s="457">
        <v>24</v>
      </c>
      <c r="Q27" s="458">
        <v>9.57</v>
      </c>
      <c r="R27" s="458">
        <v>3.42</v>
      </c>
      <c r="S27" s="458">
        <v>54.3</v>
      </c>
      <c r="T27" s="458">
        <v>30.83</v>
      </c>
      <c r="U27" s="458">
        <v>7.53</v>
      </c>
      <c r="V27" s="458">
        <v>10</v>
      </c>
      <c r="W27" s="458">
        <v>1.6</v>
      </c>
      <c r="X27" s="458">
        <v>40.28</v>
      </c>
      <c r="Y27" s="458">
        <v>9.6</v>
      </c>
    </row>
    <row r="28" spans="1:25" ht="11.25" customHeight="1">
      <c r="A28" s="136"/>
      <c r="B28" s="138"/>
      <c r="C28" s="138"/>
      <c r="D28" s="138"/>
      <c r="E28" s="138"/>
      <c r="F28" s="138"/>
      <c r="G28" s="138"/>
      <c r="H28" s="138"/>
      <c r="I28" s="138"/>
      <c r="J28" s="25"/>
      <c r="K28" s="26"/>
      <c r="L28" s="22"/>
      <c r="P28" s="457">
        <v>25</v>
      </c>
      <c r="Q28" s="458">
        <v>9.0548571179999993</v>
      </c>
      <c r="R28" s="458">
        <v>3.2130000590000001</v>
      </c>
      <c r="S28" s="458">
        <v>56.674428669999998</v>
      </c>
      <c r="T28" s="458">
        <v>25.690000260000001</v>
      </c>
      <c r="U28" s="458">
        <v>6.9342856409999998</v>
      </c>
      <c r="V28" s="458">
        <v>10.00571442</v>
      </c>
      <c r="W28" s="458">
        <v>1.254714302</v>
      </c>
      <c r="X28" s="458">
        <v>37.560714179999998</v>
      </c>
      <c r="Y28" s="458">
        <v>7.91285726</v>
      </c>
    </row>
    <row r="29" spans="1:25" ht="11.25" customHeight="1">
      <c r="A29" s="136"/>
      <c r="B29" s="138"/>
      <c r="C29" s="138"/>
      <c r="D29" s="138"/>
      <c r="E29" s="138"/>
      <c r="F29" s="138"/>
      <c r="G29" s="138"/>
      <c r="H29" s="138"/>
      <c r="I29" s="138"/>
      <c r="J29" s="25"/>
      <c r="K29" s="26"/>
      <c r="L29" s="22"/>
      <c r="P29" s="457">
        <v>26</v>
      </c>
      <c r="Q29" s="458">
        <v>8.8612857550000008</v>
      </c>
      <c r="R29" s="458">
        <v>3.5</v>
      </c>
      <c r="S29" s="458">
        <v>68.087428501674069</v>
      </c>
      <c r="T29" s="458">
        <v>30.317143300000001</v>
      </c>
      <c r="U29" s="458">
        <v>8.8971428190000008</v>
      </c>
      <c r="V29" s="458">
        <v>10</v>
      </c>
      <c r="W29" s="458">
        <v>1.4324285809999999</v>
      </c>
      <c r="X29" s="458">
        <v>37.759999409999999</v>
      </c>
      <c r="Y29" s="458">
        <v>8.911428656</v>
      </c>
    </row>
    <row r="30" spans="1:25" ht="11.25" customHeight="1">
      <c r="A30" s="136"/>
      <c r="B30" s="138"/>
      <c r="C30" s="138"/>
      <c r="D30" s="138"/>
      <c r="E30" s="138"/>
      <c r="F30" s="138"/>
      <c r="G30" s="138"/>
      <c r="H30" s="138"/>
      <c r="I30" s="138"/>
      <c r="J30" s="25"/>
      <c r="K30" s="26"/>
      <c r="L30" s="22"/>
      <c r="P30" s="457">
        <v>27</v>
      </c>
      <c r="Q30" s="458">
        <v>8.3185714990000008</v>
      </c>
      <c r="R30" s="458">
        <v>4.0900001530000001</v>
      </c>
      <c r="S30" s="458">
        <v>60.110428400000004</v>
      </c>
      <c r="T30" s="458">
        <v>28.581429350000001</v>
      </c>
      <c r="U30" s="458">
        <v>7.9442856649999998</v>
      </c>
      <c r="V30" s="458">
        <v>10.001428600000001</v>
      </c>
      <c r="W30" s="458">
        <v>1.455999987</v>
      </c>
      <c r="X30" s="458">
        <v>35.967143470000003</v>
      </c>
      <c r="Y30" s="458">
        <v>7.2057142259999996</v>
      </c>
    </row>
    <row r="31" spans="1:25" ht="11.25" customHeight="1">
      <c r="A31" s="136"/>
      <c r="B31" s="138"/>
      <c r="C31" s="138"/>
      <c r="D31" s="138"/>
      <c r="E31" s="138"/>
      <c r="F31" s="138"/>
      <c r="G31" s="138"/>
      <c r="H31" s="138"/>
      <c r="I31" s="138"/>
      <c r="J31" s="25"/>
      <c r="K31" s="26"/>
      <c r="L31" s="22"/>
      <c r="O31" s="456">
        <v>28</v>
      </c>
      <c r="P31" s="457">
        <v>28</v>
      </c>
      <c r="Q31" s="458">
        <v>7.789714268</v>
      </c>
      <c r="R31" s="458">
        <v>3.119999886</v>
      </c>
      <c r="S31" s="458">
        <v>60.986856189999997</v>
      </c>
      <c r="T31" s="458">
        <v>27.099999836512943</v>
      </c>
      <c r="U31" s="458">
        <v>7.4514284819999999</v>
      </c>
      <c r="V31" s="458">
        <v>10.0128573</v>
      </c>
      <c r="W31" s="458">
        <v>1.5508571609999999</v>
      </c>
      <c r="X31" s="458">
        <v>47.66357095</v>
      </c>
      <c r="Y31" s="458">
        <v>9.9999998639999994</v>
      </c>
    </row>
    <row r="32" spans="1:25" ht="11.25" customHeight="1">
      <c r="A32" s="136"/>
      <c r="B32" s="138"/>
      <c r="C32" s="138"/>
      <c r="D32" s="138"/>
      <c r="E32" s="138"/>
      <c r="F32" s="138"/>
      <c r="G32" s="138"/>
      <c r="H32" s="138"/>
      <c r="I32" s="138"/>
      <c r="J32" s="26"/>
      <c r="K32" s="26"/>
      <c r="L32" s="22"/>
      <c r="P32" s="457">
        <v>29</v>
      </c>
      <c r="Q32" s="458">
        <v>7.1615714349999999</v>
      </c>
      <c r="R32" s="458">
        <v>3.4249999519999998</v>
      </c>
      <c r="S32" s="458">
        <v>56.540714260000001</v>
      </c>
      <c r="T32" s="458">
        <v>23.477142610000001</v>
      </c>
      <c r="U32" s="458">
        <v>6.2828570089999998</v>
      </c>
      <c r="V32" s="458">
        <v>10.001428600000001</v>
      </c>
      <c r="W32" s="458">
        <v>2.1035714489999999</v>
      </c>
      <c r="X32" s="458">
        <v>44.25</v>
      </c>
      <c r="Y32" s="458">
        <v>6.7128572460000004</v>
      </c>
    </row>
    <row r="33" spans="1:25" ht="11.25" customHeight="1">
      <c r="A33" s="136"/>
      <c r="B33" s="138"/>
      <c r="C33" s="138"/>
      <c r="D33" s="138"/>
      <c r="E33" s="138"/>
      <c r="F33" s="138"/>
      <c r="G33" s="138"/>
      <c r="H33" s="138"/>
      <c r="I33" s="138"/>
      <c r="J33" s="25"/>
      <c r="K33" s="26"/>
      <c r="L33" s="22"/>
      <c r="P33" s="457">
        <v>30</v>
      </c>
      <c r="Q33" s="458">
        <v>6.6714285440000003</v>
      </c>
      <c r="R33" s="458">
        <v>2.8789999489999998</v>
      </c>
      <c r="S33" s="458">
        <v>65.491856709999993</v>
      </c>
      <c r="T33" s="458">
        <v>21.095714300000001</v>
      </c>
      <c r="U33" s="458">
        <v>5.8057142669999999</v>
      </c>
      <c r="V33" s="458">
        <v>10.01142883</v>
      </c>
      <c r="W33" s="458">
        <v>1.8491428750000001</v>
      </c>
      <c r="X33" s="458">
        <v>42.498571668352326</v>
      </c>
      <c r="Y33" s="458">
        <v>6.0797142300000004</v>
      </c>
    </row>
    <row r="34" spans="1:25" ht="11.25" customHeight="1">
      <c r="A34" s="136"/>
      <c r="B34" s="138"/>
      <c r="C34" s="138"/>
      <c r="D34" s="138"/>
      <c r="E34" s="138"/>
      <c r="F34" s="138"/>
      <c r="G34" s="138"/>
      <c r="H34" s="138"/>
      <c r="I34" s="138"/>
      <c r="J34" s="25"/>
      <c r="K34" s="34"/>
      <c r="L34" s="22"/>
      <c r="P34" s="457">
        <v>31</v>
      </c>
      <c r="Q34" s="458">
        <v>6.2387143543788328</v>
      </c>
      <c r="R34" s="458">
        <v>2.9382856232779297</v>
      </c>
      <c r="S34" s="458">
        <v>65.491856711251344</v>
      </c>
      <c r="T34" s="458">
        <v>20.037142889840243</v>
      </c>
      <c r="U34" s="458">
        <v>5.4814286231994549</v>
      </c>
      <c r="V34" s="458">
        <v>10.011428833007772</v>
      </c>
      <c r="W34" s="458">
        <v>1.8019999946866672</v>
      </c>
      <c r="X34" s="458">
        <v>39.98428617204933</v>
      </c>
      <c r="Y34" s="458">
        <v>4.9059999329703157</v>
      </c>
    </row>
    <row r="35" spans="1:25" ht="11.25" customHeight="1">
      <c r="A35" s="136"/>
      <c r="B35" s="138"/>
      <c r="C35" s="138"/>
      <c r="D35" s="138"/>
      <c r="E35" s="138"/>
      <c r="F35" s="138"/>
      <c r="G35" s="138"/>
      <c r="H35" s="138"/>
      <c r="I35" s="138"/>
      <c r="J35" s="25"/>
      <c r="K35" s="34"/>
      <c r="L35" s="38"/>
      <c r="O35" s="456">
        <v>32</v>
      </c>
      <c r="P35" s="457">
        <v>32</v>
      </c>
      <c r="Q35" s="458">
        <v>6.1697142459999998</v>
      </c>
      <c r="R35" s="458">
        <v>3.2030000689999998</v>
      </c>
      <c r="S35" s="458">
        <v>49.942714418571427</v>
      </c>
      <c r="T35" s="458">
        <v>23.275714059999999</v>
      </c>
      <c r="U35" s="458">
        <v>5.8257142479999997</v>
      </c>
      <c r="V35" s="458">
        <v>10.004285810000001</v>
      </c>
      <c r="W35" s="458">
        <v>1.2214285650000001</v>
      </c>
      <c r="X35" s="458">
        <v>36.654999320000002</v>
      </c>
      <c r="Y35" s="458">
        <v>4.0242800000000001</v>
      </c>
    </row>
    <row r="36" spans="1:25" ht="11.25" customHeight="1">
      <c r="A36" s="136"/>
      <c r="B36" s="138"/>
      <c r="C36" s="138"/>
      <c r="D36" s="138"/>
      <c r="E36" s="138"/>
      <c r="F36" s="138"/>
      <c r="G36" s="138"/>
      <c r="H36" s="138"/>
      <c r="I36" s="138"/>
      <c r="J36" s="25"/>
      <c r="K36" s="29"/>
      <c r="L36" s="22"/>
      <c r="P36" s="457">
        <v>33</v>
      </c>
      <c r="Q36" s="458">
        <v>6.3728570940000004</v>
      </c>
      <c r="R36" s="458">
        <v>2.841857144</v>
      </c>
      <c r="S36" s="458">
        <v>57.183571406773112</v>
      </c>
      <c r="T36" s="458">
        <v>22.619999750000002</v>
      </c>
      <c r="U36" s="458">
        <v>5.5228571210000004</v>
      </c>
      <c r="V36" s="458">
        <v>10</v>
      </c>
      <c r="W36" s="458">
        <v>1.3032857349940685</v>
      </c>
      <c r="X36" s="458">
        <v>35.152857099999999</v>
      </c>
      <c r="Y36" s="458">
        <v>4.354285752</v>
      </c>
    </row>
    <row r="37" spans="1:25" ht="11.25" customHeight="1">
      <c r="A37" s="136"/>
      <c r="B37" s="138"/>
      <c r="C37" s="138"/>
      <c r="D37" s="138"/>
      <c r="E37" s="138"/>
      <c r="F37" s="138"/>
      <c r="G37" s="138"/>
      <c r="H37" s="138"/>
      <c r="I37" s="138"/>
      <c r="J37" s="25"/>
      <c r="K37" s="29"/>
      <c r="L37" s="22"/>
      <c r="P37" s="457">
        <v>34</v>
      </c>
      <c r="Q37" s="458">
        <v>6.1195714130000001</v>
      </c>
      <c r="R37" s="458">
        <v>3.058000088</v>
      </c>
      <c r="S37" s="458">
        <v>49.366142269999997</v>
      </c>
      <c r="T37" s="458">
        <v>25.04757145</v>
      </c>
      <c r="U37" s="458">
        <v>5.8727143149999996</v>
      </c>
      <c r="V37" s="458">
        <v>10.00857162</v>
      </c>
      <c r="W37" s="458">
        <v>1.2842857160000001</v>
      </c>
      <c r="X37" s="458">
        <v>34.115715029999997</v>
      </c>
      <c r="Y37" s="458">
        <v>4.3511429509999999</v>
      </c>
    </row>
    <row r="38" spans="1:25" ht="11.25" customHeight="1">
      <c r="A38" s="136"/>
      <c r="B38" s="138"/>
      <c r="C38" s="138"/>
      <c r="D38" s="138"/>
      <c r="E38" s="138"/>
      <c r="F38" s="138"/>
      <c r="G38" s="138"/>
      <c r="H38" s="138"/>
      <c r="I38" s="138"/>
      <c r="J38" s="25"/>
      <c r="K38" s="29"/>
      <c r="L38" s="22"/>
      <c r="P38" s="457">
        <v>35</v>
      </c>
      <c r="Q38" s="458">
        <v>5.9814286230000002</v>
      </c>
      <c r="R38" s="458">
        <v>1.506999969</v>
      </c>
      <c r="S38" s="458">
        <v>56.934856959999998</v>
      </c>
      <c r="T38" s="458">
        <v>21.374285830000002</v>
      </c>
      <c r="U38" s="458">
        <v>4.9342857090000001</v>
      </c>
      <c r="V38" s="458">
        <v>10.28714289</v>
      </c>
      <c r="W38" s="458">
        <v>1.5979999810000001</v>
      </c>
      <c r="X38" s="458">
        <v>30.92</v>
      </c>
      <c r="Y38" s="458">
        <v>5.3042856629999999</v>
      </c>
    </row>
    <row r="39" spans="1:25" ht="11.25" customHeight="1">
      <c r="O39" s="456">
        <v>36</v>
      </c>
      <c r="P39" s="457">
        <v>36</v>
      </c>
      <c r="Q39" s="458">
        <v>6.03</v>
      </c>
      <c r="R39" s="458">
        <v>2.8</v>
      </c>
      <c r="S39" s="458">
        <v>48.51</v>
      </c>
      <c r="T39" s="458">
        <v>22.661428449999999</v>
      </c>
      <c r="U39" s="458">
        <v>4.9800000000000004</v>
      </c>
      <c r="V39" s="458">
        <v>11.01</v>
      </c>
      <c r="W39" s="458">
        <v>1.63</v>
      </c>
      <c r="X39" s="458">
        <v>30.922143120000001</v>
      </c>
      <c r="Y39" s="458">
        <v>7.46</v>
      </c>
    </row>
    <row r="40" spans="1:25" ht="11.25" customHeight="1">
      <c r="A40" s="967" t="s">
        <v>517</v>
      </c>
      <c r="B40" s="967"/>
      <c r="C40" s="967"/>
      <c r="D40" s="967"/>
      <c r="E40" s="967"/>
      <c r="F40" s="967"/>
      <c r="G40" s="967"/>
      <c r="H40" s="967"/>
      <c r="I40" s="967"/>
      <c r="J40" s="967"/>
      <c r="K40" s="967"/>
      <c r="L40" s="967"/>
      <c r="P40" s="457">
        <v>37</v>
      </c>
      <c r="Q40" s="458">
        <v>6.03</v>
      </c>
      <c r="R40" s="458">
        <v>2.37</v>
      </c>
      <c r="S40" s="458">
        <v>43.99</v>
      </c>
      <c r="T40" s="458">
        <v>19.149999999999999</v>
      </c>
      <c r="U40" s="458">
        <v>5.31</v>
      </c>
      <c r="V40" s="458">
        <v>11</v>
      </c>
      <c r="W40" s="458">
        <v>1.59</v>
      </c>
      <c r="X40" s="458">
        <v>29.33</v>
      </c>
      <c r="Y40" s="458">
        <v>7.79</v>
      </c>
    </row>
    <row r="41" spans="1:25" ht="11.25" customHeight="1">
      <c r="P41" s="457">
        <v>38</v>
      </c>
      <c r="Q41" s="458">
        <v>6.5951428410000004</v>
      </c>
      <c r="R41" s="458">
        <v>3.0060000420000001</v>
      </c>
      <c r="S41" s="458">
        <v>47.220570700000003</v>
      </c>
      <c r="T41" s="458">
        <v>22.304285589999999</v>
      </c>
      <c r="U41" s="458">
        <v>5.581428528</v>
      </c>
      <c r="V41" s="458">
        <v>10.85142858</v>
      </c>
      <c r="W41" s="458">
        <v>1.5402856890000001</v>
      </c>
      <c r="X41" s="458">
        <v>34.179286410000003</v>
      </c>
      <c r="Y41" s="458">
        <v>8.5442856379999998</v>
      </c>
    </row>
    <row r="42" spans="1:25" ht="11.25" customHeight="1">
      <c r="A42" s="136"/>
      <c r="B42" s="138"/>
      <c r="C42" s="138"/>
      <c r="D42" s="138"/>
      <c r="E42" s="138"/>
      <c r="F42" s="138"/>
      <c r="G42" s="138"/>
      <c r="H42" s="138"/>
      <c r="I42" s="138"/>
      <c r="O42" s="456">
        <v>39</v>
      </c>
      <c r="P42" s="457">
        <v>39</v>
      </c>
      <c r="Q42" s="458">
        <v>6.84</v>
      </c>
      <c r="R42" s="458">
        <v>3.32</v>
      </c>
      <c r="S42" s="458">
        <v>63.05</v>
      </c>
      <c r="T42" s="458">
        <v>48.7</v>
      </c>
      <c r="U42" s="458">
        <v>7.81</v>
      </c>
      <c r="V42" s="458">
        <v>11.15</v>
      </c>
      <c r="W42" s="458">
        <v>1.32</v>
      </c>
      <c r="X42" s="458">
        <v>38.82</v>
      </c>
      <c r="Y42" s="458">
        <v>6.81</v>
      </c>
    </row>
    <row r="43" spans="1:25" ht="11.25" customHeight="1">
      <c r="A43" s="136"/>
      <c r="B43" s="138"/>
      <c r="C43" s="138"/>
      <c r="D43" s="138"/>
      <c r="E43" s="138"/>
      <c r="F43" s="138"/>
      <c r="G43" s="138"/>
      <c r="H43" s="138"/>
      <c r="I43" s="138"/>
      <c r="P43" s="457">
        <v>40</v>
      </c>
      <c r="Q43" s="458">
        <v>7.6862857681428576</v>
      </c>
      <c r="R43" s="458">
        <v>3.1560000009999998</v>
      </c>
      <c r="S43" s="458">
        <v>61.54114314571428</v>
      </c>
      <c r="T43" s="458">
        <v>37.928571428999994</v>
      </c>
      <c r="U43" s="458">
        <v>7.9165713450000004</v>
      </c>
      <c r="V43" s="458">
        <v>11.005714417142856</v>
      </c>
      <c r="W43" s="458">
        <v>1.3828571522857145</v>
      </c>
      <c r="X43" s="458">
        <v>43.879284992857151</v>
      </c>
      <c r="Y43" s="458">
        <v>6.2752857208571422</v>
      </c>
    </row>
    <row r="44" spans="1:25" ht="11.25" customHeight="1">
      <c r="A44" s="136"/>
      <c r="B44" s="138"/>
      <c r="C44" s="138"/>
      <c r="D44" s="138"/>
      <c r="E44" s="138"/>
      <c r="F44" s="138"/>
      <c r="G44" s="138"/>
      <c r="H44" s="138"/>
      <c r="I44" s="138"/>
      <c r="P44" s="457">
        <v>41</v>
      </c>
      <c r="Q44" s="458">
        <v>7.1000001089913463</v>
      </c>
      <c r="R44" s="458">
        <v>2.9028571673801928</v>
      </c>
      <c r="S44" s="458">
        <v>58.117285592215353</v>
      </c>
      <c r="T44" s="458">
        <v>48.921429225376635</v>
      </c>
      <c r="U44" s="458">
        <v>8.5942858287266173</v>
      </c>
      <c r="V44" s="458">
        <v>11.002857208251914</v>
      </c>
      <c r="W44" s="458">
        <v>1.3182857036590543</v>
      </c>
      <c r="X44" s="458">
        <v>45.627857753208637</v>
      </c>
      <c r="Y44" s="458">
        <v>9.9285714966910028</v>
      </c>
    </row>
    <row r="45" spans="1:25" ht="11.25" customHeight="1">
      <c r="A45" s="136"/>
      <c r="B45" s="138"/>
      <c r="C45" s="138"/>
      <c r="D45" s="138"/>
      <c r="E45" s="138"/>
      <c r="F45" s="138"/>
      <c r="G45" s="138"/>
      <c r="H45" s="138"/>
      <c r="I45" s="138"/>
      <c r="P45" s="457">
        <v>42</v>
      </c>
      <c r="Q45" s="458">
        <v>6.7610000201428573</v>
      </c>
      <c r="R45" s="458">
        <v>2.8671428815714286</v>
      </c>
      <c r="S45" s="458">
        <v>58.888142721428572</v>
      </c>
      <c r="T45" s="458">
        <v>55.619142805714283</v>
      </c>
      <c r="U45" s="458">
        <v>9.5089999614285716</v>
      </c>
      <c r="V45" s="458">
        <v>11.007142884285715</v>
      </c>
      <c r="W45" s="458">
        <v>1.2221428497142859</v>
      </c>
      <c r="X45" s="458">
        <v>52.615000045714282</v>
      </c>
      <c r="Y45" s="458">
        <v>9.6800000322857152</v>
      </c>
    </row>
    <row r="46" spans="1:25" ht="11.25" customHeight="1">
      <c r="A46" s="136"/>
      <c r="B46" s="138"/>
      <c r="C46" s="138"/>
      <c r="D46" s="138"/>
      <c r="E46" s="138"/>
      <c r="F46" s="138"/>
      <c r="G46" s="138"/>
      <c r="H46" s="138"/>
      <c r="I46" s="138"/>
      <c r="O46" s="456">
        <v>43</v>
      </c>
      <c r="P46" s="457">
        <v>43</v>
      </c>
      <c r="Q46" s="458">
        <v>6.53</v>
      </c>
      <c r="R46" s="458">
        <v>2.37</v>
      </c>
      <c r="S46" s="458">
        <v>69.2</v>
      </c>
      <c r="T46" s="458">
        <v>54.58</v>
      </c>
      <c r="U46" s="458">
        <v>8.23</v>
      </c>
      <c r="V46" s="458">
        <v>11.01</v>
      </c>
      <c r="W46" s="458">
        <v>1.35</v>
      </c>
      <c r="X46" s="458">
        <v>50.71</v>
      </c>
      <c r="Y46" s="458">
        <v>10.33</v>
      </c>
    </row>
    <row r="47" spans="1:25" ht="11.25" customHeight="1">
      <c r="A47" s="136"/>
      <c r="B47" s="138"/>
      <c r="C47" s="138"/>
      <c r="D47" s="138"/>
      <c r="E47" s="138"/>
      <c r="F47" s="138"/>
      <c r="G47" s="138"/>
      <c r="H47" s="138"/>
      <c r="I47" s="138"/>
      <c r="P47" s="457">
        <v>44</v>
      </c>
      <c r="Q47" s="458">
        <v>7.58</v>
      </c>
      <c r="R47" s="458">
        <v>4.8899999999999997</v>
      </c>
      <c r="S47" s="458">
        <v>51.59</v>
      </c>
      <c r="T47" s="458">
        <v>57.65</v>
      </c>
      <c r="U47" s="458">
        <v>7.72</v>
      </c>
      <c r="V47" s="458">
        <v>11.01</v>
      </c>
      <c r="W47" s="458">
        <v>1.47</v>
      </c>
      <c r="X47" s="458">
        <v>48.41</v>
      </c>
      <c r="Y47" s="458">
        <v>11.29</v>
      </c>
    </row>
    <row r="48" spans="1:25">
      <c r="A48" s="136"/>
      <c r="B48" s="138"/>
      <c r="C48" s="138"/>
      <c r="D48" s="138"/>
      <c r="E48" s="138"/>
      <c r="F48" s="138"/>
      <c r="G48" s="138"/>
      <c r="H48" s="138"/>
      <c r="I48" s="138"/>
      <c r="P48" s="457">
        <v>45</v>
      </c>
      <c r="Q48" s="458">
        <v>6.95</v>
      </c>
      <c r="R48" s="458">
        <v>1.61</v>
      </c>
      <c r="S48" s="458">
        <v>72.92</v>
      </c>
      <c r="T48" s="458">
        <v>67.069999999999993</v>
      </c>
      <c r="U48" s="458">
        <v>6.9</v>
      </c>
      <c r="V48" s="458">
        <v>11</v>
      </c>
      <c r="W48" s="458">
        <v>1.42</v>
      </c>
      <c r="X48" s="458">
        <v>47.24</v>
      </c>
      <c r="Y48" s="458">
        <v>9</v>
      </c>
    </row>
    <row r="49" spans="1:25">
      <c r="A49" s="136"/>
      <c r="B49" s="138"/>
      <c r="C49" s="138"/>
      <c r="D49" s="138"/>
      <c r="E49" s="138"/>
      <c r="F49" s="138"/>
      <c r="G49" s="138"/>
      <c r="H49" s="138"/>
      <c r="I49" s="138"/>
      <c r="P49" s="457">
        <v>46</v>
      </c>
      <c r="Q49" s="458">
        <v>6.8571429249999998</v>
      </c>
      <c r="R49" s="458">
        <v>1.6428571599999999</v>
      </c>
      <c r="S49" s="458">
        <v>58.4</v>
      </c>
      <c r="T49" s="458">
        <v>34.982142860000003</v>
      </c>
      <c r="U49" s="458">
        <v>5.0667143550000002</v>
      </c>
      <c r="V49" s="458">
        <v>11.01</v>
      </c>
      <c r="W49" s="458">
        <v>1.38</v>
      </c>
      <c r="X49" s="458">
        <v>40.61</v>
      </c>
      <c r="Y49" s="458">
        <v>8.81</v>
      </c>
    </row>
    <row r="50" spans="1:25">
      <c r="A50" s="136"/>
      <c r="B50" s="138"/>
      <c r="C50" s="138"/>
      <c r="D50" s="138"/>
      <c r="E50" s="138"/>
      <c r="F50" s="138"/>
      <c r="G50" s="138"/>
      <c r="H50" s="138"/>
      <c r="I50" s="138"/>
      <c r="P50" s="457">
        <v>47</v>
      </c>
      <c r="Q50" s="458">
        <v>6.9940000260000001</v>
      </c>
      <c r="R50" s="458">
        <v>1.5142857009999999</v>
      </c>
      <c r="S50" s="458">
        <v>52.554856440000002</v>
      </c>
      <c r="T50" s="458">
        <v>29.07742855</v>
      </c>
      <c r="U50" s="458">
        <v>4.2727143420000004</v>
      </c>
      <c r="V50" s="458">
        <v>11.00286</v>
      </c>
      <c r="W50" s="458">
        <v>1.63</v>
      </c>
      <c r="X50" s="458">
        <v>41.625</v>
      </c>
      <c r="Y50" s="458">
        <v>9.3542860000000001</v>
      </c>
    </row>
    <row r="51" spans="1:25">
      <c r="A51" s="136"/>
      <c r="B51" s="138"/>
      <c r="C51" s="138"/>
      <c r="D51" s="138"/>
      <c r="E51" s="138"/>
      <c r="F51" s="138"/>
      <c r="G51" s="138"/>
      <c r="H51" s="138"/>
      <c r="I51" s="138"/>
      <c r="O51" s="456">
        <v>48</v>
      </c>
      <c r="P51" s="457">
        <v>48</v>
      </c>
      <c r="Q51" s="458">
        <v>7.1124285970000001</v>
      </c>
      <c r="R51" s="458">
        <v>1.4714285645714287</v>
      </c>
      <c r="S51" s="458">
        <v>53.429429191428575</v>
      </c>
      <c r="T51" s="458">
        <v>88.059571399999996</v>
      </c>
      <c r="U51" s="458">
        <v>7.879285812428571</v>
      </c>
      <c r="V51" s="458">
        <v>10.862857274285714</v>
      </c>
      <c r="W51" s="458">
        <v>1.6007142748571428</v>
      </c>
      <c r="X51" s="458">
        <v>41.014285495714283</v>
      </c>
      <c r="Y51" s="458">
        <v>14.194285802</v>
      </c>
    </row>
    <row r="52" spans="1:25">
      <c r="A52" s="136"/>
      <c r="B52" s="138"/>
      <c r="C52" s="138"/>
      <c r="D52" s="138"/>
      <c r="E52" s="138"/>
      <c r="F52" s="138"/>
      <c r="G52" s="138"/>
      <c r="H52" s="138"/>
      <c r="I52" s="138"/>
      <c r="P52" s="457">
        <v>49</v>
      </c>
      <c r="Q52" s="458">
        <v>8.43</v>
      </c>
      <c r="R52" s="458">
        <v>2.2400000000000002</v>
      </c>
      <c r="S52" s="458">
        <v>61.07</v>
      </c>
      <c r="T52" s="458">
        <v>106.59</v>
      </c>
      <c r="U52" s="458">
        <v>16.09</v>
      </c>
      <c r="V52" s="458">
        <v>10.5</v>
      </c>
      <c r="W52" s="458">
        <v>1.1200000000000001</v>
      </c>
      <c r="X52" s="458">
        <v>83.6</v>
      </c>
      <c r="Y52" s="458">
        <v>22.62</v>
      </c>
    </row>
    <row r="53" spans="1:25">
      <c r="A53" s="136"/>
      <c r="B53" s="138"/>
      <c r="C53" s="138"/>
      <c r="D53" s="138"/>
      <c r="E53" s="138"/>
      <c r="F53" s="138"/>
      <c r="G53" s="138"/>
      <c r="H53" s="138"/>
      <c r="I53" s="138"/>
      <c r="P53" s="457">
        <v>50</v>
      </c>
      <c r="Q53" s="458">
        <v>8.32</v>
      </c>
      <c r="R53" s="458">
        <v>2.19</v>
      </c>
      <c r="S53" s="458">
        <v>78.02</v>
      </c>
      <c r="T53" s="458">
        <v>104.79</v>
      </c>
      <c r="U53" s="458">
        <v>18.649999999999999</v>
      </c>
      <c r="V53" s="458">
        <v>10.51</v>
      </c>
      <c r="W53" s="458">
        <v>1.1399999999999999</v>
      </c>
      <c r="X53" s="458">
        <v>66.8</v>
      </c>
      <c r="Y53" s="458">
        <v>22.62</v>
      </c>
    </row>
    <row r="54" spans="1:25">
      <c r="A54" s="136"/>
      <c r="B54" s="138"/>
      <c r="C54" s="138"/>
      <c r="D54" s="138"/>
      <c r="E54" s="138"/>
      <c r="F54" s="138"/>
      <c r="G54" s="138"/>
      <c r="H54" s="138"/>
      <c r="I54" s="138"/>
      <c r="P54" s="457">
        <v>51</v>
      </c>
      <c r="Q54" s="458">
        <v>9.08</v>
      </c>
      <c r="R54" s="458">
        <v>3.71</v>
      </c>
      <c r="S54" s="458">
        <v>67.64</v>
      </c>
      <c r="T54" s="458">
        <v>69.61</v>
      </c>
      <c r="U54" s="458">
        <v>11.22</v>
      </c>
      <c r="V54" s="458">
        <v>10.5</v>
      </c>
      <c r="W54" s="458">
        <v>1.37</v>
      </c>
      <c r="X54" s="458">
        <v>55.42</v>
      </c>
      <c r="Y54" s="458">
        <v>17.489999999999998</v>
      </c>
    </row>
    <row r="55" spans="1:25">
      <c r="A55" s="136"/>
      <c r="B55" s="138"/>
      <c r="C55" s="138"/>
      <c r="D55" s="138"/>
      <c r="E55" s="138"/>
      <c r="F55" s="138"/>
      <c r="G55" s="138"/>
      <c r="H55" s="138"/>
      <c r="I55" s="138"/>
      <c r="O55" s="456">
        <v>52</v>
      </c>
      <c r="P55" s="457">
        <v>52</v>
      </c>
      <c r="Q55" s="458">
        <v>8.42</v>
      </c>
      <c r="R55" s="458">
        <v>3.57</v>
      </c>
      <c r="S55" s="458">
        <v>56.187571937142856</v>
      </c>
      <c r="T55" s="458">
        <v>58.452428545714284</v>
      </c>
      <c r="U55" s="458">
        <v>8.01</v>
      </c>
      <c r="V55" s="458">
        <v>10.507142884285715</v>
      </c>
      <c r="W55" s="458">
        <v>1.53</v>
      </c>
      <c r="X55" s="458">
        <v>59.550713675714292</v>
      </c>
      <c r="Y55" s="458">
        <v>18.608285904285712</v>
      </c>
    </row>
    <row r="56" spans="1:25">
      <c r="A56" s="136"/>
      <c r="B56" s="138"/>
      <c r="C56" s="138"/>
      <c r="D56" s="138"/>
      <c r="E56" s="138"/>
      <c r="F56" s="138"/>
      <c r="G56" s="138"/>
      <c r="H56" s="138"/>
      <c r="I56" s="138"/>
      <c r="N56" s="456">
        <v>2017</v>
      </c>
      <c r="O56" s="456">
        <v>1</v>
      </c>
      <c r="P56" s="457">
        <v>1</v>
      </c>
      <c r="Q56" s="458">
        <v>13.85</v>
      </c>
      <c r="R56" s="458">
        <v>11.3</v>
      </c>
      <c r="S56" s="458">
        <v>104.02</v>
      </c>
      <c r="T56" s="458">
        <v>148.43</v>
      </c>
      <c r="U56" s="458">
        <v>24.1</v>
      </c>
      <c r="V56" s="458">
        <v>10.220000000000001</v>
      </c>
      <c r="W56" s="458">
        <v>3.28</v>
      </c>
      <c r="X56" s="458">
        <v>89.46</v>
      </c>
      <c r="Y56" s="458">
        <v>25.43</v>
      </c>
    </row>
    <row r="57" spans="1:25">
      <c r="A57" s="136"/>
      <c r="B57" s="138"/>
      <c r="C57" s="138"/>
      <c r="D57" s="138"/>
      <c r="E57" s="138"/>
      <c r="F57" s="138"/>
      <c r="G57" s="138"/>
      <c r="H57" s="138"/>
      <c r="I57" s="138"/>
      <c r="P57" s="457">
        <v>2</v>
      </c>
      <c r="Q57" s="458">
        <v>14.96</v>
      </c>
      <c r="R57" s="458">
        <v>15.4</v>
      </c>
      <c r="S57" s="458">
        <v>143.97</v>
      </c>
      <c r="T57" s="458">
        <v>175.88</v>
      </c>
      <c r="U57" s="458">
        <v>33.74</v>
      </c>
      <c r="V57" s="458">
        <v>10.17</v>
      </c>
      <c r="W57" s="458">
        <v>6.45</v>
      </c>
      <c r="X57" s="458">
        <v>178.14</v>
      </c>
      <c r="Y57" s="458">
        <v>55.67</v>
      </c>
    </row>
    <row r="58" spans="1:25">
      <c r="A58" s="136"/>
      <c r="B58" s="138"/>
      <c r="C58" s="138"/>
      <c r="D58" s="138"/>
      <c r="E58" s="138"/>
      <c r="F58" s="138"/>
      <c r="G58" s="138"/>
      <c r="H58" s="138"/>
      <c r="I58" s="138"/>
      <c r="P58" s="457">
        <v>3</v>
      </c>
      <c r="Q58" s="458">
        <v>28.98</v>
      </c>
      <c r="R58" s="458">
        <v>21.94</v>
      </c>
      <c r="S58" s="458">
        <v>355.12</v>
      </c>
      <c r="T58" s="458">
        <v>177.57</v>
      </c>
      <c r="U58" s="458">
        <v>35.49</v>
      </c>
      <c r="V58" s="458">
        <v>10</v>
      </c>
      <c r="W58" s="458">
        <v>9.0500000000000007</v>
      </c>
      <c r="X58" s="458">
        <v>174.94</v>
      </c>
      <c r="Y58" s="458">
        <v>58.31</v>
      </c>
    </row>
    <row r="59" spans="1:25">
      <c r="A59" s="136"/>
      <c r="B59" s="138"/>
      <c r="C59" s="138"/>
      <c r="D59" s="138"/>
      <c r="E59" s="138"/>
      <c r="F59" s="138"/>
      <c r="G59" s="138"/>
      <c r="H59" s="138"/>
      <c r="I59" s="138"/>
      <c r="O59" s="456">
        <v>4</v>
      </c>
      <c r="P59" s="457">
        <v>4</v>
      </c>
      <c r="Q59" s="458">
        <v>30.46</v>
      </c>
      <c r="R59" s="458">
        <v>23.91</v>
      </c>
      <c r="S59" s="458">
        <v>519.4</v>
      </c>
      <c r="T59" s="458">
        <v>205.76</v>
      </c>
      <c r="U59" s="458">
        <v>48.48</v>
      </c>
      <c r="V59" s="458">
        <v>10</v>
      </c>
      <c r="W59" s="458">
        <v>2.4300000000000002</v>
      </c>
      <c r="X59" s="458">
        <v>141.31</v>
      </c>
      <c r="Y59" s="458">
        <v>47.49</v>
      </c>
    </row>
    <row r="60" spans="1:25">
      <c r="A60" s="136"/>
      <c r="B60" s="138"/>
      <c r="C60" s="138"/>
      <c r="D60" s="138"/>
      <c r="E60" s="138"/>
      <c r="F60" s="138"/>
      <c r="G60" s="138"/>
      <c r="H60" s="138"/>
      <c r="I60" s="138"/>
      <c r="P60" s="457">
        <v>5</v>
      </c>
      <c r="Q60" s="458">
        <v>21.36</v>
      </c>
      <c r="R60" s="458">
        <v>18.07</v>
      </c>
      <c r="S60" s="458">
        <v>330.78</v>
      </c>
      <c r="T60" s="458">
        <v>123.41</v>
      </c>
      <c r="U60" s="458">
        <v>25.33</v>
      </c>
      <c r="V60" s="458">
        <v>11.41</v>
      </c>
      <c r="W60" s="458">
        <v>2.87</v>
      </c>
      <c r="X60" s="458">
        <v>123.59</v>
      </c>
      <c r="Y60" s="458">
        <v>45.46</v>
      </c>
    </row>
    <row r="61" spans="1:25">
      <c r="A61" s="136"/>
      <c r="B61" s="138"/>
      <c r="C61" s="138"/>
      <c r="D61" s="138"/>
      <c r="E61" s="138"/>
      <c r="F61" s="138"/>
      <c r="G61" s="138"/>
      <c r="H61" s="138"/>
      <c r="I61" s="138"/>
      <c r="P61" s="457">
        <v>6</v>
      </c>
      <c r="Q61" s="458">
        <v>25.42</v>
      </c>
      <c r="R61" s="458">
        <v>21.42</v>
      </c>
      <c r="S61" s="458">
        <v>200.58</v>
      </c>
      <c r="T61" s="458">
        <v>108.48</v>
      </c>
      <c r="U61" s="458">
        <v>22.99</v>
      </c>
      <c r="V61" s="458">
        <v>10.57</v>
      </c>
      <c r="W61" s="458">
        <v>3.01</v>
      </c>
      <c r="X61" s="458">
        <v>85.48</v>
      </c>
      <c r="Y61" s="458">
        <v>28.56</v>
      </c>
    </row>
    <row r="62" spans="1:25">
      <c r="A62" s="136"/>
      <c r="B62" s="138"/>
      <c r="C62" s="138"/>
      <c r="D62" s="138"/>
      <c r="E62" s="138"/>
      <c r="F62" s="138"/>
      <c r="G62" s="138"/>
      <c r="H62" s="138"/>
      <c r="I62" s="138"/>
      <c r="P62" s="457">
        <v>7</v>
      </c>
      <c r="Q62" s="458">
        <v>35.43</v>
      </c>
      <c r="R62" s="458">
        <v>25.12</v>
      </c>
      <c r="S62" s="458">
        <v>393.69</v>
      </c>
      <c r="T62" s="458">
        <v>144.62</v>
      </c>
      <c r="U62" s="458">
        <v>39.44</v>
      </c>
      <c r="V62" s="458">
        <v>10</v>
      </c>
      <c r="W62" s="458">
        <v>2.88</v>
      </c>
      <c r="X62" s="458">
        <v>100.57</v>
      </c>
      <c r="Y62" s="458">
        <v>25.04</v>
      </c>
    </row>
    <row r="63" spans="1:25">
      <c r="A63" s="136"/>
      <c r="B63" s="138"/>
      <c r="C63" s="138"/>
      <c r="D63" s="138"/>
      <c r="E63" s="138"/>
      <c r="F63" s="138"/>
      <c r="G63" s="138"/>
      <c r="H63" s="138"/>
      <c r="I63" s="138"/>
      <c r="O63" s="456">
        <v>8</v>
      </c>
      <c r="P63" s="457">
        <v>8</v>
      </c>
      <c r="Q63" s="458">
        <v>30.45</v>
      </c>
      <c r="R63" s="458">
        <v>23.33</v>
      </c>
      <c r="S63" s="458">
        <v>345.37</v>
      </c>
      <c r="T63" s="458">
        <v>140.63</v>
      </c>
      <c r="U63" s="458">
        <v>30.47</v>
      </c>
      <c r="V63" s="458">
        <v>9.58</v>
      </c>
      <c r="W63" s="458">
        <v>2.0699999999999998</v>
      </c>
      <c r="X63" s="458">
        <v>163.72999999999999</v>
      </c>
      <c r="Y63" s="458">
        <v>58.84</v>
      </c>
    </row>
    <row r="64" spans="1:25" ht="6" customHeight="1">
      <c r="A64" s="136"/>
      <c r="B64" s="138"/>
      <c r="C64" s="138"/>
      <c r="D64" s="138"/>
      <c r="E64" s="138"/>
      <c r="F64" s="138"/>
      <c r="G64" s="138"/>
      <c r="H64" s="138"/>
      <c r="I64" s="138"/>
      <c r="P64" s="457">
        <v>9</v>
      </c>
      <c r="Q64" s="458">
        <v>37.72</v>
      </c>
      <c r="R64" s="458">
        <v>24.83</v>
      </c>
      <c r="S64" s="458">
        <v>567.22</v>
      </c>
      <c r="T64" s="458">
        <v>245.85</v>
      </c>
      <c r="U64" s="458">
        <v>67.56</v>
      </c>
      <c r="V64" s="458">
        <v>9.01</v>
      </c>
      <c r="W64" s="458">
        <v>7.33</v>
      </c>
      <c r="X64" s="458">
        <v>285.31</v>
      </c>
      <c r="Y64" s="458">
        <v>102.26</v>
      </c>
    </row>
    <row r="65" spans="1:25" ht="24.75" customHeight="1">
      <c r="A65" s="938" t="s">
        <v>518</v>
      </c>
      <c r="B65" s="938"/>
      <c r="C65" s="938"/>
      <c r="D65" s="938"/>
      <c r="E65" s="938"/>
      <c r="F65" s="938"/>
      <c r="G65" s="938"/>
      <c r="H65" s="938"/>
      <c r="I65" s="938"/>
      <c r="J65" s="938"/>
      <c r="K65" s="938"/>
      <c r="L65" s="938"/>
      <c r="P65" s="457">
        <v>10</v>
      </c>
      <c r="Q65" s="458">
        <v>36.46</v>
      </c>
      <c r="R65" s="458">
        <v>24.95</v>
      </c>
      <c r="S65" s="458">
        <v>467.04</v>
      </c>
      <c r="T65" s="458">
        <v>188.01</v>
      </c>
      <c r="U65" s="458">
        <v>50.5</v>
      </c>
      <c r="V65" s="458">
        <v>10.06</v>
      </c>
      <c r="W65" s="458">
        <v>3.71</v>
      </c>
      <c r="X65" s="458">
        <v>374.33</v>
      </c>
      <c r="Y65" s="458">
        <v>83.74</v>
      </c>
    </row>
    <row r="66" spans="1:25" ht="20.25" customHeight="1">
      <c r="P66" s="457">
        <v>11</v>
      </c>
      <c r="Q66" s="458">
        <v>35.590000000000003</v>
      </c>
      <c r="R66" s="458">
        <v>26.89</v>
      </c>
      <c r="S66" s="458">
        <v>448.3</v>
      </c>
      <c r="T66" s="458">
        <v>169.95</v>
      </c>
      <c r="U66" s="458">
        <v>51.21</v>
      </c>
      <c r="V66" s="458">
        <v>26.15</v>
      </c>
      <c r="W66" s="458">
        <v>8.66</v>
      </c>
      <c r="X66" s="458">
        <v>219.86</v>
      </c>
      <c r="Y66" s="458">
        <v>62.42</v>
      </c>
    </row>
    <row r="67" spans="1:25">
      <c r="O67" s="456">
        <v>12</v>
      </c>
      <c r="P67" s="457">
        <v>12</v>
      </c>
      <c r="Q67" s="458">
        <v>37.82</v>
      </c>
      <c r="R67" s="458">
        <v>20.6</v>
      </c>
      <c r="S67" s="458">
        <v>350.87</v>
      </c>
      <c r="T67" s="458">
        <v>146.01</v>
      </c>
      <c r="U67" s="458">
        <v>38.08</v>
      </c>
      <c r="V67" s="458">
        <v>12.43</v>
      </c>
      <c r="W67" s="458">
        <v>5.63</v>
      </c>
      <c r="X67" s="458">
        <v>190.11</v>
      </c>
      <c r="Y67" s="458">
        <v>52.01</v>
      </c>
    </row>
    <row r="68" spans="1:25">
      <c r="P68" s="457">
        <v>13</v>
      </c>
      <c r="Q68" s="458">
        <v>35.93</v>
      </c>
      <c r="R68" s="458">
        <v>24.02</v>
      </c>
      <c r="S68" s="458">
        <v>380.48</v>
      </c>
      <c r="T68" s="458">
        <v>173.02</v>
      </c>
      <c r="U68" s="458">
        <v>38.869999999999997</v>
      </c>
      <c r="V68" s="458">
        <v>11.98</v>
      </c>
      <c r="W68" s="458">
        <v>5.83</v>
      </c>
      <c r="X68" s="458">
        <v>272.08999999999997</v>
      </c>
      <c r="Y68" s="458">
        <v>65.430000000000007</v>
      </c>
    </row>
    <row r="69" spans="1:25">
      <c r="P69" s="457">
        <v>14</v>
      </c>
      <c r="Q69" s="458">
        <v>42.9</v>
      </c>
      <c r="R69" s="458">
        <v>17.87</v>
      </c>
      <c r="S69" s="458">
        <v>427.28</v>
      </c>
      <c r="T69" s="458">
        <v>137.65</v>
      </c>
      <c r="U69" s="458">
        <v>35.950000000000003</v>
      </c>
      <c r="V69" s="458">
        <v>28.72</v>
      </c>
      <c r="W69" s="458">
        <v>4.95</v>
      </c>
      <c r="X69" s="458">
        <v>301.82</v>
      </c>
      <c r="Y69" s="458">
        <v>71.06</v>
      </c>
    </row>
    <row r="70" spans="1:25">
      <c r="P70" s="457">
        <v>15</v>
      </c>
      <c r="Q70" s="458">
        <v>31.19</v>
      </c>
      <c r="R70" s="458">
        <v>17.87</v>
      </c>
      <c r="S70" s="458">
        <v>334.14</v>
      </c>
      <c r="T70" s="458">
        <v>129.9</v>
      </c>
      <c r="U70" s="458">
        <v>29.93</v>
      </c>
      <c r="V70" s="458">
        <v>16.28</v>
      </c>
      <c r="W70" s="458">
        <v>1.82</v>
      </c>
      <c r="X70" s="458">
        <v>203.49</v>
      </c>
      <c r="Y70" s="458">
        <v>77.099999999999994</v>
      </c>
    </row>
    <row r="71" spans="1:25">
      <c r="O71" s="456">
        <v>16</v>
      </c>
      <c r="P71" s="457">
        <v>16</v>
      </c>
      <c r="Q71" s="458">
        <v>22.8</v>
      </c>
      <c r="R71" s="458">
        <v>11.46</v>
      </c>
      <c r="S71" s="458">
        <v>218.96</v>
      </c>
      <c r="T71" s="458">
        <v>100.66</v>
      </c>
      <c r="U71" s="458">
        <v>21.85</v>
      </c>
      <c r="V71" s="458">
        <v>15.43</v>
      </c>
      <c r="W71" s="458">
        <v>2.33</v>
      </c>
      <c r="X71" s="458">
        <v>155.33000000000001</v>
      </c>
      <c r="Y71" s="458">
        <v>48.77</v>
      </c>
    </row>
    <row r="72" spans="1:25">
      <c r="P72" s="457">
        <v>17</v>
      </c>
      <c r="Q72" s="458">
        <v>20.18</v>
      </c>
      <c r="R72" s="458">
        <v>11.46</v>
      </c>
      <c r="S72" s="458">
        <v>180.47</v>
      </c>
      <c r="T72" s="458">
        <v>91.24</v>
      </c>
      <c r="U72" s="458">
        <v>18.89</v>
      </c>
      <c r="V72" s="458">
        <v>12.29</v>
      </c>
      <c r="W72" s="458">
        <v>1.9</v>
      </c>
      <c r="X72" s="458">
        <v>111.37</v>
      </c>
      <c r="Y72" s="458">
        <v>34.409999999999997</v>
      </c>
    </row>
    <row r="73" spans="1:25">
      <c r="P73" s="457">
        <v>18</v>
      </c>
      <c r="Q73" s="458">
        <v>19.84</v>
      </c>
      <c r="R73" s="458">
        <v>10.36</v>
      </c>
      <c r="S73" s="458">
        <v>212.89</v>
      </c>
      <c r="T73" s="458">
        <v>98.95</v>
      </c>
      <c r="U73" s="458">
        <v>19.899999999999999</v>
      </c>
      <c r="V73" s="458">
        <v>11.64</v>
      </c>
      <c r="W73" s="458">
        <v>1.46</v>
      </c>
      <c r="X73" s="458">
        <v>117.05</v>
      </c>
      <c r="Y73" s="458">
        <v>28.8</v>
      </c>
    </row>
    <row r="74" spans="1:25">
      <c r="P74" s="457">
        <v>19</v>
      </c>
      <c r="Q74" s="458">
        <v>21.4</v>
      </c>
      <c r="R74" s="458">
        <v>9.25</v>
      </c>
      <c r="S74" s="458">
        <v>199.54</v>
      </c>
      <c r="T74" s="458">
        <v>89.02</v>
      </c>
      <c r="U74" s="458">
        <v>15.9</v>
      </c>
      <c r="V74" s="458">
        <v>11</v>
      </c>
      <c r="W74" s="458">
        <v>1.36</v>
      </c>
      <c r="X74" s="458">
        <v>79.2</v>
      </c>
      <c r="Y74" s="458">
        <v>22.78</v>
      </c>
    </row>
    <row r="75" spans="1:25">
      <c r="O75" s="456">
        <v>20</v>
      </c>
      <c r="P75" s="457">
        <v>20</v>
      </c>
      <c r="Q75" s="458">
        <v>17.23</v>
      </c>
      <c r="R75" s="458">
        <v>6.32</v>
      </c>
      <c r="S75" s="458">
        <v>136.84</v>
      </c>
      <c r="T75" s="458">
        <v>72.95</v>
      </c>
      <c r="U75" s="458">
        <v>15.03</v>
      </c>
      <c r="V75" s="458">
        <v>11</v>
      </c>
      <c r="W75" s="458">
        <v>1.98</v>
      </c>
      <c r="X75" s="458">
        <v>69.37</v>
      </c>
      <c r="Y75" s="458">
        <v>17.8</v>
      </c>
    </row>
    <row r="76" spans="1:25">
      <c r="P76" s="457">
        <v>21</v>
      </c>
      <c r="Q76" s="458">
        <v>16.09</v>
      </c>
      <c r="R76" s="458">
        <v>6.32</v>
      </c>
      <c r="S76" s="458">
        <v>116.86</v>
      </c>
      <c r="T76" s="458">
        <v>99.42</v>
      </c>
      <c r="U76" s="458">
        <v>20.059999999999999</v>
      </c>
      <c r="V76" s="458">
        <v>11.01</v>
      </c>
      <c r="W76" s="458">
        <v>1.6</v>
      </c>
      <c r="X76" s="458">
        <v>68.8</v>
      </c>
      <c r="Y76" s="458">
        <v>17.84</v>
      </c>
    </row>
    <row r="77" spans="1:25">
      <c r="P77" s="457">
        <v>22</v>
      </c>
      <c r="Q77" s="458">
        <v>15.1</v>
      </c>
      <c r="R77" s="458">
        <v>5.59</v>
      </c>
      <c r="S77" s="458">
        <v>118.58</v>
      </c>
      <c r="T77" s="458">
        <v>79.099999999999994</v>
      </c>
      <c r="U77" s="458">
        <v>16</v>
      </c>
      <c r="V77" s="458">
        <v>11</v>
      </c>
      <c r="W77" s="458">
        <v>1.01</v>
      </c>
      <c r="X77" s="458">
        <v>69.05</v>
      </c>
      <c r="Y77" s="458">
        <v>16.37</v>
      </c>
    </row>
    <row r="78" spans="1:25">
      <c r="P78" s="457">
        <v>23</v>
      </c>
      <c r="Q78" s="458">
        <v>14.28</v>
      </c>
      <c r="R78" s="458">
        <v>4.8499999999999996</v>
      </c>
      <c r="S78" s="458">
        <v>112.05</v>
      </c>
      <c r="T78" s="458">
        <v>63.27</v>
      </c>
      <c r="U78" s="458">
        <v>13.78</v>
      </c>
      <c r="V78" s="458">
        <v>11</v>
      </c>
      <c r="W78" s="458">
        <v>1.82</v>
      </c>
      <c r="X78" s="458">
        <v>54.09</v>
      </c>
      <c r="Y78" s="458">
        <v>13.15</v>
      </c>
    </row>
    <row r="79" spans="1:25">
      <c r="O79" s="456">
        <v>24</v>
      </c>
      <c r="P79" s="457">
        <v>24</v>
      </c>
      <c r="Q79" s="458">
        <v>13.3</v>
      </c>
      <c r="R79" s="458">
        <v>4.8499999999999996</v>
      </c>
      <c r="S79" s="458">
        <v>91.62</v>
      </c>
      <c r="T79" s="458">
        <v>49.79</v>
      </c>
      <c r="U79" s="458">
        <v>11.29</v>
      </c>
      <c r="V79" s="458">
        <v>11</v>
      </c>
      <c r="W79" s="458">
        <v>1.89</v>
      </c>
      <c r="X79" s="458">
        <v>45.31</v>
      </c>
      <c r="Y79" s="458">
        <v>10.85</v>
      </c>
    </row>
    <row r="80" spans="1:25">
      <c r="P80" s="457">
        <v>25</v>
      </c>
      <c r="Q80" s="458">
        <v>12.63</v>
      </c>
      <c r="R80" s="458">
        <v>3.77</v>
      </c>
      <c r="S80" s="458">
        <v>81.33</v>
      </c>
      <c r="T80" s="458">
        <v>46.74</v>
      </c>
      <c r="U80" s="458">
        <v>10.02</v>
      </c>
      <c r="V80" s="458">
        <v>11</v>
      </c>
      <c r="W80" s="458">
        <v>1.77</v>
      </c>
      <c r="X80" s="458">
        <v>40.42</v>
      </c>
      <c r="Y80" s="458">
        <v>8.98</v>
      </c>
    </row>
    <row r="81" spans="15:25">
      <c r="P81" s="457">
        <v>26</v>
      </c>
      <c r="Q81" s="458">
        <v>11.92</v>
      </c>
      <c r="R81" s="458">
        <v>3.77</v>
      </c>
      <c r="S81" s="458">
        <v>80.900000000000006</v>
      </c>
      <c r="T81" s="458">
        <v>41.45</v>
      </c>
      <c r="U81" s="458">
        <v>9.24</v>
      </c>
      <c r="V81" s="458">
        <v>12</v>
      </c>
      <c r="W81" s="458">
        <v>1.86</v>
      </c>
      <c r="X81" s="458">
        <v>37.89</v>
      </c>
      <c r="Y81" s="458">
        <v>9.41</v>
      </c>
    </row>
    <row r="82" spans="15:25">
      <c r="P82" s="457">
        <v>27</v>
      </c>
      <c r="Q82" s="458">
        <v>11.92</v>
      </c>
      <c r="R82" s="458">
        <v>3.91</v>
      </c>
      <c r="S82" s="458">
        <v>82.99</v>
      </c>
      <c r="T82" s="458">
        <v>60.31</v>
      </c>
      <c r="U82" s="458">
        <v>9.73</v>
      </c>
      <c r="V82" s="458">
        <v>12</v>
      </c>
      <c r="W82" s="458">
        <v>1.9</v>
      </c>
      <c r="X82" s="458">
        <v>38.229999999999997</v>
      </c>
      <c r="Y82" s="458">
        <v>8.58</v>
      </c>
    </row>
    <row r="83" spans="15:25">
      <c r="O83" s="456">
        <v>28</v>
      </c>
      <c r="P83" s="457">
        <v>28</v>
      </c>
      <c r="Q83" s="458">
        <v>11.04</v>
      </c>
      <c r="R83" s="458">
        <v>3.91</v>
      </c>
      <c r="S83" s="458">
        <v>71.739999999999995</v>
      </c>
      <c r="T83" s="458">
        <v>39.090000000000003</v>
      </c>
      <c r="U83" s="458">
        <v>8.42</v>
      </c>
      <c r="V83" s="458">
        <v>12</v>
      </c>
      <c r="W83" s="458">
        <v>1.65</v>
      </c>
      <c r="X83" s="458">
        <v>33.9</v>
      </c>
      <c r="Y83" s="458">
        <v>6.64</v>
      </c>
    </row>
    <row r="84" spans="15:25">
      <c r="P84" s="457">
        <v>29</v>
      </c>
      <c r="Q84" s="458">
        <v>10.27</v>
      </c>
      <c r="R84" s="458">
        <v>3.42</v>
      </c>
      <c r="S84" s="458">
        <v>67.8</v>
      </c>
      <c r="T84" s="458">
        <v>32.590000000000003</v>
      </c>
      <c r="U84" s="458">
        <v>7.7</v>
      </c>
      <c r="V84" s="458">
        <v>10.51</v>
      </c>
      <c r="W84" s="458">
        <v>1.79</v>
      </c>
      <c r="X84" s="458">
        <v>31.97</v>
      </c>
      <c r="Y84" s="458">
        <v>6.49</v>
      </c>
    </row>
    <row r="85" spans="15:25">
      <c r="P85" s="457">
        <v>30</v>
      </c>
      <c r="Q85" s="458">
        <v>9.4700000000000006</v>
      </c>
      <c r="R85" s="458">
        <v>3.42</v>
      </c>
      <c r="S85" s="458">
        <v>69.62</v>
      </c>
      <c r="T85" s="458">
        <v>28.39</v>
      </c>
      <c r="U85" s="458">
        <v>7.39</v>
      </c>
      <c r="V85" s="458">
        <v>12</v>
      </c>
      <c r="W85" s="458">
        <v>1.64</v>
      </c>
      <c r="X85" s="458">
        <v>31.76</v>
      </c>
      <c r="Y85" s="458">
        <v>6.15</v>
      </c>
    </row>
    <row r="86" spans="15:25">
      <c r="P86" s="457">
        <v>31</v>
      </c>
      <c r="Q86" s="458">
        <v>9.0500000000000007</v>
      </c>
      <c r="R86" s="458">
        <v>3.3</v>
      </c>
      <c r="S86" s="458">
        <v>61.71</v>
      </c>
      <c r="T86" s="458">
        <v>26.51</v>
      </c>
      <c r="U86" s="458">
        <v>7.02</v>
      </c>
      <c r="V86" s="458">
        <v>12</v>
      </c>
      <c r="W86" s="458">
        <v>1.87</v>
      </c>
      <c r="X86" s="458">
        <v>31.68</v>
      </c>
      <c r="Y86" s="458">
        <v>5.51</v>
      </c>
    </row>
    <row r="87" spans="15:25">
      <c r="O87" s="456">
        <v>32</v>
      </c>
      <c r="P87" s="457">
        <v>32</v>
      </c>
      <c r="Q87" s="458">
        <v>9.9</v>
      </c>
      <c r="R87" s="458">
        <v>2.68</v>
      </c>
      <c r="S87" s="458">
        <v>65.38</v>
      </c>
      <c r="T87" s="458">
        <v>24.1</v>
      </c>
      <c r="U87" s="458">
        <v>6.7</v>
      </c>
      <c r="V87" s="458">
        <v>12</v>
      </c>
      <c r="W87" s="458">
        <v>1.95</v>
      </c>
      <c r="X87" s="458">
        <v>31.01</v>
      </c>
      <c r="Y87" s="458">
        <v>5.16</v>
      </c>
    </row>
    <row r="88" spans="15:25">
      <c r="P88" s="457">
        <v>33</v>
      </c>
      <c r="Q88" s="458">
        <v>9.17</v>
      </c>
      <c r="R88" s="458">
        <v>2.4300000000000002</v>
      </c>
      <c r="S88" s="458">
        <v>59.63</v>
      </c>
      <c r="T88" s="458">
        <v>24.29</v>
      </c>
      <c r="U88" s="458">
        <v>6.44</v>
      </c>
      <c r="V88" s="458">
        <v>12</v>
      </c>
      <c r="W88" s="458">
        <v>1.82</v>
      </c>
      <c r="X88" s="458">
        <v>30.23</v>
      </c>
      <c r="Y88" s="458">
        <v>5.27</v>
      </c>
    </row>
    <row r="89" spans="15:25">
      <c r="P89" s="457">
        <v>34</v>
      </c>
      <c r="Q89" s="458">
        <v>7.78</v>
      </c>
      <c r="R89" s="458">
        <v>2.61</v>
      </c>
      <c r="S89" s="458">
        <v>60.62</v>
      </c>
      <c r="T89" s="458">
        <v>25.9</v>
      </c>
      <c r="U89" s="458">
        <v>6.62</v>
      </c>
      <c r="V89" s="458">
        <v>12</v>
      </c>
      <c r="W89" s="458">
        <v>1.89</v>
      </c>
      <c r="X89" s="458">
        <v>32.17</v>
      </c>
      <c r="Y89" s="458">
        <v>5.0599999999999996</v>
      </c>
    </row>
    <row r="90" spans="15:25">
      <c r="P90" s="457">
        <v>35</v>
      </c>
      <c r="Q90" s="458">
        <v>7.73</v>
      </c>
      <c r="R90" s="458">
        <v>3.07</v>
      </c>
      <c r="S90" s="458">
        <v>58.47</v>
      </c>
      <c r="T90" s="458">
        <v>26.33</v>
      </c>
      <c r="U90" s="458">
        <v>6.66</v>
      </c>
      <c r="V90" s="458">
        <v>12.14</v>
      </c>
      <c r="W90" s="458">
        <v>1.97</v>
      </c>
      <c r="X90" s="458">
        <v>31.63</v>
      </c>
      <c r="Y90" s="458">
        <v>4.84</v>
      </c>
    </row>
    <row r="91" spans="15:25">
      <c r="O91" s="456">
        <v>36</v>
      </c>
      <c r="P91" s="457">
        <v>36</v>
      </c>
      <c r="Q91" s="458">
        <v>7.1</v>
      </c>
      <c r="R91" s="458">
        <v>3.57</v>
      </c>
      <c r="S91" s="458">
        <v>61.13</v>
      </c>
      <c r="T91" s="458">
        <v>27.35</v>
      </c>
      <c r="U91" s="458">
        <v>6.84</v>
      </c>
      <c r="V91" s="458">
        <v>13</v>
      </c>
      <c r="W91" s="458">
        <v>1.76</v>
      </c>
      <c r="X91" s="458">
        <v>34.090000000000003</v>
      </c>
      <c r="Y91" s="458">
        <v>4.8899999999999997</v>
      </c>
    </row>
    <row r="92" spans="15:25">
      <c r="P92" s="457">
        <v>37</v>
      </c>
      <c r="Q92" s="458">
        <v>7.53</v>
      </c>
      <c r="R92" s="458">
        <v>5.04</v>
      </c>
      <c r="S92" s="458">
        <v>59.93</v>
      </c>
      <c r="T92" s="458">
        <v>34.56</v>
      </c>
      <c r="U92" s="458">
        <v>7.96</v>
      </c>
      <c r="V92" s="458">
        <v>13</v>
      </c>
      <c r="W92" s="458">
        <v>1.7</v>
      </c>
      <c r="X92" s="458">
        <v>38.06</v>
      </c>
      <c r="Y92" s="458">
        <v>8.4</v>
      </c>
    </row>
    <row r="93" spans="15:25">
      <c r="P93" s="457">
        <v>38</v>
      </c>
      <c r="Q93" s="458">
        <v>9.73</v>
      </c>
      <c r="R93" s="458">
        <v>3.75</v>
      </c>
      <c r="S93" s="458">
        <v>64.319999999999993</v>
      </c>
      <c r="T93" s="458">
        <v>41.74</v>
      </c>
      <c r="U93" s="458">
        <v>9.43</v>
      </c>
      <c r="V93" s="458">
        <v>13</v>
      </c>
      <c r="W93" s="458">
        <v>1.77</v>
      </c>
      <c r="X93" s="458">
        <v>41.12</v>
      </c>
      <c r="Y93" s="458">
        <v>6.42</v>
      </c>
    </row>
    <row r="94" spans="15:25">
      <c r="O94" s="456">
        <v>39</v>
      </c>
      <c r="P94" s="457">
        <v>39</v>
      </c>
      <c r="Q94" s="458">
        <v>7.21</v>
      </c>
      <c r="R94" s="458">
        <v>3.83</v>
      </c>
      <c r="S94" s="458">
        <v>66.83</v>
      </c>
      <c r="T94" s="458">
        <v>46.48</v>
      </c>
      <c r="U94" s="458">
        <v>7.93</v>
      </c>
      <c r="V94" s="458">
        <v>13</v>
      </c>
      <c r="W94" s="458">
        <v>1.99</v>
      </c>
      <c r="X94" s="458">
        <v>33.06</v>
      </c>
      <c r="Y94" s="458">
        <v>7.98</v>
      </c>
    </row>
    <row r="95" spans="15:25">
      <c r="P95" s="457">
        <v>40</v>
      </c>
      <c r="Q95" s="458">
        <v>6.89</v>
      </c>
      <c r="R95" s="458">
        <v>3.2</v>
      </c>
      <c r="S95" s="458">
        <v>56.32</v>
      </c>
      <c r="T95" s="458">
        <v>28.11</v>
      </c>
      <c r="U95" s="458">
        <v>6.02</v>
      </c>
      <c r="V95" s="458">
        <v>13</v>
      </c>
      <c r="W95" s="458">
        <v>1.48</v>
      </c>
      <c r="X95" s="458">
        <v>35.54</v>
      </c>
      <c r="Y95" s="458">
        <v>5.32</v>
      </c>
    </row>
    <row r="96" spans="15:25">
      <c r="P96" s="457">
        <v>41</v>
      </c>
      <c r="Q96" s="458">
        <v>7.51</v>
      </c>
      <c r="R96" s="458">
        <v>3.26</v>
      </c>
      <c r="S96" s="458">
        <v>57.18</v>
      </c>
      <c r="T96" s="458">
        <v>32.11</v>
      </c>
      <c r="U96" s="458">
        <v>6.5</v>
      </c>
      <c r="V96" s="458">
        <v>13</v>
      </c>
      <c r="W96" s="458">
        <v>1.53</v>
      </c>
      <c r="X96" s="458">
        <v>37.47</v>
      </c>
      <c r="Y96" s="458">
        <v>4.95</v>
      </c>
    </row>
    <row r="97" spans="14:25">
      <c r="P97" s="457">
        <v>42</v>
      </c>
      <c r="Q97" s="458">
        <v>7.92</v>
      </c>
      <c r="R97" s="458">
        <v>3.59</v>
      </c>
      <c r="S97" s="458">
        <v>71.87</v>
      </c>
      <c r="T97" s="458">
        <v>64.69</v>
      </c>
      <c r="U97" s="458">
        <v>9.44</v>
      </c>
      <c r="V97" s="458">
        <v>13</v>
      </c>
      <c r="W97" s="458">
        <v>1.93</v>
      </c>
      <c r="X97" s="458">
        <v>52.42</v>
      </c>
      <c r="Y97" s="458">
        <v>7.39</v>
      </c>
    </row>
    <row r="98" spans="14:25">
      <c r="O98" s="456">
        <v>43</v>
      </c>
      <c r="P98" s="457">
        <v>43</v>
      </c>
      <c r="Q98" s="458">
        <v>9.16</v>
      </c>
      <c r="R98" s="458">
        <v>3.99</v>
      </c>
      <c r="S98" s="458">
        <v>73.22</v>
      </c>
      <c r="T98" s="458">
        <v>71.16</v>
      </c>
      <c r="U98" s="458">
        <v>8.8800000000000008</v>
      </c>
      <c r="V98" s="458">
        <v>13</v>
      </c>
      <c r="W98" s="458">
        <v>1.69</v>
      </c>
      <c r="X98" s="458">
        <v>43.93</v>
      </c>
      <c r="Y98" s="458">
        <v>6.18</v>
      </c>
    </row>
    <row r="99" spans="14:25">
      <c r="P99" s="457">
        <v>44</v>
      </c>
      <c r="Q99" s="458">
        <v>8.81</v>
      </c>
      <c r="R99" s="458">
        <v>5.0199999999999996</v>
      </c>
      <c r="S99" s="458">
        <v>75.150000000000006</v>
      </c>
      <c r="T99" s="458">
        <v>62.33</v>
      </c>
      <c r="U99" s="458">
        <v>10.59</v>
      </c>
      <c r="V99" s="458">
        <v>13</v>
      </c>
      <c r="W99" s="458">
        <v>1.65</v>
      </c>
      <c r="X99" s="458">
        <v>40.229999999999997</v>
      </c>
      <c r="Y99" s="458">
        <v>8.7899999999999991</v>
      </c>
    </row>
    <row r="100" spans="14:25">
      <c r="P100" s="457">
        <v>45</v>
      </c>
      <c r="Q100" s="458">
        <v>8.3800000000000008</v>
      </c>
      <c r="R100" s="458">
        <v>4.2</v>
      </c>
      <c r="S100" s="458">
        <v>67.39</v>
      </c>
      <c r="T100" s="458">
        <v>61.76</v>
      </c>
      <c r="U100" s="458">
        <v>10.039999999999999</v>
      </c>
      <c r="V100" s="458">
        <v>13</v>
      </c>
      <c r="W100" s="458">
        <v>1.51</v>
      </c>
      <c r="X100" s="458">
        <v>41.85</v>
      </c>
      <c r="Y100" s="458">
        <v>11.45</v>
      </c>
    </row>
    <row r="101" spans="14:25">
      <c r="P101" s="457">
        <v>46</v>
      </c>
      <c r="Q101" s="458">
        <v>7.55</v>
      </c>
      <c r="R101" s="458">
        <v>3.7</v>
      </c>
      <c r="S101" s="458">
        <v>66.959999999999994</v>
      </c>
      <c r="T101" s="458">
        <v>66.040000000000006</v>
      </c>
      <c r="U101" s="458">
        <v>8.7799999999999994</v>
      </c>
      <c r="V101" s="458">
        <v>13</v>
      </c>
      <c r="W101" s="458">
        <v>1.65</v>
      </c>
      <c r="X101" s="458">
        <v>70.849999999999994</v>
      </c>
      <c r="Y101" s="458">
        <v>14.58</v>
      </c>
    </row>
    <row r="102" spans="14:25">
      <c r="P102" s="457">
        <v>47</v>
      </c>
      <c r="Q102" s="458">
        <v>7.39</v>
      </c>
      <c r="R102" s="458">
        <v>3.85</v>
      </c>
      <c r="S102" s="458">
        <v>67.72</v>
      </c>
      <c r="T102" s="458">
        <v>52.82</v>
      </c>
      <c r="U102" s="458">
        <v>7.81</v>
      </c>
      <c r="V102" s="458">
        <v>13</v>
      </c>
      <c r="W102" s="458">
        <v>1.6</v>
      </c>
      <c r="X102" s="458">
        <v>64.819999999999993</v>
      </c>
      <c r="Y102" s="458">
        <v>12.14</v>
      </c>
    </row>
    <row r="103" spans="14:25">
      <c r="O103" s="456">
        <v>48</v>
      </c>
      <c r="P103" s="457">
        <v>48</v>
      </c>
      <c r="Q103" s="458">
        <v>7.9678571564285718</v>
      </c>
      <c r="R103" s="458">
        <v>3.558142900428571</v>
      </c>
      <c r="S103" s="458">
        <v>77.366571698571434</v>
      </c>
      <c r="T103" s="458">
        <v>66.577285762857144</v>
      </c>
      <c r="U103" s="458">
        <v>9.1851428580000007</v>
      </c>
      <c r="V103" s="458">
        <v>13.005714417142858</v>
      </c>
      <c r="W103" s="458">
        <v>1.6</v>
      </c>
      <c r="X103" s="458">
        <v>47.846427917142854</v>
      </c>
      <c r="Y103" s="458">
        <v>12.516714369142859</v>
      </c>
    </row>
    <row r="104" spans="14:25">
      <c r="P104" s="457">
        <v>49</v>
      </c>
      <c r="Q104" s="458">
        <v>8.4875713758571436</v>
      </c>
      <c r="R104" s="458">
        <v>3.2600000074285718</v>
      </c>
      <c r="S104" s="458">
        <v>84.55585806714285</v>
      </c>
      <c r="T104" s="458">
        <v>72.732000077142857</v>
      </c>
      <c r="U104" s="458">
        <v>14.04828548342857</v>
      </c>
      <c r="V104" s="458">
        <v>13.002857208571429</v>
      </c>
      <c r="W104" s="458">
        <v>1.6</v>
      </c>
      <c r="X104" s="458">
        <v>57.322143555714298</v>
      </c>
      <c r="Y104" s="458">
        <v>18.826999800000003</v>
      </c>
    </row>
    <row r="105" spans="14:25">
      <c r="P105" s="457">
        <v>50</v>
      </c>
      <c r="Q105" s="458">
        <v>8.7257142747142868</v>
      </c>
      <c r="R105" s="458">
        <v>3.4628571441428577</v>
      </c>
      <c r="S105" s="458">
        <v>77.460142951428566</v>
      </c>
      <c r="T105" s="458">
        <v>64.097142899999994</v>
      </c>
      <c r="U105" s="458">
        <v>11.032857077571427</v>
      </c>
      <c r="V105" s="458">
        <v>13</v>
      </c>
      <c r="W105" s="458">
        <v>1.6000000240000001</v>
      </c>
      <c r="X105" s="458">
        <v>51.470714571428573</v>
      </c>
      <c r="Y105" s="458">
        <v>20.280285972857143</v>
      </c>
    </row>
    <row r="106" spans="14:25">
      <c r="P106" s="457">
        <v>51</v>
      </c>
      <c r="Q106" s="458">
        <v>9.7215715127142861</v>
      </c>
      <c r="R106" s="458">
        <v>4.2539999484285715</v>
      </c>
      <c r="S106" s="458">
        <v>78.166143688571424</v>
      </c>
      <c r="T106" s="458">
        <v>94.237856191428577</v>
      </c>
      <c r="U106" s="458">
        <v>14.381428445285712</v>
      </c>
      <c r="V106" s="458">
        <v>13.01285743857143</v>
      </c>
      <c r="W106" s="458">
        <v>1.6257142851428572</v>
      </c>
      <c r="X106" s="458">
        <v>65.58357184285714</v>
      </c>
      <c r="Y106" s="458">
        <v>34.849000112857141</v>
      </c>
    </row>
    <row r="107" spans="14:25">
      <c r="O107" s="456">
        <v>52</v>
      </c>
      <c r="P107" s="457">
        <v>52</v>
      </c>
      <c r="Q107" s="458">
        <v>10.323285784571427</v>
      </c>
      <c r="R107" s="458">
        <v>4.6457142829999993</v>
      </c>
      <c r="S107" s="458">
        <v>86.972714017142849</v>
      </c>
      <c r="T107" s="458">
        <v>94.357285634285716</v>
      </c>
      <c r="U107" s="458">
        <v>13.293999945714287</v>
      </c>
      <c r="V107" s="458">
        <v>13.09681579142857</v>
      </c>
      <c r="W107" s="458">
        <v>1.644999981</v>
      </c>
      <c r="X107" s="458">
        <v>104.27285767571428</v>
      </c>
      <c r="Y107" s="458">
        <v>35.335714887142856</v>
      </c>
    </row>
    <row r="108" spans="14:25">
      <c r="N108" s="456">
        <v>2018</v>
      </c>
      <c r="O108" s="456">
        <v>1</v>
      </c>
      <c r="P108" s="457">
        <v>1</v>
      </c>
      <c r="Q108" s="458">
        <v>10.34</v>
      </c>
      <c r="R108" s="458">
        <v>4.4628571428571426</v>
      </c>
      <c r="S108" s="458">
        <v>140.04142857142858</v>
      </c>
      <c r="T108" s="458">
        <v>143.09</v>
      </c>
      <c r="U108" s="458">
        <v>20.63</v>
      </c>
      <c r="V108" s="458">
        <v>13</v>
      </c>
      <c r="W108" s="458">
        <v>1.64</v>
      </c>
      <c r="X108" s="458">
        <v>201.2428571428571</v>
      </c>
      <c r="Y108" s="458">
        <v>63.23</v>
      </c>
    </row>
    <row r="109" spans="14:25">
      <c r="P109" s="457">
        <v>2</v>
      </c>
      <c r="Q109" s="458">
        <v>13.730999947142859</v>
      </c>
      <c r="R109" s="458">
        <v>3.5944285392857145</v>
      </c>
      <c r="S109" s="458">
        <v>209.91800362857143</v>
      </c>
      <c r="T109" s="458">
        <v>160.98214394285716</v>
      </c>
      <c r="U109" s="458">
        <v>36.213856559999996</v>
      </c>
      <c r="V109" s="458">
        <v>11.774285724285715</v>
      </c>
      <c r="W109" s="458">
        <v>1.5914286031428568</v>
      </c>
      <c r="X109" s="458">
        <v>229.4250030571429</v>
      </c>
      <c r="Y109" s="458">
        <v>56.654285431428562</v>
      </c>
    </row>
    <row r="110" spans="14:25">
      <c r="P110" s="457">
        <v>3</v>
      </c>
      <c r="Q110" s="458">
        <v>15.983285902857142</v>
      </c>
      <c r="R110" s="458">
        <v>8.3045714242857152</v>
      </c>
      <c r="S110" s="458">
        <v>223.6645725857143</v>
      </c>
      <c r="T110" s="458">
        <v>190.44042751428574</v>
      </c>
      <c r="U110" s="458">
        <v>30.819142750000001</v>
      </c>
      <c r="V110" s="458">
        <v>11.857142857142858</v>
      </c>
      <c r="W110" s="458">
        <v>1.5814286125714285</v>
      </c>
      <c r="X110" s="458">
        <v>261.56357028571426</v>
      </c>
      <c r="Y110" s="458">
        <v>68.516428267142857</v>
      </c>
    </row>
    <row r="111" spans="14:25">
      <c r="O111" s="456">
        <v>4</v>
      </c>
      <c r="P111" s="457">
        <v>4</v>
      </c>
      <c r="Q111" s="458">
        <v>21.988571574285714</v>
      </c>
      <c r="R111" s="458">
        <v>15.598142828000002</v>
      </c>
      <c r="S111" s="458">
        <v>346.88342720000003</v>
      </c>
      <c r="T111" s="458">
        <v>205.5832868285714</v>
      </c>
      <c r="U111" s="458">
        <v>40.893000467142862</v>
      </c>
      <c r="V111" s="458">
        <v>18.734285627142857</v>
      </c>
      <c r="W111" s="458">
        <v>1.5700000519999997</v>
      </c>
      <c r="X111" s="458">
        <v>261.98000009999998</v>
      </c>
      <c r="Y111" s="458">
        <v>58.935427530000005</v>
      </c>
    </row>
    <row r="112" spans="14:25">
      <c r="P112" s="457">
        <v>5</v>
      </c>
      <c r="Q112" s="458">
        <v>17.729000225714284</v>
      </c>
      <c r="R112" s="458">
        <v>13.724571365714285</v>
      </c>
      <c r="S112" s="458">
        <v>214.95928737142859</v>
      </c>
      <c r="T112" s="458">
        <v>93.607142857142861</v>
      </c>
      <c r="U112" s="458">
        <v>17.748285841428572</v>
      </c>
      <c r="V112" s="458">
        <v>23.390000208571426</v>
      </c>
      <c r="W112" s="458">
        <v>1.5700000519999997</v>
      </c>
      <c r="X112" s="458">
        <v>141.83571514285714</v>
      </c>
      <c r="Y112" s="458">
        <v>45.332857951428579</v>
      </c>
    </row>
    <row r="113" spans="15:25">
      <c r="P113" s="457">
        <v>6</v>
      </c>
      <c r="Q113" s="458">
        <v>13.582571572857143</v>
      </c>
      <c r="R113" s="458">
        <v>8.6634286477142854</v>
      </c>
      <c r="S113" s="458">
        <v>166.34242902857142</v>
      </c>
      <c r="T113" s="458">
        <v>108.25571334000001</v>
      </c>
      <c r="U113" s="458">
        <v>18.79157175142857</v>
      </c>
      <c r="V113" s="458">
        <v>20.201017107142857</v>
      </c>
      <c r="W113" s="458">
        <v>2.3694285491428571</v>
      </c>
      <c r="X113" s="458">
        <v>164.55714089999998</v>
      </c>
      <c r="Y113" s="458">
        <v>65.987571171428584</v>
      </c>
    </row>
    <row r="114" spans="15:25">
      <c r="P114" s="457">
        <v>7</v>
      </c>
      <c r="Q114" s="458">
        <v>14.722571237142859</v>
      </c>
      <c r="R114" s="458">
        <v>11.071428435428571</v>
      </c>
      <c r="S114" s="458">
        <v>239.50057330000001</v>
      </c>
      <c r="T114" s="458">
        <v>202.98199900000003</v>
      </c>
      <c r="U114" s="458">
        <v>42.088571821428573</v>
      </c>
      <c r="V114" s="458">
        <v>15.283185821428571</v>
      </c>
      <c r="W114" s="458">
        <v>3.1689999100000001</v>
      </c>
      <c r="X114" s="458">
        <v>355.31285748571423</v>
      </c>
      <c r="Y114" s="458">
        <v>97.722999031428586</v>
      </c>
    </row>
    <row r="115" spans="15:25">
      <c r="O115" s="456">
        <v>8</v>
      </c>
      <c r="P115" s="457">
        <v>8</v>
      </c>
      <c r="Q115" s="458">
        <v>18.48</v>
      </c>
      <c r="R115" s="458">
        <v>14.97</v>
      </c>
      <c r="S115" s="458">
        <v>357.61814662857148</v>
      </c>
      <c r="T115" s="458">
        <v>251.1</v>
      </c>
      <c r="U115" s="458">
        <v>43.74</v>
      </c>
      <c r="V115" s="458">
        <v>16.564</v>
      </c>
      <c r="W115" s="458">
        <v>3.16</v>
      </c>
      <c r="X115" s="458">
        <v>437.78</v>
      </c>
      <c r="Y115" s="458">
        <v>142.13</v>
      </c>
    </row>
    <row r="116" spans="15:25">
      <c r="P116" s="457">
        <v>9</v>
      </c>
      <c r="Q116" s="458">
        <v>21.652428627142854</v>
      </c>
      <c r="R116" s="458">
        <v>14.185285431142857</v>
      </c>
      <c r="S116" s="458">
        <v>333.90885488571433</v>
      </c>
      <c r="T116" s="458">
        <v>204.95843285714287</v>
      </c>
      <c r="U116" s="458">
        <v>31.755000522857138</v>
      </c>
      <c r="V116" s="458">
        <v>15.852976190476195</v>
      </c>
      <c r="W116" s="458">
        <v>3.1689999100000001</v>
      </c>
      <c r="X116" s="458">
        <v>424.14571271428576</v>
      </c>
      <c r="Y116" s="458">
        <v>142.13857270714286</v>
      </c>
    </row>
    <row r="117" spans="15:25">
      <c r="P117" s="457">
        <v>10</v>
      </c>
      <c r="Q117" s="458">
        <v>30.272714344285713</v>
      </c>
      <c r="R117" s="458">
        <v>17.434571538571429</v>
      </c>
      <c r="S117" s="458">
        <v>431.64157101428572</v>
      </c>
      <c r="T117" s="458">
        <v>177.15485925714287</v>
      </c>
      <c r="U117" s="458">
        <v>31.196571622857142</v>
      </c>
      <c r="V117" s="458">
        <v>14.442</v>
      </c>
      <c r="W117" s="458">
        <v>4.7437142644285712</v>
      </c>
      <c r="X117" s="458">
        <v>293.69142804285718</v>
      </c>
      <c r="Y117" s="458">
        <v>72.30971418</v>
      </c>
    </row>
    <row r="118" spans="15:25">
      <c r="P118" s="457">
        <v>11</v>
      </c>
      <c r="Q118" s="458">
        <v>28.071857179999999</v>
      </c>
      <c r="R118" s="458">
        <v>17.048571724285715</v>
      </c>
      <c r="S118" s="458">
        <v>485.98543439999997</v>
      </c>
      <c r="T118" s="458">
        <v>169.375</v>
      </c>
      <c r="U118" s="458">
        <v>52.626284462857136</v>
      </c>
      <c r="V118" s="458">
        <v>18.273</v>
      </c>
      <c r="W118" s="458">
        <v>3.0879999738571429</v>
      </c>
      <c r="X118" s="458">
        <v>511.54500034285724</v>
      </c>
      <c r="Y118" s="458">
        <v>119.7894287057143</v>
      </c>
    </row>
    <row r="119" spans="15:25">
      <c r="O119" s="456">
        <v>12</v>
      </c>
      <c r="P119" s="457">
        <v>12</v>
      </c>
      <c r="Q119" s="458">
        <v>29.90999984714286</v>
      </c>
      <c r="R119" s="458">
        <v>21.62</v>
      </c>
      <c r="S119" s="458">
        <v>465.24414497142863</v>
      </c>
      <c r="T119" s="458">
        <v>201.58328465714288</v>
      </c>
      <c r="U119" s="458">
        <v>57.669144221428567</v>
      </c>
      <c r="V119" s="458">
        <v>23.244</v>
      </c>
      <c r="W119" s="458">
        <v>4.5095714328571432</v>
      </c>
      <c r="X119" s="458">
        <v>433.89143152857145</v>
      </c>
      <c r="Y119" s="458">
        <v>152.80443028571429</v>
      </c>
    </row>
    <row r="120" spans="15:25">
      <c r="P120" s="457">
        <v>13</v>
      </c>
      <c r="Q120" s="458">
        <v>28.360142844285718</v>
      </c>
      <c r="R120" s="458">
        <v>17.439428465714283</v>
      </c>
      <c r="S120" s="458">
        <v>396.37686155714289</v>
      </c>
      <c r="T120" s="458">
        <v>163.75585502857143</v>
      </c>
      <c r="U120" s="458">
        <v>35.725570951428573</v>
      </c>
      <c r="V120" s="458">
        <v>23.143392837142859</v>
      </c>
      <c r="W120" s="458">
        <v>3.3929999999999998</v>
      </c>
      <c r="X120" s="458">
        <v>281.79928587142859</v>
      </c>
      <c r="Y120" s="458">
        <v>107.32928468714286</v>
      </c>
    </row>
    <row r="121" spans="15:25">
      <c r="P121" s="457">
        <v>14</v>
      </c>
      <c r="Q121" s="458">
        <v>23.830285752857144</v>
      </c>
      <c r="R121" s="458">
        <v>12.833285604571429</v>
      </c>
      <c r="S121" s="458">
        <v>226.32643345714288</v>
      </c>
      <c r="T121" s="458">
        <v>133.53585814285714</v>
      </c>
      <c r="U121" s="458">
        <v>28.622000282857147</v>
      </c>
      <c r="V121" s="458">
        <v>19.16</v>
      </c>
      <c r="W121" s="458">
        <v>1.736</v>
      </c>
      <c r="X121" s="458">
        <v>176.23214502857144</v>
      </c>
      <c r="Y121" s="458">
        <v>80.936570849999995</v>
      </c>
    </row>
    <row r="122" spans="15:25">
      <c r="P122" s="457">
        <v>15</v>
      </c>
      <c r="Q122" s="458">
        <v>27</v>
      </c>
      <c r="R122" s="458">
        <v>15.571285655714286</v>
      </c>
      <c r="S122" s="458">
        <v>207.40800040000002</v>
      </c>
      <c r="T122" s="458">
        <v>107.59514291428572</v>
      </c>
      <c r="U122" s="458">
        <v>30.753999982857145</v>
      </c>
      <c r="V122" s="458">
        <v>14.377143042857142</v>
      </c>
      <c r="W122" s="458">
        <v>1.8612856864285716</v>
      </c>
      <c r="X122" s="458">
        <v>130.09</v>
      </c>
      <c r="Y122" s="458">
        <v>42.693143572857146</v>
      </c>
    </row>
    <row r="123" spans="15:25">
      <c r="O123" s="456">
        <v>16</v>
      </c>
      <c r="P123" s="457">
        <v>16</v>
      </c>
      <c r="Q123" s="458">
        <v>19.899999999999999</v>
      </c>
      <c r="R123" s="458">
        <v>12.83</v>
      </c>
      <c r="S123" s="458">
        <v>166.38871437142856</v>
      </c>
      <c r="T123" s="458">
        <v>95.78</v>
      </c>
      <c r="U123" s="458">
        <v>29.88</v>
      </c>
      <c r="V123" s="458">
        <v>12.36</v>
      </c>
      <c r="W123" s="458">
        <v>1.9</v>
      </c>
      <c r="X123" s="458">
        <v>96.9</v>
      </c>
      <c r="Y123" s="458">
        <v>33.717142651428574</v>
      </c>
    </row>
    <row r="124" spans="15:25">
      <c r="P124" s="457">
        <v>17</v>
      </c>
      <c r="Q124" s="458">
        <v>19.14</v>
      </c>
      <c r="R124" s="458">
        <v>13.52</v>
      </c>
      <c r="S124" s="458">
        <v>168.19342804285716</v>
      </c>
      <c r="T124" s="458">
        <v>95.39</v>
      </c>
      <c r="U124" s="458">
        <v>22.257285525714284</v>
      </c>
      <c r="V124" s="458">
        <v>13.4</v>
      </c>
      <c r="W124" s="458">
        <v>1.7940000124285713</v>
      </c>
      <c r="X124" s="458">
        <v>89.59</v>
      </c>
      <c r="Y124" s="458">
        <v>27.06</v>
      </c>
    </row>
    <row r="125" spans="15:25">
      <c r="P125" s="457">
        <v>18</v>
      </c>
      <c r="Q125" s="458">
        <v>19.703571455714286</v>
      </c>
      <c r="R125" s="458">
        <v>14.166857039571427</v>
      </c>
      <c r="S125" s="458">
        <v>171.5428597714286</v>
      </c>
      <c r="T125" s="458">
        <v>85.958285739999994</v>
      </c>
      <c r="U125" s="458">
        <v>21.651714052857141</v>
      </c>
      <c r="V125" s="458">
        <v>12.785805702857145</v>
      </c>
      <c r="W125" s="458">
        <v>2.3024285860000004</v>
      </c>
      <c r="X125" s="458">
        <v>89.602142331428567</v>
      </c>
      <c r="Y125" s="458">
        <v>22.269714081428571</v>
      </c>
    </row>
    <row r="126" spans="15:25">
      <c r="P126" s="457">
        <v>19</v>
      </c>
      <c r="Q126" s="458">
        <v>15.48828561</v>
      </c>
      <c r="R126" s="458">
        <v>12.650857108142857</v>
      </c>
      <c r="S126" s="458">
        <v>146.54485865714287</v>
      </c>
      <c r="T126" s="458">
        <v>88.244000028571435</v>
      </c>
      <c r="U126" s="458">
        <v>19.037142890000002</v>
      </c>
      <c r="V126" s="458">
        <v>11.328391347142857</v>
      </c>
      <c r="W126" s="458">
        <v>1.8057142665714285</v>
      </c>
      <c r="X126" s="458">
        <v>75.568572998571426</v>
      </c>
      <c r="Y126" s="458">
        <v>17.565999711428571</v>
      </c>
    </row>
    <row r="127" spans="15:25">
      <c r="O127" s="456">
        <v>20</v>
      </c>
      <c r="P127" s="457">
        <v>20</v>
      </c>
      <c r="Q127" s="458">
        <v>14.601142882857145</v>
      </c>
      <c r="R127" s="458">
        <v>10.013285772</v>
      </c>
      <c r="S127" s="458">
        <v>112.76242937142857</v>
      </c>
      <c r="T127" s="458">
        <v>64.809571402857145</v>
      </c>
      <c r="U127" s="458">
        <v>16.531571660000001</v>
      </c>
      <c r="V127" s="458">
        <v>10.899261474285714</v>
      </c>
      <c r="W127" s="458">
        <v>1.7767143248571429</v>
      </c>
      <c r="X127" s="458">
        <v>62.208570752857149</v>
      </c>
      <c r="Y127" s="458">
        <v>14.502285821428572</v>
      </c>
    </row>
    <row r="128" spans="15:25">
      <c r="P128" s="457">
        <v>21</v>
      </c>
      <c r="Q128" s="458">
        <v>13.411285537142858</v>
      </c>
      <c r="R128" s="458">
        <v>7.8631429672857154</v>
      </c>
      <c r="S128" s="458">
        <v>94.636570517142857</v>
      </c>
      <c r="T128" s="458">
        <v>49.303714208571428</v>
      </c>
      <c r="U128" s="458">
        <v>13.450571468571427</v>
      </c>
      <c r="V128" s="458">
        <v>11.166911400000002</v>
      </c>
      <c r="W128" s="458">
        <v>1.8437143055714282</v>
      </c>
      <c r="X128" s="458">
        <v>54.38714218285714</v>
      </c>
      <c r="Y128" s="458">
        <v>12.214999879999999</v>
      </c>
    </row>
    <row r="129" spans="15:26">
      <c r="P129" s="457">
        <v>22</v>
      </c>
      <c r="Q129" s="458">
        <v>12.490285737142855</v>
      </c>
      <c r="R129" s="458">
        <v>6.4215714250000007</v>
      </c>
      <c r="S129" s="458">
        <v>81.718714031428576</v>
      </c>
      <c r="T129" s="458">
        <v>42.928571428571431</v>
      </c>
      <c r="U129" s="458">
        <v>11.897571562857141</v>
      </c>
      <c r="V129" s="458">
        <v>10.57333578442857</v>
      </c>
      <c r="W129" s="458">
        <v>1.8770000252857142</v>
      </c>
      <c r="X129" s="458">
        <v>48.837857382857138</v>
      </c>
      <c r="Y129" s="458">
        <v>10.894571441428569</v>
      </c>
    </row>
    <row r="130" spans="15:26">
      <c r="P130" s="457">
        <v>23</v>
      </c>
      <c r="Q130" s="458">
        <v>12.278000014285713</v>
      </c>
      <c r="R130" s="458">
        <v>5.5577142921428564</v>
      </c>
      <c r="S130" s="458">
        <v>83.760285512857152</v>
      </c>
      <c r="T130" s="458">
        <v>67.797571451428567</v>
      </c>
      <c r="U130" s="458">
        <v>15.801714215714284</v>
      </c>
      <c r="V130" s="458">
        <v>11.341294289999999</v>
      </c>
      <c r="W130" s="458">
        <v>1.7928571701428571</v>
      </c>
      <c r="X130" s="458">
        <v>58.175000328571436</v>
      </c>
      <c r="Y130" s="458">
        <v>13.860571451428571</v>
      </c>
    </row>
    <row r="131" spans="15:26">
      <c r="O131" s="456">
        <v>24</v>
      </c>
      <c r="P131" s="457">
        <v>24</v>
      </c>
      <c r="Q131" s="458">
        <v>10.882714271142857</v>
      </c>
      <c r="R131" s="458">
        <v>5.3317142215714286</v>
      </c>
      <c r="S131" s="458">
        <v>82.799001421428557</v>
      </c>
      <c r="T131" s="458">
        <v>63.982142857142854</v>
      </c>
      <c r="U131" s="458">
        <v>15.595999989999999</v>
      </c>
      <c r="V131" s="458">
        <v>11.96411841142857</v>
      </c>
      <c r="W131" s="458">
        <v>2.0252857377142854</v>
      </c>
      <c r="X131" s="458">
        <v>61.988572801428582</v>
      </c>
      <c r="Y131" s="458">
        <v>13.392856871428572</v>
      </c>
    </row>
    <row r="132" spans="15:26">
      <c r="P132" s="457">
        <v>25</v>
      </c>
      <c r="Q132" s="458">
        <v>10.290999957142857</v>
      </c>
      <c r="R132" s="458">
        <v>3.7498572211428569</v>
      </c>
      <c r="S132" s="458">
        <v>74.093855721428568</v>
      </c>
      <c r="T132" s="458">
        <v>53.035571505714287</v>
      </c>
      <c r="U132" s="458">
        <v>14.135857038571428</v>
      </c>
      <c r="V132" s="458">
        <v>11.79</v>
      </c>
      <c r="W132" s="458">
        <v>2.0514285564285717</v>
      </c>
      <c r="X132" s="458">
        <v>51.970714024285719</v>
      </c>
      <c r="Y132" s="458">
        <v>10.749428476857142</v>
      </c>
    </row>
    <row r="133" spans="15:26">
      <c r="P133" s="457">
        <v>26</v>
      </c>
      <c r="Q133" s="458">
        <v>9.5591429302857147</v>
      </c>
      <c r="R133" s="458">
        <v>3.5651427677142853</v>
      </c>
      <c r="S133" s="458">
        <v>66.795142037142867</v>
      </c>
      <c r="T133" s="458">
        <v>40.369000025714286</v>
      </c>
      <c r="U133" s="458">
        <v>10.912428581428573</v>
      </c>
      <c r="V133" s="458">
        <v>10.93</v>
      </c>
      <c r="W133" s="458">
        <v>2.1038571597142854</v>
      </c>
      <c r="X133" s="458">
        <v>44.390714371428579</v>
      </c>
      <c r="Y133" s="458">
        <v>9.1145714351428584</v>
      </c>
    </row>
    <row r="134" spans="15:26">
      <c r="P134" s="457">
        <v>27</v>
      </c>
      <c r="Q134" s="458">
        <v>9.3137141635714293</v>
      </c>
      <c r="R134" s="458">
        <v>4.7600000245714282</v>
      </c>
      <c r="S134" s="458">
        <v>67.368571689999996</v>
      </c>
      <c r="T134" s="458">
        <v>33.409999999999997</v>
      </c>
      <c r="U134" s="458">
        <v>9.4035714009999989</v>
      </c>
      <c r="V134" s="458">
        <v>12.51</v>
      </c>
      <c r="W134" s="458">
        <v>2.0499999999999998</v>
      </c>
      <c r="X134" s="458">
        <v>39.173571994285716</v>
      </c>
      <c r="Y134" s="458">
        <v>7.6487142698571438</v>
      </c>
    </row>
    <row r="135" spans="15:26">
      <c r="O135" s="456">
        <v>28</v>
      </c>
      <c r="P135" s="457">
        <v>28</v>
      </c>
      <c r="Q135" s="458">
        <v>8.7544284548571447</v>
      </c>
      <c r="R135" s="458">
        <v>2.5707143034285713</v>
      </c>
      <c r="S135" s="458">
        <v>65.073571887142847</v>
      </c>
      <c r="T135" s="458">
        <v>33.160714285714285</v>
      </c>
      <c r="U135" s="458">
        <v>9.4155716217142871</v>
      </c>
      <c r="V135" s="458">
        <v>12.3</v>
      </c>
      <c r="W135" s="458">
        <v>2.2505714212857142</v>
      </c>
      <c r="X135" s="458">
        <v>36.999285560000011</v>
      </c>
      <c r="Y135" s="458">
        <v>7.0544285774285713</v>
      </c>
    </row>
    <row r="136" spans="15:26">
      <c r="P136" s="457">
        <v>29</v>
      </c>
      <c r="Q136" s="458">
        <v>8.6149000000000004</v>
      </c>
      <c r="R136" s="458">
        <v>3.7006000000000001</v>
      </c>
      <c r="S136" s="458">
        <v>62.515714285714289</v>
      </c>
      <c r="T136" s="458">
        <v>35.738</v>
      </c>
      <c r="U136" s="458">
        <v>9.5503999999999998</v>
      </c>
      <c r="V136" s="458">
        <v>12.245714285714286</v>
      </c>
      <c r="W136" s="458">
        <v>1.9771428571428571</v>
      </c>
      <c r="X136" s="458">
        <v>38.677142857142861</v>
      </c>
      <c r="Y136" s="458">
        <v>6.3400000000000007</v>
      </c>
    </row>
    <row r="137" spans="15:26">
      <c r="P137" s="457">
        <v>30</v>
      </c>
      <c r="Q137" s="458">
        <v>8.1221428598571439</v>
      </c>
      <c r="R137" s="458">
        <v>4.9111429789999992</v>
      </c>
      <c r="S137" s="458">
        <v>57.148857115714286</v>
      </c>
      <c r="T137" s="458">
        <v>85.065429679999994</v>
      </c>
      <c r="U137" s="458">
        <v>15.534142631428571</v>
      </c>
      <c r="V137" s="458">
        <v>10.995952741142858</v>
      </c>
      <c r="W137" s="458">
        <v>2.2859999964285715</v>
      </c>
      <c r="X137" s="458">
        <v>56.166428702857139</v>
      </c>
      <c r="Y137" s="458">
        <v>9.4385714285714304</v>
      </c>
    </row>
    <row r="138" spans="15:26">
      <c r="P138" s="457">
        <v>31</v>
      </c>
      <c r="Q138" s="458">
        <v>7.5620000000000003</v>
      </c>
      <c r="R138" s="458">
        <v>3.28</v>
      </c>
      <c r="S138" s="458">
        <v>58.768000000000001</v>
      </c>
      <c r="T138" s="458">
        <v>40.375</v>
      </c>
      <c r="U138" s="458">
        <v>8.5579999999999998</v>
      </c>
      <c r="V138" s="458">
        <v>13.18</v>
      </c>
      <c r="W138" s="458">
        <v>2</v>
      </c>
      <c r="X138" s="458">
        <v>50.215000000000003</v>
      </c>
      <c r="Y138" s="458">
        <v>8.5770238095238049</v>
      </c>
    </row>
    <row r="139" spans="15:26">
      <c r="O139" s="456">
        <v>32</v>
      </c>
      <c r="P139" s="457">
        <v>32</v>
      </c>
      <c r="Q139" s="458">
        <v>8.4994284765714276</v>
      </c>
      <c r="R139" s="458">
        <v>4.8781427315714287</v>
      </c>
      <c r="S139" s="458">
        <v>54.703428540000004</v>
      </c>
      <c r="T139" s="458">
        <v>52.946428571428569</v>
      </c>
      <c r="U139" s="458">
        <v>10.739857128857144</v>
      </c>
      <c r="V139" s="458">
        <v>10.850328444285712</v>
      </c>
      <c r="W139" s="458">
        <v>2.0667142697142857</v>
      </c>
      <c r="X139" s="458">
        <v>50.460713522857141</v>
      </c>
      <c r="Y139" s="458">
        <v>9.7962856299999999</v>
      </c>
    </row>
    <row r="140" spans="15:26">
      <c r="P140" s="457">
        <v>33</v>
      </c>
      <c r="Q140" s="458">
        <v>7.8117142411428571</v>
      </c>
      <c r="R140" s="458">
        <v>4.5999999999999996</v>
      </c>
      <c r="S140" s="458">
        <v>59.066285269999995</v>
      </c>
      <c r="T140" s="458">
        <v>47.13</v>
      </c>
      <c r="U140" s="458">
        <v>9.23</v>
      </c>
      <c r="V140" s="458">
        <v>10.84</v>
      </c>
      <c r="W140" s="458">
        <v>2.0499999999999998</v>
      </c>
      <c r="X140" s="458">
        <v>44.64</v>
      </c>
      <c r="Y140" s="458">
        <v>8.7822855541428577</v>
      </c>
    </row>
    <row r="141" spans="15:26">
      <c r="P141" s="457">
        <v>34</v>
      </c>
      <c r="Q141" s="458">
        <v>6.44</v>
      </c>
      <c r="R141" s="458">
        <v>5.1568571165714285</v>
      </c>
      <c r="S141" s="458">
        <v>82.033571515714272</v>
      </c>
      <c r="T141" s="458">
        <v>63.892999920000001</v>
      </c>
      <c r="U141" s="458">
        <v>10.917285918714287</v>
      </c>
      <c r="V141" s="458">
        <v>10.534582955714285</v>
      </c>
      <c r="W141" s="458">
        <v>1.8788571358571429</v>
      </c>
      <c r="X141" s="458">
        <v>35.627857751428571</v>
      </c>
      <c r="Y141" s="458">
        <v>11.383714402571428</v>
      </c>
    </row>
    <row r="142" spans="15:26">
      <c r="P142" s="457">
        <v>35</v>
      </c>
      <c r="Q142" s="458">
        <v>7.5428571428571427</v>
      </c>
      <c r="R142" s="458">
        <v>2.15</v>
      </c>
      <c r="S142" s="458">
        <v>71.48</v>
      </c>
      <c r="T142" s="458">
        <v>45.64</v>
      </c>
      <c r="U142" s="458">
        <v>9.4700000000000006</v>
      </c>
      <c r="V142" s="458">
        <v>10.92</v>
      </c>
      <c r="W142" s="458">
        <v>1.88</v>
      </c>
      <c r="X142" s="458">
        <v>32.979999999999997</v>
      </c>
      <c r="Y142" s="458">
        <v>7.88</v>
      </c>
    </row>
    <row r="143" spans="15:26">
      <c r="O143" s="456">
        <v>36</v>
      </c>
      <c r="P143" s="457">
        <v>36</v>
      </c>
      <c r="Q143" s="458">
        <v>7.1671427998571433</v>
      </c>
      <c r="R143" s="458">
        <v>4.8342857142857136</v>
      </c>
      <c r="S143" s="458">
        <v>63.092857142857149</v>
      </c>
      <c r="T143" s="458">
        <v>34.571428571428569</v>
      </c>
      <c r="U143" s="458">
        <v>7.5942857142857134</v>
      </c>
      <c r="V143" s="458">
        <v>11.091428571428571</v>
      </c>
      <c r="W143" s="458">
        <v>1.8442857142857143</v>
      </c>
      <c r="X143" s="458">
        <v>31.20428571428571</v>
      </c>
      <c r="Y143" s="458">
        <v>8.0857142857142854</v>
      </c>
      <c r="Z143" s="487"/>
    </row>
    <row r="144" spans="15:26">
      <c r="P144" s="457">
        <v>37</v>
      </c>
      <c r="Q144" s="458">
        <v>7.1637143408571422</v>
      </c>
      <c r="R144" s="458">
        <v>3.1535714688571423</v>
      </c>
      <c r="S144" s="458">
        <v>61.141713821428574</v>
      </c>
      <c r="T144" s="458">
        <v>28.744000025714286</v>
      </c>
      <c r="U144" s="458">
        <v>6.5637142318571433</v>
      </c>
      <c r="V144" s="458">
        <v>10.825238499999999</v>
      </c>
      <c r="W144" s="458">
        <v>1.8114285809999999</v>
      </c>
      <c r="X144" s="458">
        <v>29.614285605714283</v>
      </c>
      <c r="Y144" s="458">
        <v>8.6452856064285708</v>
      </c>
    </row>
    <row r="145" spans="14:25">
      <c r="P145" s="457">
        <v>38</v>
      </c>
      <c r="Q145" s="458">
        <v>8.31</v>
      </c>
      <c r="R145" s="458">
        <v>3.3441428289999995</v>
      </c>
      <c r="S145" s="458">
        <v>49.664428712857145</v>
      </c>
      <c r="T145" s="458">
        <v>35.571571351428574</v>
      </c>
      <c r="U145" s="458">
        <v>7.2939999444285712</v>
      </c>
      <c r="V145" s="458">
        <v>11.159824370000001</v>
      </c>
      <c r="W145" s="458">
        <v>1.8427142925714282</v>
      </c>
      <c r="X145" s="458">
        <v>30.912857054285716</v>
      </c>
      <c r="Y145" s="458">
        <v>8.6452856064285708</v>
      </c>
    </row>
    <row r="146" spans="14:25">
      <c r="P146" s="457">
        <v>39</v>
      </c>
      <c r="Q146" s="458">
        <v>7.621428489714285</v>
      </c>
      <c r="R146" s="458">
        <v>4.6500000000000004</v>
      </c>
      <c r="S146" s="458">
        <v>42.24</v>
      </c>
      <c r="T146" s="458">
        <v>39.39</v>
      </c>
      <c r="U146" s="458">
        <v>7.68</v>
      </c>
      <c r="V146" s="458">
        <v>11.33</v>
      </c>
      <c r="W146" s="458">
        <v>1.64</v>
      </c>
      <c r="X146" s="458">
        <v>37.200000000000003</v>
      </c>
      <c r="Y146" s="458">
        <v>7.4194285528571422</v>
      </c>
    </row>
    <row r="147" spans="14:25">
      <c r="O147" s="456">
        <v>40</v>
      </c>
      <c r="P147" s="457">
        <v>40</v>
      </c>
      <c r="Q147" s="458">
        <v>7.621428489714285</v>
      </c>
      <c r="R147" s="458">
        <v>5.128571373571428</v>
      </c>
      <c r="S147" s="458">
        <v>38.906285422857138</v>
      </c>
      <c r="T147" s="458">
        <v>41.34000069857143</v>
      </c>
      <c r="U147" s="458">
        <v>9.112857137571428</v>
      </c>
      <c r="V147" s="458">
        <v>11.565001485714285</v>
      </c>
      <c r="W147" s="458">
        <v>1.8221428395714285</v>
      </c>
      <c r="X147" s="458">
        <v>42.197143011428572</v>
      </c>
      <c r="Y147" s="458">
        <v>9.6005713597142837</v>
      </c>
    </row>
    <row r="148" spans="14:25">
      <c r="P148" s="457">
        <v>41</v>
      </c>
      <c r="Q148" s="458">
        <v>7.2698572022574259</v>
      </c>
      <c r="R148" s="458">
        <v>4.8594285079410948</v>
      </c>
      <c r="S148" s="458">
        <v>42.923713956560341</v>
      </c>
      <c r="T148" s="458">
        <v>56.607142857142847</v>
      </c>
      <c r="U148" s="458">
        <v>11.170142854962995</v>
      </c>
      <c r="V148" s="458">
        <v>12.740178653172041</v>
      </c>
      <c r="W148" s="458">
        <v>1.7041428429739784</v>
      </c>
      <c r="X148" s="458">
        <v>49.475714547293492</v>
      </c>
      <c r="Y148" s="458">
        <v>10.943285942077617</v>
      </c>
    </row>
    <row r="149" spans="14:25">
      <c r="P149" s="457">
        <v>42</v>
      </c>
      <c r="Q149" s="458">
        <v>6.2732856614249064</v>
      </c>
      <c r="R149" s="458">
        <v>4.00314286776951</v>
      </c>
      <c r="S149" s="458">
        <v>73.976001194545148</v>
      </c>
      <c r="T149" s="458">
        <v>89.232285635811792</v>
      </c>
      <c r="U149" s="458">
        <v>19.282285690307582</v>
      </c>
      <c r="V149" s="458">
        <v>11.792381422860229</v>
      </c>
      <c r="W149" s="458">
        <v>1.5524285691124997</v>
      </c>
      <c r="X149" s="458">
        <v>72.350713457379968</v>
      </c>
      <c r="Y149" s="458">
        <v>17.972571236746628</v>
      </c>
    </row>
    <row r="150" spans="14:25">
      <c r="P150" s="457">
        <v>43</v>
      </c>
      <c r="Q150" s="458">
        <v>8.3208571161542526</v>
      </c>
      <c r="R150" s="458">
        <v>6.0481427737644662</v>
      </c>
      <c r="S150" s="458">
        <v>97.234427315848038</v>
      </c>
      <c r="T150" s="458">
        <v>125.70828465052978</v>
      </c>
      <c r="U150" s="458">
        <v>26.382142475673081</v>
      </c>
      <c r="V150" s="458">
        <v>12.0416071755545</v>
      </c>
      <c r="W150" s="458">
        <v>1.585428544453207</v>
      </c>
      <c r="X150" s="458">
        <v>82.484284537179079</v>
      </c>
      <c r="Y150" s="458">
        <v>19.552571432931028</v>
      </c>
    </row>
    <row r="151" spans="14:25">
      <c r="O151" s="456">
        <v>44</v>
      </c>
      <c r="P151" s="457">
        <v>44</v>
      </c>
      <c r="Q151" s="458">
        <v>9.2941429947142868</v>
      </c>
      <c r="R151" s="458">
        <v>7.6531428608571428</v>
      </c>
      <c r="S151" s="458">
        <v>120.62971387142855</v>
      </c>
      <c r="T151" s="458">
        <v>157.60714285714286</v>
      </c>
      <c r="U151" s="458">
        <v>33.364427840000005</v>
      </c>
      <c r="V151" s="458">
        <v>12.188929967142856</v>
      </c>
      <c r="W151" s="458">
        <v>1.6864285471428571</v>
      </c>
      <c r="X151" s="458">
        <v>110.40928649571428</v>
      </c>
      <c r="Y151" s="458">
        <v>33.081571032857141</v>
      </c>
    </row>
    <row r="152" spans="14:25">
      <c r="P152" s="457">
        <v>45</v>
      </c>
      <c r="Q152" s="458">
        <v>8.6642857274285721</v>
      </c>
      <c r="R152" s="458">
        <v>4.2061428341428568</v>
      </c>
      <c r="S152" s="458">
        <v>125.43157086857143</v>
      </c>
      <c r="T152" s="458">
        <v>105.63685608857143</v>
      </c>
      <c r="U152" s="458">
        <v>18.735571588571428</v>
      </c>
      <c r="V152" s="458">
        <v>13</v>
      </c>
      <c r="W152" s="458">
        <v>1.7397142818571427</v>
      </c>
      <c r="X152" s="458">
        <v>114.14357212285714</v>
      </c>
      <c r="Y152" s="458">
        <v>39.80185754</v>
      </c>
    </row>
    <row r="153" spans="14:25">
      <c r="P153" s="457">
        <v>46</v>
      </c>
      <c r="Q153" s="458">
        <v>8.5371428571428574</v>
      </c>
      <c r="R153" s="458">
        <v>5.9</v>
      </c>
      <c r="S153" s="458">
        <v>78.757142857142853</v>
      </c>
      <c r="T153" s="458">
        <v>79.304285714285712</v>
      </c>
      <c r="U153" s="458">
        <v>13.16</v>
      </c>
      <c r="V153" s="458">
        <v>13.001428571428571</v>
      </c>
      <c r="W153" s="458">
        <v>1.5</v>
      </c>
      <c r="X153" s="458">
        <v>93.457142857142841</v>
      </c>
      <c r="Y153" s="458">
        <v>37.212857142857146</v>
      </c>
    </row>
    <row r="154" spans="14:25">
      <c r="P154" s="457">
        <v>47</v>
      </c>
      <c r="Q154" s="458">
        <v>9.0094285692857135</v>
      </c>
      <c r="R154" s="458">
        <v>7.1015714912857133</v>
      </c>
      <c r="S154" s="458">
        <v>88.111712864285735</v>
      </c>
      <c r="T154" s="458">
        <v>74.684428622857141</v>
      </c>
      <c r="U154" s="458">
        <v>13.483142988571428</v>
      </c>
      <c r="V154" s="458">
        <v>12.142405645714286</v>
      </c>
      <c r="W154" s="458">
        <v>1.5</v>
      </c>
      <c r="X154" s="458">
        <v>104.10500007571429</v>
      </c>
      <c r="Y154" s="458">
        <v>35.055428368571434</v>
      </c>
    </row>
    <row r="155" spans="14:25">
      <c r="O155" s="456">
        <v>48</v>
      </c>
      <c r="P155" s="457">
        <v>48</v>
      </c>
      <c r="Q155" s="458">
        <v>8.5042856081428582</v>
      </c>
      <c r="R155" s="458">
        <v>4.3617142950000005</v>
      </c>
      <c r="S155" s="458">
        <v>80.151286534285717</v>
      </c>
      <c r="T155" s="458">
        <v>95.303570342857142</v>
      </c>
      <c r="U155" s="458">
        <v>12.543571337142859</v>
      </c>
      <c r="V155" s="458">
        <v>11.975262778571429</v>
      </c>
      <c r="W155" s="458">
        <v>1.5</v>
      </c>
      <c r="X155" s="458">
        <v>91.569999695714287</v>
      </c>
      <c r="Y155" s="458">
        <v>28.370000294285713</v>
      </c>
    </row>
    <row r="156" spans="14:25">
      <c r="P156" s="457">
        <v>49</v>
      </c>
      <c r="Q156" s="458">
        <v>8.27</v>
      </c>
      <c r="R156" s="458">
        <v>6.9099999999999993</v>
      </c>
      <c r="S156" s="458">
        <v>66.555714285714288</v>
      </c>
      <c r="T156" s="458">
        <v>54.31</v>
      </c>
      <c r="U156" s="458">
        <v>8.99</v>
      </c>
      <c r="V156" s="458">
        <v>12.26</v>
      </c>
      <c r="W156" s="458">
        <v>1.5</v>
      </c>
      <c r="X156" s="458">
        <v>62.974285714285706</v>
      </c>
      <c r="Y156" s="458">
        <v>22.919999999999998</v>
      </c>
    </row>
    <row r="157" spans="14:25">
      <c r="P157" s="457">
        <v>50</v>
      </c>
      <c r="Q157" s="458">
        <v>8.1765714374285707</v>
      </c>
      <c r="R157" s="458">
        <v>6.5639999597142857</v>
      </c>
      <c r="S157" s="458">
        <v>61.602715082857152</v>
      </c>
      <c r="T157" s="458">
        <v>52.47614288285714</v>
      </c>
      <c r="U157" s="458">
        <v>10.909571511285714</v>
      </c>
      <c r="V157" s="458">
        <v>13.001428604285715</v>
      </c>
      <c r="W157" s="458">
        <v>1.457142846857143</v>
      </c>
      <c r="X157" s="458">
        <v>52.244286674285718</v>
      </c>
      <c r="Y157" s="458">
        <v>17.695714271428571</v>
      </c>
    </row>
    <row r="158" spans="14:25">
      <c r="P158" s="457">
        <v>51</v>
      </c>
      <c r="Q158" s="458">
        <v>10.342857142857142</v>
      </c>
      <c r="R158" s="458">
        <v>7.3285714285714283</v>
      </c>
      <c r="S158" s="458">
        <v>53.9</v>
      </c>
      <c r="T158" s="458">
        <v>126.14285714285714</v>
      </c>
      <c r="U158" s="458">
        <v>16.8</v>
      </c>
      <c r="V158" s="458">
        <v>12.257142857142856</v>
      </c>
      <c r="W158" s="458">
        <v>1.3857142857142859</v>
      </c>
      <c r="X158" s="458">
        <v>86.528571428571439</v>
      </c>
      <c r="Y158" s="458">
        <v>33.51428571428572</v>
      </c>
    </row>
    <row r="159" spans="14:25">
      <c r="O159" s="456">
        <v>52</v>
      </c>
      <c r="P159" s="457">
        <v>52</v>
      </c>
      <c r="Q159" s="458">
        <v>10.661999840142856</v>
      </c>
      <c r="R159" s="458">
        <v>7.4820000789999996</v>
      </c>
      <c r="S159" s="458">
        <v>57.504999978571433</v>
      </c>
      <c r="T159" s="458">
        <v>100.38085719714286</v>
      </c>
      <c r="U159" s="458">
        <v>16.435142652857145</v>
      </c>
      <c r="V159" s="458">
        <v>12.222315514285714</v>
      </c>
      <c r="W159" s="458">
        <v>1.2999999520000001</v>
      </c>
      <c r="X159" s="458">
        <v>103.53357153142858</v>
      </c>
      <c r="Y159" s="458">
        <v>52.753143308571431</v>
      </c>
    </row>
    <row r="160" spans="14:25">
      <c r="N160" s="456">
        <v>2019</v>
      </c>
      <c r="O160" s="456">
        <v>1</v>
      </c>
      <c r="P160" s="457">
        <v>1</v>
      </c>
      <c r="Q160" s="458">
        <v>8.992857251428573</v>
      </c>
      <c r="R160" s="458">
        <v>4.4642857141428571</v>
      </c>
      <c r="S160" s="458">
        <v>57.514999934285704</v>
      </c>
      <c r="T160" s="458">
        <v>79.871427261428579</v>
      </c>
      <c r="U160" s="458">
        <v>13.115714484285716</v>
      </c>
      <c r="V160" s="458">
        <v>11.571904317142856</v>
      </c>
      <c r="W160" s="458">
        <v>1.2999999520000001</v>
      </c>
      <c r="X160" s="458">
        <v>121.75642612857142</v>
      </c>
      <c r="Y160" s="458">
        <v>64.398429325714275</v>
      </c>
    </row>
    <row r="161" spans="15:25">
      <c r="P161" s="457">
        <v>2</v>
      </c>
      <c r="Q161" s="458">
        <v>7.4904285157142843</v>
      </c>
      <c r="R161" s="458">
        <v>3.3685714177142856</v>
      </c>
      <c r="S161" s="458">
        <v>63.363856724285711</v>
      </c>
      <c r="T161" s="458">
        <v>84.184571402857145</v>
      </c>
      <c r="U161" s="458">
        <v>16.11014284285714</v>
      </c>
      <c r="V161" s="458">
        <v>11.570298602857141</v>
      </c>
      <c r="W161" s="458">
        <v>1.2999999520000001</v>
      </c>
      <c r="X161" s="458">
        <v>180.32999965714288</v>
      </c>
      <c r="Y161" s="458">
        <v>70.997858864285703</v>
      </c>
    </row>
    <row r="162" spans="15:25">
      <c r="P162" s="457">
        <v>3</v>
      </c>
      <c r="Q162" s="458">
        <v>14.36</v>
      </c>
      <c r="R162" s="458">
        <v>10.74</v>
      </c>
      <c r="S162" s="458">
        <v>80.75</v>
      </c>
      <c r="T162" s="458">
        <v>149.30000000000001</v>
      </c>
      <c r="U162" s="458">
        <v>29.23</v>
      </c>
      <c r="V162" s="458">
        <v>11.28</v>
      </c>
      <c r="W162" s="458">
        <v>1.33</v>
      </c>
      <c r="X162" s="458">
        <v>167.22</v>
      </c>
      <c r="Y162" s="458">
        <v>68.83</v>
      </c>
    </row>
    <row r="163" spans="15:25">
      <c r="O163" s="456">
        <v>4</v>
      </c>
      <c r="P163" s="457">
        <v>4</v>
      </c>
      <c r="Q163" s="458">
        <v>17.131428719999999</v>
      </c>
      <c r="R163" s="458">
        <v>11.155714580142858</v>
      </c>
      <c r="S163" s="458">
        <v>85.689570837142853</v>
      </c>
      <c r="T163" s="458">
        <v>168.80999974285714</v>
      </c>
      <c r="U163" s="458">
        <v>36.200000218571425</v>
      </c>
      <c r="V163" s="458">
        <v>11.843988554285716</v>
      </c>
      <c r="W163" s="458">
        <v>3.0287143159999999</v>
      </c>
      <c r="X163" s="458">
        <v>185.51500375714286</v>
      </c>
      <c r="Y163" s="458">
        <v>70.089428494285713</v>
      </c>
    </row>
    <row r="164" spans="15:25">
      <c r="P164" s="457">
        <v>5</v>
      </c>
      <c r="Q164" s="458">
        <v>30.592286245714288</v>
      </c>
      <c r="R164" s="458">
        <v>16.463000024285716</v>
      </c>
      <c r="S164" s="458">
        <v>416.48700821428571</v>
      </c>
      <c r="T164" s="458">
        <v>195.24999782857142</v>
      </c>
      <c r="U164" s="458">
        <v>36.703999928571427</v>
      </c>
      <c r="V164" s="458">
        <v>12.496724401428571</v>
      </c>
      <c r="W164" s="458">
        <v>6.6928571292857146</v>
      </c>
      <c r="X164" s="458">
        <v>199.03571430000002</v>
      </c>
      <c r="Y164" s="458">
        <v>74.655428748571438</v>
      </c>
    </row>
    <row r="165" spans="15:25">
      <c r="P165" s="457">
        <v>6</v>
      </c>
      <c r="Q165" s="458">
        <v>20.372857142857146</v>
      </c>
      <c r="R165" s="458">
        <v>17.05857142857143</v>
      </c>
      <c r="S165" s="458">
        <v>426.67142857142863</v>
      </c>
      <c r="T165" s="458">
        <v>265.28000000000003</v>
      </c>
      <c r="U165" s="458">
        <v>51.29</v>
      </c>
      <c r="V165" s="458">
        <v>12.744285714285715</v>
      </c>
      <c r="W165" s="458">
        <v>14.464285714285714</v>
      </c>
      <c r="X165" s="458">
        <v>338.89857142857142</v>
      </c>
      <c r="Y165" s="458">
        <v>117.82857142857142</v>
      </c>
    </row>
    <row r="166" spans="15:25">
      <c r="P166" s="457">
        <v>7</v>
      </c>
      <c r="Q166" s="458">
        <v>28.837571554285717</v>
      </c>
      <c r="R166" s="458">
        <v>18.065285818571429</v>
      </c>
      <c r="S166" s="458">
        <v>581.62514822857145</v>
      </c>
      <c r="T166" s="458">
        <v>230.7322888857143</v>
      </c>
      <c r="U166" s="458">
        <v>46.224000658571427</v>
      </c>
      <c r="V166" s="458">
        <v>23.841369902857146</v>
      </c>
      <c r="W166" s="458">
        <v>21.059571402857141</v>
      </c>
      <c r="X166" s="458">
        <v>288.0957205571429</v>
      </c>
      <c r="Y166" s="458">
        <v>118.07871352857144</v>
      </c>
    </row>
    <row r="167" spans="15:25">
      <c r="O167" s="456">
        <v>8</v>
      </c>
      <c r="P167" s="457">
        <v>8</v>
      </c>
      <c r="Q167" s="458">
        <v>20.077857700000003</v>
      </c>
      <c r="R167" s="458">
        <v>14.531571660571432</v>
      </c>
      <c r="S167" s="458">
        <v>439.74099729999995</v>
      </c>
      <c r="T167" s="458">
        <v>219.37485614285717</v>
      </c>
      <c r="U167" s="458">
        <v>42.94585745571429</v>
      </c>
      <c r="V167" s="458">
        <v>23.894881112857146</v>
      </c>
      <c r="W167" s="458">
        <v>6.8928571428571432</v>
      </c>
      <c r="X167" s="458">
        <v>411.75142995714288</v>
      </c>
      <c r="Y167" s="458">
        <v>98.32</v>
      </c>
    </row>
    <row r="168" spans="15:25">
      <c r="P168" s="457">
        <v>9</v>
      </c>
      <c r="Q168" s="458">
        <v>26.317999977142858</v>
      </c>
      <c r="R168" s="458">
        <v>19.520428521428574</v>
      </c>
      <c r="S168" s="458">
        <v>316.26999772857147</v>
      </c>
      <c r="T168" s="458">
        <v>191.17842539999998</v>
      </c>
      <c r="U168" s="458">
        <v>34.696428571428569</v>
      </c>
      <c r="V168" s="458">
        <v>22.406962801428573</v>
      </c>
      <c r="W168" s="458">
        <v>3.3807143142857146</v>
      </c>
      <c r="X168" s="458">
        <v>249.46285358571427</v>
      </c>
      <c r="Y168" s="458">
        <v>120.90099988571428</v>
      </c>
    </row>
    <row r="169" spans="15:25">
      <c r="P169" s="457">
        <v>10</v>
      </c>
      <c r="Q169" s="458">
        <v>27.959571565714288</v>
      </c>
      <c r="R169" s="458">
        <v>20.831714628571426</v>
      </c>
      <c r="S169" s="458">
        <v>326.63642664285715</v>
      </c>
      <c r="T169" s="458">
        <v>184.08928571428572</v>
      </c>
      <c r="U169" s="458">
        <v>38.680999754285715</v>
      </c>
      <c r="V169" s="458">
        <v>23.828572680000001</v>
      </c>
      <c r="W169" s="458">
        <v>2.3840000118571427</v>
      </c>
      <c r="X169" s="458">
        <v>225.10000174285716</v>
      </c>
      <c r="Y169" s="458">
        <v>78.177285328571429</v>
      </c>
    </row>
    <row r="170" spans="15:25">
      <c r="P170" s="457">
        <v>11</v>
      </c>
      <c r="Q170" s="458">
        <v>27.959571565714288</v>
      </c>
      <c r="R170" s="458">
        <v>22.247142927987216</v>
      </c>
      <c r="S170" s="458">
        <v>416.08099801199745</v>
      </c>
      <c r="T170" s="458">
        <v>226.88085501534573</v>
      </c>
      <c r="U170" s="458">
        <v>42.633285522460888</v>
      </c>
      <c r="V170" s="458">
        <v>23.809881482805473</v>
      </c>
      <c r="W170" s="458">
        <v>1.9291428668158341</v>
      </c>
      <c r="X170" s="458">
        <v>217.45642525809117</v>
      </c>
      <c r="Y170" s="458">
        <v>44.638999938964801</v>
      </c>
    </row>
    <row r="171" spans="15:25">
      <c r="O171" s="456">
        <v>12</v>
      </c>
      <c r="P171" s="457">
        <v>12</v>
      </c>
      <c r="Q171" s="458">
        <v>28.476714270455457</v>
      </c>
      <c r="R171" s="458">
        <v>21.707857131428572</v>
      </c>
      <c r="S171" s="458">
        <v>394.13957431428571</v>
      </c>
      <c r="T171" s="458">
        <v>203.44642857142858</v>
      </c>
      <c r="U171" s="458">
        <v>43.529285431428569</v>
      </c>
      <c r="V171" s="458">
        <v>19.572964258571432</v>
      </c>
      <c r="W171" s="458">
        <v>1.7968571012857144</v>
      </c>
      <c r="X171" s="458">
        <v>327.82142857142861</v>
      </c>
      <c r="Y171" s="458">
        <v>98.4</v>
      </c>
    </row>
    <row r="172" spans="15:25">
      <c r="P172" s="457">
        <v>13</v>
      </c>
      <c r="Q172" s="458">
        <v>24.844714028571435</v>
      </c>
      <c r="R172" s="458">
        <v>20.569142751428576</v>
      </c>
      <c r="S172" s="458">
        <v>522.42285592857138</v>
      </c>
      <c r="T172" s="458">
        <v>225.26185825714285</v>
      </c>
      <c r="U172" s="458">
        <v>57.974427901428569</v>
      </c>
      <c r="V172" s="458">
        <v>12.582738467142859</v>
      </c>
      <c r="W172" s="458">
        <v>1.6904285634285714</v>
      </c>
      <c r="X172" s="458">
        <v>339.04356602857143</v>
      </c>
      <c r="Y172" s="458">
        <v>92.103571201428579</v>
      </c>
    </row>
    <row r="173" spans="15:25">
      <c r="P173" s="457">
        <v>14</v>
      </c>
      <c r="Q173" s="458">
        <v>29.483285902857141</v>
      </c>
      <c r="R173" s="458">
        <v>18.767857142857142</v>
      </c>
      <c r="S173" s="458">
        <v>316.33943394285717</v>
      </c>
      <c r="T173" s="458">
        <v>152.47643277142856</v>
      </c>
      <c r="U173" s="458">
        <v>55.119428907142868</v>
      </c>
      <c r="V173" s="458">
        <v>21.303751674285714</v>
      </c>
      <c r="W173" s="458">
        <v>1.6808571647142858</v>
      </c>
      <c r="X173" s="458">
        <v>250.08571298571431</v>
      </c>
      <c r="Y173" s="458">
        <v>65.665856497142855</v>
      </c>
    </row>
    <row r="174" spans="15:25">
      <c r="P174" s="457">
        <v>15</v>
      </c>
      <c r="Q174" s="458">
        <v>20.040428705714284</v>
      </c>
      <c r="R174" s="458">
        <v>14.275999887714287</v>
      </c>
      <c r="S174" s="458">
        <v>168.45457024285716</v>
      </c>
      <c r="T174" s="458">
        <v>98.160714291428576</v>
      </c>
      <c r="U174" s="458">
        <v>27.713714872857139</v>
      </c>
      <c r="V174" s="458">
        <v>17.810774395714287</v>
      </c>
      <c r="W174" s="458">
        <v>1.7205714498571432</v>
      </c>
      <c r="X174" s="458">
        <v>148.48785617142858</v>
      </c>
      <c r="Y174" s="458">
        <v>49.633285522857136</v>
      </c>
    </row>
    <row r="175" spans="15:25">
      <c r="O175" s="456">
        <v>16</v>
      </c>
      <c r="P175" s="457">
        <v>16</v>
      </c>
      <c r="Q175" s="458">
        <v>16.072142737142858</v>
      </c>
      <c r="R175" s="458">
        <v>10.180143014285713</v>
      </c>
      <c r="S175" s="458">
        <v>131.80142647142856</v>
      </c>
      <c r="T175" s="458">
        <v>98.279714314285712</v>
      </c>
      <c r="U175" s="458">
        <v>22.869143077142859</v>
      </c>
      <c r="V175" s="458">
        <v>12.210951395714286</v>
      </c>
      <c r="W175" s="458">
        <v>1.789857131857143</v>
      </c>
      <c r="X175" s="458">
        <v>105.47928511571429</v>
      </c>
      <c r="Y175" s="458">
        <v>31.291000095714285</v>
      </c>
    </row>
    <row r="176" spans="15:25">
      <c r="P176" s="457">
        <v>17</v>
      </c>
      <c r="Q176" s="458">
        <v>15.383999960000001</v>
      </c>
      <c r="R176" s="458">
        <v>12.121571608857142</v>
      </c>
      <c r="S176" s="458">
        <v>143.84128789999997</v>
      </c>
      <c r="T176" s="458">
        <v>83.547571454285716</v>
      </c>
      <c r="U176" s="458">
        <v>20.273857388571425</v>
      </c>
      <c r="V176" s="458">
        <v>12.949641501428573</v>
      </c>
      <c r="W176" s="458">
        <v>1.6648571664285714</v>
      </c>
      <c r="X176" s="458">
        <v>103.81928579571429</v>
      </c>
      <c r="Y176" s="458">
        <v>25.921857015714284</v>
      </c>
    </row>
    <row r="177" spans="15:25">
      <c r="P177" s="457">
        <v>18</v>
      </c>
      <c r="Q177" s="458">
        <v>16.026142665714286</v>
      </c>
      <c r="R177" s="458">
        <v>11.996285711571428</v>
      </c>
      <c r="S177" s="458">
        <v>111.12314277285714</v>
      </c>
      <c r="T177" s="458">
        <v>74.392857142857139</v>
      </c>
      <c r="U177" s="458">
        <v>18.103142875714287</v>
      </c>
      <c r="V177" s="458">
        <v>11.493274145714285</v>
      </c>
      <c r="W177" s="458">
        <v>1.55</v>
      </c>
      <c r="X177" s="458">
        <v>91.532855442857141</v>
      </c>
      <c r="Y177" s="458">
        <v>22.190428595714284</v>
      </c>
    </row>
    <row r="178" spans="15:25">
      <c r="P178" s="457">
        <v>19</v>
      </c>
      <c r="Q178" s="458">
        <v>14.769714355714287</v>
      </c>
      <c r="R178" s="458">
        <v>10.123285769857144</v>
      </c>
      <c r="S178" s="458">
        <v>89.41828482428572</v>
      </c>
      <c r="T178" s="458">
        <v>60.613000051428571</v>
      </c>
      <c r="U178" s="458">
        <v>15.728999954285714</v>
      </c>
      <c r="V178" s="458">
        <v>10.883738517142858</v>
      </c>
      <c r="W178" s="458">
        <v>1.5914285865714286</v>
      </c>
      <c r="X178" s="458">
        <v>82.45500183</v>
      </c>
      <c r="Y178" s="458">
        <v>20.991285870000006</v>
      </c>
    </row>
    <row r="179" spans="15:25">
      <c r="P179" s="457">
        <v>20</v>
      </c>
      <c r="Q179" s="458">
        <v>13.81242861</v>
      </c>
      <c r="R179" s="458">
        <v>9.3731427190000005</v>
      </c>
      <c r="S179" s="458">
        <v>79.212427410000004</v>
      </c>
      <c r="T179" s="458">
        <v>72.321428569999995</v>
      </c>
      <c r="U179" s="458">
        <v>20.647571429999999</v>
      </c>
      <c r="V179" s="458">
        <v>11.153748650000001</v>
      </c>
      <c r="W179" s="458">
        <v>1.5371428389999999</v>
      </c>
      <c r="X179" s="458">
        <v>76.857142859999996</v>
      </c>
      <c r="Y179" s="458">
        <v>23.085714070000002</v>
      </c>
    </row>
    <row r="180" spans="15:25">
      <c r="P180" s="457">
        <v>21</v>
      </c>
      <c r="Q180" s="458">
        <v>12.849714414285714</v>
      </c>
      <c r="R180" s="458">
        <v>7.085428442285715</v>
      </c>
      <c r="S180" s="458">
        <v>62.717000688571432</v>
      </c>
      <c r="T180" s="458">
        <v>52.565571377142859</v>
      </c>
      <c r="U180" s="458">
        <v>14.46171447</v>
      </c>
      <c r="V180" s="458">
        <v>12</v>
      </c>
      <c r="W180" s="458">
        <v>1.5128571304285714</v>
      </c>
      <c r="X180" s="458">
        <v>58.057856968571436</v>
      </c>
      <c r="Y180" s="458">
        <v>17.858285902857144</v>
      </c>
    </row>
    <row r="181" spans="15:25">
      <c r="O181" s="456">
        <v>22</v>
      </c>
      <c r="P181" s="457">
        <v>22</v>
      </c>
      <c r="Q181" s="458">
        <v>12.105428559999998</v>
      </c>
      <c r="R181" s="458">
        <v>7.3308571058571435</v>
      </c>
      <c r="S181" s="458">
        <v>41.633143151428598</v>
      </c>
      <c r="T181" s="458">
        <v>49.261999948571429</v>
      </c>
      <c r="U181" s="458">
        <v>12.621714454285712</v>
      </c>
      <c r="V181" s="458">
        <v>10.442797251571431</v>
      </c>
      <c r="W181" s="458">
        <v>1.5</v>
      </c>
      <c r="X181" s="458">
        <v>51.520714895714285</v>
      </c>
      <c r="Y181" s="458">
        <v>15.324571202857143</v>
      </c>
    </row>
    <row r="182" spans="15:25">
      <c r="P182" s="457">
        <v>23</v>
      </c>
      <c r="Q182" s="458">
        <v>11.272714207142856</v>
      </c>
      <c r="R182" s="458">
        <v>7.7242857718571427</v>
      </c>
      <c r="S182" s="458">
        <v>13.189857278857144</v>
      </c>
      <c r="T182" s="458">
        <v>40.500142779999997</v>
      </c>
      <c r="U182" s="458">
        <v>10.571857179142857</v>
      </c>
      <c r="V182" s="458">
        <v>10.979225701428572</v>
      </c>
      <c r="W182" s="458">
        <v>1.5</v>
      </c>
      <c r="X182" s="458">
        <v>46.520714351428573</v>
      </c>
      <c r="Y182" s="458">
        <v>13.868142808571431</v>
      </c>
    </row>
    <row r="183" spans="15:25">
      <c r="P183" s="457">
        <v>24</v>
      </c>
      <c r="Q183" s="458">
        <v>10.867999894285715</v>
      </c>
      <c r="R183" s="458">
        <v>8.8337143495714301</v>
      </c>
      <c r="S183" s="458">
        <v>78.434000150000003</v>
      </c>
      <c r="T183" s="458">
        <v>35.785857065714289</v>
      </c>
      <c r="U183" s="458">
        <v>9.2180000031428584</v>
      </c>
      <c r="V183" s="458">
        <v>11.096784181428571</v>
      </c>
      <c r="W183" s="458">
        <v>1.5</v>
      </c>
      <c r="X183" s="458">
        <v>42.473571777142858</v>
      </c>
      <c r="Y183" s="458">
        <v>12.512571334285715</v>
      </c>
    </row>
    <row r="184" spans="15:25">
      <c r="P184" s="457">
        <v>25</v>
      </c>
      <c r="Q184" s="458">
        <v>10.167285918857143</v>
      </c>
      <c r="R184" s="458">
        <v>7.6592858184285708</v>
      </c>
      <c r="S184" s="458">
        <v>77.872000559999989</v>
      </c>
      <c r="T184" s="458">
        <v>33.357000077142857</v>
      </c>
      <c r="U184" s="458">
        <v>8.9321429390000002</v>
      </c>
      <c r="V184" s="458">
        <v>10.461965969999998</v>
      </c>
      <c r="W184" s="458">
        <v>1.5</v>
      </c>
      <c r="X184" s="458">
        <v>43.729285104285715</v>
      </c>
      <c r="Y184" s="458">
        <v>11.450428658571429</v>
      </c>
    </row>
    <row r="185" spans="15:25">
      <c r="O185" s="456">
        <v>26</v>
      </c>
      <c r="P185" s="457">
        <v>26</v>
      </c>
      <c r="Q185" s="458">
        <v>9.3535717554285718</v>
      </c>
      <c r="R185" s="458">
        <v>6.2751428064285708</v>
      </c>
      <c r="S185" s="458">
        <v>76.447856358571428</v>
      </c>
      <c r="T185" s="458">
        <v>29.154571531428569</v>
      </c>
      <c r="U185" s="458">
        <v>8.3007144928571428</v>
      </c>
      <c r="V185" s="458">
        <v>11.259941372857144</v>
      </c>
      <c r="W185" s="458">
        <v>1.5</v>
      </c>
      <c r="X185" s="458">
        <v>44.616428919999997</v>
      </c>
      <c r="Y185" s="458">
        <v>9.6660000944285702</v>
      </c>
    </row>
    <row r="186" spans="15:25">
      <c r="P186" s="457">
        <v>27</v>
      </c>
      <c r="Q186" s="458">
        <v>8.86</v>
      </c>
      <c r="R186" s="458">
        <v>7.15</v>
      </c>
      <c r="S186" s="873">
        <v>77.430000000000007</v>
      </c>
      <c r="T186" s="458">
        <v>30.35</v>
      </c>
      <c r="U186" s="458">
        <v>8.59</v>
      </c>
      <c r="V186" s="458">
        <v>10.758154460361988</v>
      </c>
      <c r="W186" s="458">
        <v>1.59</v>
      </c>
      <c r="X186" s="458">
        <v>43.84</v>
      </c>
      <c r="Y186" s="458">
        <v>8.27</v>
      </c>
    </row>
    <row r="187" spans="15:25">
      <c r="P187" s="457">
        <v>28</v>
      </c>
      <c r="Q187" s="458">
        <v>8.9135712215714289</v>
      </c>
      <c r="R187" s="458">
        <v>5.7058570728571425</v>
      </c>
      <c r="S187" s="873">
        <v>76.24514443428572</v>
      </c>
      <c r="T187" s="458">
        <v>27.702285765714286</v>
      </c>
      <c r="U187" s="458">
        <v>7.8261427880000003</v>
      </c>
      <c r="V187" s="458">
        <v>11.139168601428571</v>
      </c>
      <c r="W187" s="458">
        <v>1.6000000240000001</v>
      </c>
      <c r="X187" s="458">
        <v>39.995714458571435</v>
      </c>
      <c r="Y187" s="458">
        <v>7.4899999752857136</v>
      </c>
    </row>
    <row r="188" spans="15:25">
      <c r="P188" s="457">
        <v>29</v>
      </c>
      <c r="Q188" s="458">
        <v>9.1244284766060932</v>
      </c>
      <c r="R188" s="458">
        <v>6.4564285959516052</v>
      </c>
      <c r="S188" s="873">
        <v>66.31271307809007</v>
      </c>
      <c r="T188" s="458">
        <v>29.940428597586454</v>
      </c>
      <c r="U188" s="458">
        <v>7.6488569804600273</v>
      </c>
      <c r="V188" s="458">
        <v>10.810358456202879</v>
      </c>
      <c r="W188" s="458">
        <v>1.6000000238418504</v>
      </c>
      <c r="X188" s="458">
        <v>42.704285757882197</v>
      </c>
      <c r="Y188" s="458">
        <v>6.46428571428571</v>
      </c>
    </row>
    <row r="189" spans="15:25">
      <c r="O189" s="456">
        <v>30</v>
      </c>
      <c r="P189" s="457">
        <v>30</v>
      </c>
      <c r="Q189" s="458">
        <v>8.5528571428571407</v>
      </c>
      <c r="R189" s="458">
        <v>4.6828571428571433</v>
      </c>
      <c r="S189" s="873">
        <v>72.048571428571435</v>
      </c>
      <c r="T189" s="458">
        <v>36.729999999999997</v>
      </c>
      <c r="U189" s="458">
        <v>8.18</v>
      </c>
      <c r="V189" s="458">
        <v>12.61</v>
      </c>
      <c r="W189" s="458">
        <v>1.6285714285714283</v>
      </c>
      <c r="X189" s="458">
        <v>44.611428571428576</v>
      </c>
      <c r="Y189" s="458">
        <v>8.2285714285714295</v>
      </c>
    </row>
    <row r="190" spans="15:25">
      <c r="P190" s="457">
        <v>31</v>
      </c>
      <c r="Q190" s="458">
        <v>8.6655714172857152</v>
      </c>
      <c r="R190" s="458">
        <v>6.0697142064285714</v>
      </c>
      <c r="S190" s="873">
        <v>71.543143134285714</v>
      </c>
      <c r="T190" s="458">
        <v>31.720428468571431</v>
      </c>
      <c r="U190" s="458">
        <v>7.0618571554285712</v>
      </c>
      <c r="V190" s="458">
        <v>12.322975702857141</v>
      </c>
      <c r="W190" s="458">
        <v>1.7000000479999999</v>
      </c>
      <c r="X190" s="458">
        <v>43.444999694285706</v>
      </c>
      <c r="Y190" s="458">
        <v>6.7562857354285706</v>
      </c>
    </row>
    <row r="191" spans="15:25">
      <c r="O191" s="456">
        <v>32</v>
      </c>
      <c r="P191" s="457">
        <v>32</v>
      </c>
      <c r="Q191" s="458"/>
      <c r="R191" s="458"/>
      <c r="S191" s="458"/>
      <c r="T191" s="458"/>
      <c r="U191" s="458"/>
      <c r="V191" s="458"/>
      <c r="W191" s="458"/>
      <c r="X191" s="458"/>
      <c r="Y191" s="458"/>
    </row>
    <row r="192" spans="15:25">
      <c r="P192" s="457">
        <v>33</v>
      </c>
      <c r="Q192" s="458"/>
      <c r="R192" s="458"/>
      <c r="S192" s="458"/>
      <c r="T192" s="458"/>
      <c r="U192" s="458"/>
      <c r="V192" s="458"/>
      <c r="W192" s="458"/>
      <c r="X192" s="458"/>
      <c r="Y192" s="458"/>
    </row>
    <row r="193" spans="15:25">
      <c r="P193" s="457">
        <v>34</v>
      </c>
      <c r="Q193" s="458"/>
      <c r="R193" s="458"/>
      <c r="S193" s="458"/>
      <c r="T193" s="458"/>
      <c r="U193" s="458"/>
      <c r="V193" s="458"/>
      <c r="W193" s="458"/>
      <c r="X193" s="458"/>
      <c r="Y193" s="458"/>
    </row>
    <row r="194" spans="15:25">
      <c r="P194" s="457">
        <v>35</v>
      </c>
      <c r="Q194" s="458"/>
      <c r="R194" s="458"/>
      <c r="S194" s="458"/>
      <c r="T194" s="458"/>
      <c r="U194" s="458"/>
      <c r="V194" s="458"/>
      <c r="W194" s="458"/>
      <c r="X194" s="458"/>
      <c r="Y194" s="458"/>
    </row>
    <row r="195" spans="15:25">
      <c r="O195" s="456">
        <v>36</v>
      </c>
      <c r="P195" s="457">
        <v>36</v>
      </c>
      <c r="Q195" s="458"/>
      <c r="R195" s="458"/>
      <c r="S195" s="458"/>
      <c r="T195" s="458"/>
      <c r="U195" s="458"/>
      <c r="V195" s="458"/>
      <c r="W195" s="458"/>
      <c r="X195" s="458"/>
      <c r="Y195" s="458"/>
    </row>
    <row r="196" spans="15:25">
      <c r="P196" s="457">
        <v>37</v>
      </c>
      <c r="Q196" s="458"/>
      <c r="R196" s="458"/>
      <c r="S196" s="458"/>
      <c r="T196" s="458"/>
      <c r="U196" s="458"/>
      <c r="V196" s="458"/>
      <c r="W196" s="458"/>
      <c r="X196" s="458"/>
      <c r="Y196" s="458"/>
    </row>
    <row r="197" spans="15:25">
      <c r="P197" s="457">
        <v>38</v>
      </c>
      <c r="Q197" s="458"/>
      <c r="R197" s="458"/>
      <c r="S197" s="458"/>
      <c r="T197" s="458"/>
      <c r="U197" s="458"/>
      <c r="V197" s="458"/>
      <c r="W197" s="458"/>
      <c r="X197" s="458"/>
      <c r="Y197" s="458"/>
    </row>
    <row r="198" spans="15:25">
      <c r="P198" s="457">
        <v>39</v>
      </c>
      <c r="Q198" s="458"/>
      <c r="R198" s="458"/>
      <c r="S198" s="458"/>
      <c r="T198" s="458"/>
      <c r="U198" s="458"/>
      <c r="V198" s="458"/>
      <c r="W198" s="458"/>
      <c r="X198" s="458"/>
      <c r="Y198" s="458"/>
    </row>
    <row r="199" spans="15:25">
      <c r="O199" s="456">
        <v>40</v>
      </c>
      <c r="P199" s="457">
        <v>40</v>
      </c>
      <c r="Q199" s="458"/>
      <c r="R199" s="458"/>
      <c r="S199" s="458"/>
      <c r="T199" s="458"/>
      <c r="U199" s="458"/>
      <c r="V199" s="458"/>
      <c r="W199" s="458"/>
      <c r="X199" s="458"/>
      <c r="Y199" s="458"/>
    </row>
    <row r="200" spans="15:25">
      <c r="P200" s="457">
        <v>41</v>
      </c>
      <c r="Q200" s="458"/>
      <c r="R200" s="458"/>
      <c r="S200" s="458"/>
      <c r="T200" s="458"/>
      <c r="U200" s="458"/>
      <c r="V200" s="458"/>
      <c r="W200" s="458"/>
      <c r="X200" s="458"/>
      <c r="Y200" s="458"/>
    </row>
    <row r="201" spans="15:25">
      <c r="P201" s="457">
        <v>42</v>
      </c>
      <c r="Q201" s="458"/>
      <c r="R201" s="458"/>
      <c r="S201" s="458"/>
      <c r="T201" s="458"/>
      <c r="U201" s="458"/>
      <c r="V201" s="458"/>
      <c r="W201" s="458"/>
      <c r="X201" s="458"/>
      <c r="Y201" s="458"/>
    </row>
    <row r="202" spans="15:25">
      <c r="P202" s="457">
        <v>43</v>
      </c>
      <c r="Q202" s="458"/>
      <c r="R202" s="458"/>
      <c r="S202" s="458"/>
      <c r="T202" s="458"/>
      <c r="U202" s="458"/>
      <c r="V202" s="458"/>
      <c r="W202" s="458"/>
      <c r="X202" s="458"/>
      <c r="Y202" s="458"/>
    </row>
    <row r="203" spans="15:25">
      <c r="O203" s="456">
        <v>44</v>
      </c>
      <c r="P203" s="457">
        <v>44</v>
      </c>
      <c r="Q203" s="458"/>
      <c r="R203" s="458"/>
      <c r="S203" s="458"/>
      <c r="T203" s="458"/>
      <c r="U203" s="458"/>
      <c r="V203" s="458"/>
      <c r="W203" s="458"/>
      <c r="X203" s="458"/>
      <c r="Y203" s="458"/>
    </row>
    <row r="204" spans="15:25">
      <c r="P204" s="457">
        <v>45</v>
      </c>
      <c r="Q204" s="458"/>
      <c r="R204" s="458"/>
      <c r="S204" s="458"/>
      <c r="T204" s="458"/>
      <c r="U204" s="458"/>
      <c r="V204" s="458"/>
      <c r="W204" s="458"/>
      <c r="X204" s="458"/>
      <c r="Y204" s="458"/>
    </row>
    <row r="205" spans="15:25">
      <c r="P205" s="457">
        <v>46</v>
      </c>
      <c r="Q205" s="458"/>
      <c r="R205" s="458"/>
      <c r="S205" s="458"/>
      <c r="T205" s="458"/>
      <c r="U205" s="458"/>
      <c r="V205" s="458"/>
      <c r="W205" s="458"/>
      <c r="X205" s="458"/>
      <c r="Y205" s="458"/>
    </row>
    <row r="206" spans="15:25">
      <c r="P206" s="457">
        <v>47</v>
      </c>
      <c r="Q206" s="458"/>
      <c r="R206" s="458"/>
      <c r="S206" s="458"/>
      <c r="T206" s="458"/>
      <c r="U206" s="458"/>
      <c r="V206" s="458"/>
      <c r="W206" s="458"/>
      <c r="X206" s="458"/>
      <c r="Y206" s="458"/>
    </row>
    <row r="207" spans="15:25">
      <c r="O207" s="456">
        <v>48</v>
      </c>
      <c r="P207" s="457">
        <v>48</v>
      </c>
      <c r="Q207" s="458"/>
      <c r="R207" s="458"/>
      <c r="S207" s="458"/>
      <c r="T207" s="458"/>
      <c r="U207" s="458"/>
      <c r="V207" s="458"/>
      <c r="W207" s="458"/>
      <c r="X207" s="458"/>
      <c r="Y207" s="458"/>
    </row>
    <row r="208" spans="15:25">
      <c r="P208" s="457">
        <v>49</v>
      </c>
      <c r="Q208" s="458"/>
      <c r="R208" s="458"/>
      <c r="S208" s="458"/>
      <c r="T208" s="458"/>
      <c r="U208" s="458"/>
      <c r="V208" s="458"/>
      <c r="W208" s="458"/>
      <c r="X208" s="458"/>
      <c r="Y208" s="458"/>
    </row>
    <row r="209" spans="15:25">
      <c r="P209" s="457">
        <v>50</v>
      </c>
      <c r="Q209" s="458"/>
      <c r="R209" s="458"/>
      <c r="S209" s="458"/>
      <c r="T209" s="458"/>
      <c r="U209" s="458"/>
      <c r="V209" s="458"/>
      <c r="W209" s="458"/>
      <c r="X209" s="458"/>
      <c r="Y209" s="458"/>
    </row>
    <row r="210" spans="15:25">
      <c r="P210" s="457">
        <v>51</v>
      </c>
      <c r="Q210" s="458"/>
      <c r="R210" s="458"/>
      <c r="S210" s="458"/>
      <c r="T210" s="458"/>
      <c r="U210" s="458"/>
      <c r="V210" s="458"/>
      <c r="W210" s="458"/>
      <c r="X210" s="458"/>
      <c r="Y210" s="458"/>
    </row>
    <row r="211" spans="15:25">
      <c r="O211" s="456">
        <v>52</v>
      </c>
      <c r="P211" s="457">
        <v>52</v>
      </c>
      <c r="Q211" s="458"/>
      <c r="R211" s="458"/>
      <c r="S211" s="458"/>
      <c r="T211" s="458"/>
      <c r="U211" s="458"/>
      <c r="V211" s="458"/>
      <c r="W211" s="458"/>
      <c r="X211" s="458"/>
      <c r="Y211" s="458"/>
    </row>
    <row r="212" spans="15:25" hidden="1">
      <c r="P212" s="457"/>
    </row>
    <row r="213" spans="15:25" hidden="1">
      <c r="P213" s="457"/>
    </row>
    <row r="214" spans="15:25" hidden="1">
      <c r="P214" s="457"/>
    </row>
    <row r="215" spans="15:25" hidden="1"/>
    <row r="216" spans="15:25" hidden="1"/>
    <row r="217" spans="15:25" hidden="1"/>
    <row r="218" spans="15:25" hidden="1"/>
    <row r="219" spans="15:25" hidden="1"/>
    <row r="220" spans="15:25">
      <c r="Q220" s="486" t="s">
        <v>280</v>
      </c>
      <c r="R220" s="486" t="s">
        <v>281</v>
      </c>
      <c r="S220" s="486" t="s">
        <v>282</v>
      </c>
      <c r="T220" s="486" t="s">
        <v>283</v>
      </c>
      <c r="U220" s="486" t="s">
        <v>284</v>
      </c>
      <c r="V220" s="486" t="s">
        <v>285</v>
      </c>
      <c r="W220" s="486" t="s">
        <v>286</v>
      </c>
      <c r="X220" s="486" t="s">
        <v>287</v>
      </c>
      <c r="Y220" s="486" t="s">
        <v>288</v>
      </c>
    </row>
  </sheetData>
  <mergeCells count="3">
    <mergeCell ref="A65:L65"/>
    <mergeCell ref="A40:L40"/>
    <mergeCell ref="A18:L18"/>
  </mergeCells>
  <pageMargins left="0.70866141732283472" right="0.7086614173228347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77A5"/>
  </sheetPr>
  <dimension ref="A1:T59"/>
  <sheetViews>
    <sheetView showGridLines="0" view="pageBreakPreview" zoomScale="130" zoomScaleNormal="100" zoomScaleSheetLayoutView="130" zoomScalePageLayoutView="160" workbookViewId="0">
      <selection activeCell="A4" sqref="A4:H4"/>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714" customWidth="1"/>
    <col min="12" max="12" width="9.33203125" style="714"/>
    <col min="13" max="13" width="20.5" style="760" customWidth="1"/>
    <col min="14" max="15" width="9.33203125" style="310"/>
    <col min="16" max="20" width="9.33203125" style="714"/>
  </cols>
  <sheetData>
    <row r="1" spans="1:15" ht="11.25" customHeight="1"/>
    <row r="2" spans="1:15" ht="11.25" customHeight="1">
      <c r="A2" s="944" t="s">
        <v>449</v>
      </c>
      <c r="B2" s="944"/>
      <c r="C2" s="944"/>
      <c r="D2" s="944"/>
      <c r="E2" s="944"/>
      <c r="F2" s="944"/>
      <c r="G2" s="944"/>
      <c r="H2" s="944"/>
      <c r="I2" s="944"/>
      <c r="J2" s="944"/>
      <c r="K2" s="944"/>
    </row>
    <row r="3" spans="1:15" ht="11.25" customHeight="1">
      <c r="A3" s="18"/>
      <c r="B3" s="18"/>
      <c r="C3" s="18"/>
      <c r="D3" s="18"/>
      <c r="E3" s="18"/>
      <c r="F3" s="18"/>
      <c r="G3" s="18"/>
      <c r="H3" s="18"/>
      <c r="I3" s="18"/>
      <c r="J3" s="743"/>
      <c r="K3" s="743"/>
      <c r="L3" s="354"/>
    </row>
    <row r="4" spans="1:15" ht="11.25" customHeight="1">
      <c r="A4" s="928" t="s">
        <v>450</v>
      </c>
      <c r="B4" s="928"/>
      <c r="C4" s="928"/>
      <c r="D4" s="928"/>
      <c r="E4" s="928"/>
      <c r="F4" s="928"/>
      <c r="G4" s="928"/>
      <c r="H4" s="928"/>
      <c r="I4" s="183"/>
      <c r="J4" s="744"/>
      <c r="L4" s="354"/>
    </row>
    <row r="5" spans="1:15" ht="7.5" customHeight="1">
      <c r="A5" s="184"/>
      <c r="B5" s="184"/>
      <c r="C5" s="184"/>
      <c r="D5" s="184"/>
      <c r="E5" s="184"/>
      <c r="F5" s="184"/>
      <c r="G5" s="184"/>
      <c r="H5" s="184"/>
      <c r="I5" s="184"/>
      <c r="J5" s="745"/>
      <c r="L5" s="746"/>
    </row>
    <row r="6" spans="1:15" ht="11.25" customHeight="1">
      <c r="A6" s="184"/>
      <c r="B6" s="188" t="s">
        <v>451</v>
      </c>
      <c r="C6" s="184"/>
      <c r="D6" s="184"/>
      <c r="E6" s="184"/>
      <c r="F6" s="184"/>
      <c r="G6" s="184"/>
      <c r="H6" s="184"/>
      <c r="I6" s="184"/>
      <c r="J6" s="745"/>
      <c r="L6" s="747"/>
    </row>
    <row r="7" spans="1:15" ht="7.5" customHeight="1">
      <c r="A7" s="184"/>
      <c r="B7" s="185"/>
      <c r="C7" s="184"/>
      <c r="D7" s="184"/>
      <c r="E7" s="184"/>
      <c r="F7" s="184"/>
      <c r="G7" s="184"/>
      <c r="H7" s="184"/>
      <c r="I7" s="184"/>
      <c r="J7" s="745"/>
      <c r="L7" s="748"/>
    </row>
    <row r="8" spans="1:15" ht="21" customHeight="1">
      <c r="A8" s="184"/>
      <c r="B8" s="542" t="s">
        <v>168</v>
      </c>
      <c r="C8" s="543" t="s">
        <v>169</v>
      </c>
      <c r="D8" s="543" t="s">
        <v>170</v>
      </c>
      <c r="E8" s="543" t="s">
        <v>172</v>
      </c>
      <c r="F8" s="543" t="s">
        <v>171</v>
      </c>
      <c r="G8" s="544" t="s">
        <v>173</v>
      </c>
      <c r="H8" s="180"/>
      <c r="I8" s="180"/>
      <c r="J8" s="749"/>
      <c r="L8" s="750"/>
      <c r="M8" s="761" t="s">
        <v>169</v>
      </c>
      <c r="N8" s="762" t="str">
        <f>M8&amp;"
 ("&amp;ROUND(HLOOKUP(M8,$C$8:$G$9,2,0),2)&amp;"   USD/MWh)"</f>
        <v>PIURA OESTE 220
 (9,96   USD/MWh)</v>
      </c>
    </row>
    <row r="9" spans="1:15" ht="18" customHeight="1">
      <c r="A9" s="184"/>
      <c r="B9" s="545" t="s">
        <v>174</v>
      </c>
      <c r="C9" s="276">
        <v>9.9569444975717332</v>
      </c>
      <c r="D9" s="276">
        <v>9.9119705937530451</v>
      </c>
      <c r="E9" s="276">
        <v>9.8175481913718272</v>
      </c>
      <c r="F9" s="276">
        <v>9.735997078338702</v>
      </c>
      <c r="G9" s="276">
        <v>9.658821894998848</v>
      </c>
      <c r="H9" s="180"/>
      <c r="I9" s="180"/>
      <c r="J9" s="749"/>
      <c r="K9" s="749"/>
      <c r="L9" s="750"/>
      <c r="M9" s="761" t="s">
        <v>170</v>
      </c>
      <c r="N9" s="762" t="str">
        <f>M9&amp;"
("&amp;ROUND(HLOOKUP(M9,$C$8:$G$9,2,0),2)&amp;" USD/MWh)"</f>
        <v>CHICLAYO 220
(9,91 USD/MWh)</v>
      </c>
    </row>
    <row r="10" spans="1:15" ht="14.25" customHeight="1">
      <c r="A10" s="184"/>
      <c r="B10" s="968" t="str">
        <f>"Cuadro N°11: Valor de los costos marginales medios registrados en las principales barras del área norte durante el mes de "&amp;'1. Resumen'!Q4</f>
        <v>Cuadro N°11: Valor de los costos marginales medios registrados en las principales barras del área norte durante el mes de julio</v>
      </c>
      <c r="C10" s="968"/>
      <c r="D10" s="968"/>
      <c r="E10" s="968"/>
      <c r="F10" s="968"/>
      <c r="G10" s="968"/>
      <c r="H10" s="968"/>
      <c r="I10" s="968"/>
      <c r="J10" s="749"/>
      <c r="K10" s="749"/>
      <c r="L10" s="750"/>
      <c r="M10" s="761" t="s">
        <v>172</v>
      </c>
      <c r="N10" s="762" t="str">
        <f>M10&amp;"
("&amp;ROUND(HLOOKUP(M10,$C$8:$G$9,2,0),2)&amp;" USD/MWh)"</f>
        <v>TRUJILLO 220
(9,82 USD/MWh)</v>
      </c>
    </row>
    <row r="11" spans="1:15" ht="11.25" customHeight="1">
      <c r="A11" s="184"/>
      <c r="B11" s="191"/>
      <c r="C11" s="180"/>
      <c r="D11" s="180"/>
      <c r="E11" s="180"/>
      <c r="F11" s="180"/>
      <c r="G11" s="180"/>
      <c r="H11" s="180"/>
      <c r="I11" s="180"/>
      <c r="J11" s="749"/>
      <c r="K11" s="749"/>
      <c r="L11" s="750"/>
      <c r="M11" s="761" t="s">
        <v>171</v>
      </c>
      <c r="N11" s="762" t="str">
        <f>M11&amp;"
("&amp;ROUND(HLOOKUP(M11,$C$8:$G$9,2,0),2)&amp;" USD/MWh)"</f>
        <v>CHIMBOTE1 138
(9,74 USD/MWh)</v>
      </c>
    </row>
    <row r="12" spans="1:15" ht="11.25" customHeight="1">
      <c r="A12" s="184"/>
      <c r="B12" s="180"/>
      <c r="C12" s="180"/>
      <c r="D12" s="180"/>
      <c r="E12" s="180"/>
      <c r="F12" s="180"/>
      <c r="G12" s="180"/>
      <c r="H12" s="180"/>
      <c r="I12" s="180"/>
      <c r="J12" s="749"/>
      <c r="K12" s="749"/>
      <c r="L12" s="751"/>
      <c r="M12" s="761" t="s">
        <v>173</v>
      </c>
      <c r="N12" s="762" t="str">
        <f>M12&amp;"
("&amp;ROUND(HLOOKUP(M12,$C$8:$G$9,2,0),2)&amp;" USD/MWh)"</f>
        <v>CAJAMARCA 220
(9,66 USD/MWh)</v>
      </c>
    </row>
    <row r="13" spans="1:15" ht="11.25" customHeight="1">
      <c r="A13" s="184"/>
      <c r="B13" s="180"/>
      <c r="C13" s="180"/>
      <c r="D13" s="180"/>
      <c r="E13" s="180"/>
      <c r="F13" s="180"/>
      <c r="G13" s="180"/>
      <c r="H13" s="180"/>
      <c r="I13" s="180"/>
      <c r="J13" s="749"/>
      <c r="K13" s="749"/>
      <c r="L13" s="750"/>
      <c r="M13" s="761"/>
      <c r="N13" s="762"/>
      <c r="O13" s="761"/>
    </row>
    <row r="14" spans="1:15" ht="11.25" customHeight="1">
      <c r="A14" s="184"/>
      <c r="B14" s="180"/>
      <c r="C14" s="180"/>
      <c r="D14" s="180"/>
      <c r="E14" s="180"/>
      <c r="F14" s="180"/>
      <c r="G14" s="180"/>
      <c r="H14" s="180"/>
      <c r="I14" s="180"/>
      <c r="J14" s="749"/>
      <c r="K14" s="749"/>
      <c r="L14" s="750"/>
      <c r="M14" s="761" t="s">
        <v>581</v>
      </c>
      <c r="N14" s="762" t="str">
        <f>M14&amp;"
("&amp;ROUND(HLOOKUP(M14,$C$26:$I$27,2,0),2)&amp;" USD/MWh)"</f>
        <v>CHAVARRIA 220
(9,35 USD/MWh)</v>
      </c>
    </row>
    <row r="15" spans="1:15" ht="11.25" customHeight="1">
      <c r="A15" s="184"/>
      <c r="B15" s="180"/>
      <c r="C15" s="180"/>
      <c r="D15" s="180"/>
      <c r="E15" s="180"/>
      <c r="F15" s="180"/>
      <c r="G15" s="180"/>
      <c r="H15" s="180"/>
      <c r="I15" s="180"/>
      <c r="J15" s="749"/>
      <c r="K15" s="749"/>
      <c r="L15" s="750"/>
      <c r="M15" s="761" t="s">
        <v>177</v>
      </c>
      <c r="N15" s="762" t="str">
        <f t="shared" ref="N15:N20" si="0">M15&amp;"
("&amp;ROUND(HLOOKUP(M15,$C$26:$I$27,2,0),2)&amp;" USD/MWh)"</f>
        <v>INDEPENDENCIA 220
(9,38 USD/MWh)</v>
      </c>
    </row>
    <row r="16" spans="1:15" ht="11.25" customHeight="1">
      <c r="A16" s="184"/>
      <c r="B16" s="180"/>
      <c r="C16" s="180"/>
      <c r="D16" s="180"/>
      <c r="E16" s="180"/>
      <c r="F16" s="180"/>
      <c r="G16" s="180"/>
      <c r="H16" s="180"/>
      <c r="I16" s="180"/>
      <c r="J16" s="749"/>
      <c r="K16" s="749"/>
      <c r="L16" s="750"/>
      <c r="M16" s="761" t="s">
        <v>178</v>
      </c>
      <c r="N16" s="762" t="str">
        <f t="shared" si="0"/>
        <v>CARABAYLLO 220
(9,33 USD/MWh)</v>
      </c>
    </row>
    <row r="17" spans="1:14" ht="11.25" customHeight="1">
      <c r="A17" s="184"/>
      <c r="B17" s="180"/>
      <c r="C17" s="180"/>
      <c r="D17" s="180"/>
      <c r="E17" s="180"/>
      <c r="F17" s="180"/>
      <c r="G17" s="180"/>
      <c r="H17" s="180"/>
      <c r="I17" s="180"/>
      <c r="J17" s="749"/>
      <c r="K17" s="749"/>
      <c r="L17" s="750"/>
      <c r="M17" s="761" t="s">
        <v>175</v>
      </c>
      <c r="N17" s="762" t="str">
        <f t="shared" si="0"/>
        <v>SANTA ROSA 220
(9,34 USD/MWh)</v>
      </c>
    </row>
    <row r="18" spans="1:14" ht="11.25" customHeight="1">
      <c r="A18" s="184"/>
      <c r="B18" s="180"/>
      <c r="C18" s="180"/>
      <c r="D18" s="180"/>
      <c r="E18" s="180"/>
      <c r="F18" s="180"/>
      <c r="G18" s="180"/>
      <c r="H18" s="180"/>
      <c r="I18" s="180"/>
      <c r="J18" s="749"/>
      <c r="K18" s="749"/>
      <c r="L18" s="750"/>
      <c r="M18" s="761" t="s">
        <v>176</v>
      </c>
      <c r="N18" s="762" t="str">
        <f t="shared" si="0"/>
        <v>SAN JUAN 220
(9,27 USD/MWh)</v>
      </c>
    </row>
    <row r="19" spans="1:14" ht="11.25" customHeight="1">
      <c r="A19" s="184"/>
      <c r="B19" s="180"/>
      <c r="C19" s="180"/>
      <c r="D19" s="180"/>
      <c r="E19" s="180"/>
      <c r="F19" s="180"/>
      <c r="G19" s="180"/>
      <c r="H19" s="180"/>
      <c r="I19" s="180"/>
      <c r="J19" s="749"/>
      <c r="K19" s="749"/>
      <c r="L19" s="752"/>
      <c r="M19" s="761" t="s">
        <v>179</v>
      </c>
      <c r="N19" s="762" t="str">
        <f t="shared" si="0"/>
        <v>POMACOCHA 220
(9,2 USD/MWh)</v>
      </c>
    </row>
    <row r="20" spans="1:14" ht="11.25" customHeight="1">
      <c r="A20" s="184"/>
      <c r="B20" s="190"/>
      <c r="C20" s="190"/>
      <c r="D20" s="190"/>
      <c r="E20" s="190"/>
      <c r="F20" s="190"/>
      <c r="G20" s="180"/>
      <c r="H20" s="180"/>
      <c r="I20" s="180"/>
      <c r="J20" s="749"/>
      <c r="K20" s="749"/>
      <c r="L20" s="750"/>
      <c r="M20" s="761" t="s">
        <v>180</v>
      </c>
      <c r="N20" s="762" t="str">
        <f t="shared" si="0"/>
        <v>OROYA NUEVA 50
(9,14 USD/MWh)</v>
      </c>
    </row>
    <row r="21" spans="1:14" ht="11.25" customHeight="1">
      <c r="A21" s="184"/>
      <c r="B21" s="969" t="str">
        <f>"Gráfico N°20: Costos marginales medios registrados en las principales barras del área norte durante el mes de "&amp;'1. Resumen'!Q4</f>
        <v>Gráfico N°20: Costos marginales medios registrados en las principales barras del área norte durante el mes de julio</v>
      </c>
      <c r="C21" s="969"/>
      <c r="D21" s="969"/>
      <c r="E21" s="969"/>
      <c r="F21" s="969"/>
      <c r="G21" s="969"/>
      <c r="H21" s="969"/>
      <c r="I21" s="969"/>
      <c r="J21" s="749"/>
      <c r="K21" s="749"/>
      <c r="L21" s="750"/>
      <c r="M21" s="761"/>
      <c r="N21" s="762"/>
    </row>
    <row r="22" spans="1:14" ht="7.5" customHeight="1">
      <c r="A22" s="184"/>
      <c r="B22" s="186"/>
      <c r="C22" s="186"/>
      <c r="D22" s="186"/>
      <c r="E22" s="186"/>
      <c r="F22" s="186"/>
      <c r="G22" s="184"/>
      <c r="H22" s="184"/>
      <c r="I22" s="184"/>
      <c r="J22" s="745"/>
      <c r="K22" s="745"/>
      <c r="L22" s="747"/>
      <c r="M22" s="761"/>
      <c r="N22" s="762"/>
    </row>
    <row r="23" spans="1:14" ht="11.25" customHeight="1">
      <c r="A23" s="184"/>
      <c r="B23" s="186"/>
      <c r="C23" s="186"/>
      <c r="D23" s="186"/>
      <c r="E23" s="186"/>
      <c r="F23" s="186"/>
      <c r="G23" s="184"/>
      <c r="H23" s="184"/>
      <c r="I23" s="184"/>
      <c r="J23" s="745"/>
      <c r="K23" s="745"/>
      <c r="L23" s="753"/>
      <c r="M23" s="761" t="s">
        <v>181</v>
      </c>
      <c r="N23" s="762" t="str">
        <f t="shared" ref="N23:N29" si="1">M23&amp;"
("&amp;ROUND(HLOOKUP(M23,$C$45:$I$46,2,0),2)&amp;" USD/MWh)"</f>
        <v>TINTAYA NUEVA 220
(10,38 USD/MWh)</v>
      </c>
    </row>
    <row r="24" spans="1:14" ht="11.25" customHeight="1">
      <c r="A24" s="184"/>
      <c r="B24" s="189" t="s">
        <v>452</v>
      </c>
      <c r="C24" s="186"/>
      <c r="D24" s="186"/>
      <c r="E24" s="186"/>
      <c r="F24" s="186"/>
      <c r="G24" s="184"/>
      <c r="H24" s="184"/>
      <c r="I24" s="184"/>
      <c r="J24" s="745"/>
      <c r="K24" s="745"/>
      <c r="L24" s="747"/>
      <c r="M24" s="761" t="s">
        <v>182</v>
      </c>
      <c r="N24" s="762" t="str">
        <f t="shared" si="1"/>
        <v>PUNO 138
(10,19 USD/MWh)</v>
      </c>
    </row>
    <row r="25" spans="1:14" ht="6.75" customHeight="1">
      <c r="A25" s="184"/>
      <c r="B25" s="186"/>
      <c r="C25" s="186"/>
      <c r="D25" s="186"/>
      <c r="E25" s="186"/>
      <c r="F25" s="186"/>
      <c r="G25" s="184"/>
      <c r="H25" s="184"/>
      <c r="I25" s="184"/>
      <c r="J25" s="745"/>
      <c r="K25" s="745"/>
      <c r="L25" s="747"/>
      <c r="M25" s="761" t="s">
        <v>183</v>
      </c>
      <c r="N25" s="762" t="str">
        <f t="shared" si="1"/>
        <v>SOCABAYA 220
(9,98 USD/MWh)</v>
      </c>
    </row>
    <row r="26" spans="1:14" ht="25.5" customHeight="1">
      <c r="A26" s="184"/>
      <c r="B26" s="546" t="s">
        <v>168</v>
      </c>
      <c r="C26" s="543" t="s">
        <v>177</v>
      </c>
      <c r="D26" s="543" t="s">
        <v>581</v>
      </c>
      <c r="E26" s="543" t="s">
        <v>175</v>
      </c>
      <c r="F26" s="543" t="s">
        <v>178</v>
      </c>
      <c r="G26" s="543" t="s">
        <v>176</v>
      </c>
      <c r="H26" s="543" t="s">
        <v>179</v>
      </c>
      <c r="I26" s="544" t="s">
        <v>180</v>
      </c>
      <c r="J26" s="754"/>
      <c r="K26" s="749"/>
      <c r="L26" s="750"/>
      <c r="M26" s="761" t="s">
        <v>184</v>
      </c>
      <c r="N26" s="762" t="str">
        <f t="shared" si="1"/>
        <v>MOQUEGUA 138
(9,96 USD/MWh)</v>
      </c>
    </row>
    <row r="27" spans="1:14" ht="18" customHeight="1">
      <c r="A27" s="184"/>
      <c r="B27" s="547" t="s">
        <v>174</v>
      </c>
      <c r="C27" s="276">
        <v>9.3848747957476597</v>
      </c>
      <c r="D27" s="276">
        <v>9.3530483716662189</v>
      </c>
      <c r="E27" s="276">
        <v>9.3417713061998828</v>
      </c>
      <c r="F27" s="276">
        <v>9.3251124271107386</v>
      </c>
      <c r="G27" s="276">
        <v>9.2715688846116038</v>
      </c>
      <c r="H27" s="276">
        <v>9.2022531878390357</v>
      </c>
      <c r="I27" s="276">
        <v>9.1373937309147717</v>
      </c>
      <c r="J27" s="755"/>
      <c r="K27" s="749"/>
      <c r="L27" s="750"/>
      <c r="M27" s="761" t="s">
        <v>185</v>
      </c>
      <c r="N27" s="762" t="str">
        <f t="shared" si="1"/>
        <v>DOLORESPATA 138
(10,05 USD/MWh)</v>
      </c>
    </row>
    <row r="28" spans="1:14" ht="19.5" customHeight="1">
      <c r="A28" s="184"/>
      <c r="B28" s="970" t="str">
        <f>"Cuadro N°12: Valor de los costos marginales medios registrados en las principales barras del área centro durante el mes de "&amp;'1. Resumen'!Q4</f>
        <v>Cuadro N°12: Valor de los costos marginales medios registrados en las principales barras del área centro durante el mes de julio</v>
      </c>
      <c r="C28" s="970"/>
      <c r="D28" s="970"/>
      <c r="E28" s="970"/>
      <c r="F28" s="970"/>
      <c r="G28" s="970"/>
      <c r="H28" s="970"/>
      <c r="I28" s="970"/>
      <c r="J28" s="749"/>
      <c r="K28" s="749"/>
      <c r="L28" s="750"/>
      <c r="M28" s="761" t="s">
        <v>186</v>
      </c>
      <c r="N28" s="762" t="str">
        <f t="shared" si="1"/>
        <v>COTARUSE 220
(9,59 USD/MWh)</v>
      </c>
    </row>
    <row r="29" spans="1:14" ht="11.25" customHeight="1">
      <c r="A29" s="184"/>
      <c r="B29" s="190"/>
      <c r="C29" s="190"/>
      <c r="D29" s="190"/>
      <c r="E29" s="190"/>
      <c r="F29" s="190"/>
      <c r="G29" s="190"/>
      <c r="H29" s="190"/>
      <c r="I29" s="190"/>
      <c r="J29" s="756"/>
      <c r="K29" s="756"/>
      <c r="L29" s="750"/>
      <c r="M29" s="761" t="s">
        <v>187</v>
      </c>
      <c r="N29" s="762" t="str">
        <f t="shared" si="1"/>
        <v>SAN GABAN 138
(9,89 USD/MWh)</v>
      </c>
    </row>
    <row r="30" spans="1:14" ht="11.25" customHeight="1">
      <c r="A30" s="184"/>
      <c r="B30" s="190"/>
      <c r="C30" s="190"/>
      <c r="D30" s="190"/>
      <c r="E30" s="190"/>
      <c r="F30" s="190"/>
      <c r="G30" s="190"/>
      <c r="H30" s="190"/>
      <c r="I30" s="190"/>
      <c r="J30" s="756"/>
      <c r="K30" s="756"/>
      <c r="L30" s="750"/>
      <c r="M30" s="761"/>
      <c r="N30" s="713"/>
    </row>
    <row r="31" spans="1:14" ht="11.25" customHeight="1">
      <c r="A31" s="184"/>
      <c r="B31" s="190"/>
      <c r="C31" s="190"/>
      <c r="D31" s="190"/>
      <c r="E31" s="190"/>
      <c r="F31" s="190"/>
      <c r="G31" s="190"/>
      <c r="H31" s="190"/>
      <c r="I31" s="190"/>
      <c r="J31" s="756"/>
      <c r="K31" s="756"/>
      <c r="L31" s="750"/>
      <c r="M31" s="761"/>
      <c r="N31" s="713"/>
    </row>
    <row r="32" spans="1:14" ht="11.25" customHeight="1">
      <c r="A32" s="184"/>
      <c r="B32" s="190"/>
      <c r="C32" s="190"/>
      <c r="D32" s="190"/>
      <c r="E32" s="190"/>
      <c r="F32" s="190"/>
      <c r="G32" s="190"/>
      <c r="H32" s="190"/>
      <c r="I32" s="190"/>
      <c r="J32" s="756"/>
      <c r="K32" s="756"/>
      <c r="L32" s="750"/>
      <c r="M32" s="761"/>
    </row>
    <row r="33" spans="1:12" ht="11.25" customHeight="1">
      <c r="A33" s="184"/>
      <c r="B33" s="190"/>
      <c r="C33" s="190"/>
      <c r="D33" s="190"/>
      <c r="E33" s="190"/>
      <c r="F33" s="190"/>
      <c r="G33" s="190"/>
      <c r="H33" s="190"/>
      <c r="I33" s="190"/>
      <c r="J33" s="756"/>
      <c r="K33" s="756"/>
      <c r="L33" s="750"/>
    </row>
    <row r="34" spans="1:12" ht="11.25" customHeight="1">
      <c r="A34" s="184"/>
      <c r="B34" s="190"/>
      <c r="C34" s="190"/>
      <c r="D34" s="190"/>
      <c r="E34" s="190"/>
      <c r="F34" s="190"/>
      <c r="G34" s="190"/>
      <c r="H34" s="190"/>
      <c r="I34" s="190"/>
      <c r="J34" s="756"/>
      <c r="K34" s="756"/>
      <c r="L34" s="750"/>
    </row>
    <row r="35" spans="1:12" ht="11.25" customHeight="1">
      <c r="A35" s="184"/>
      <c r="B35" s="190"/>
      <c r="C35" s="190"/>
      <c r="D35" s="190"/>
      <c r="E35" s="190"/>
      <c r="F35" s="190"/>
      <c r="G35" s="190"/>
      <c r="H35" s="190"/>
      <c r="I35" s="190"/>
      <c r="J35" s="756"/>
      <c r="K35" s="756"/>
      <c r="L35" s="757"/>
    </row>
    <row r="36" spans="1:12" ht="11.25" customHeight="1">
      <c r="A36" s="184"/>
      <c r="B36" s="190"/>
      <c r="C36" s="190"/>
      <c r="D36" s="190"/>
      <c r="E36" s="190"/>
      <c r="F36" s="190"/>
      <c r="G36" s="190"/>
      <c r="H36" s="190"/>
      <c r="I36" s="190"/>
      <c r="J36" s="756"/>
      <c r="K36" s="756"/>
      <c r="L36" s="750"/>
    </row>
    <row r="37" spans="1:12" ht="11.25" customHeight="1">
      <c r="A37" s="184"/>
      <c r="B37" s="190"/>
      <c r="C37" s="190"/>
      <c r="D37" s="190"/>
      <c r="E37" s="190"/>
      <c r="F37" s="190"/>
      <c r="G37" s="190"/>
      <c r="H37" s="190"/>
      <c r="I37" s="190"/>
      <c r="J37" s="756"/>
      <c r="K37" s="756"/>
      <c r="L37" s="750"/>
    </row>
    <row r="38" spans="1:12" ht="11.25" customHeight="1">
      <c r="A38" s="184"/>
      <c r="B38" s="190"/>
      <c r="C38" s="190"/>
      <c r="D38" s="190"/>
      <c r="E38" s="190"/>
      <c r="F38" s="190"/>
      <c r="G38" s="190"/>
      <c r="H38" s="190"/>
      <c r="I38" s="190"/>
      <c r="J38" s="756"/>
      <c r="K38" s="756"/>
      <c r="L38" s="750"/>
    </row>
    <row r="39" spans="1:12" ht="11.25" customHeight="1">
      <c r="A39" s="184"/>
      <c r="B39" s="190"/>
      <c r="C39" s="190"/>
      <c r="D39" s="190"/>
      <c r="E39" s="190"/>
      <c r="F39" s="190"/>
      <c r="G39" s="190"/>
      <c r="H39" s="190"/>
      <c r="I39" s="190"/>
      <c r="J39" s="756"/>
      <c r="K39" s="756"/>
      <c r="L39" s="750"/>
    </row>
    <row r="40" spans="1:12" ht="13.5" customHeight="1">
      <c r="A40" s="184"/>
      <c r="B40" s="968" t="str">
        <f>"Gráfico N°21: Costos marginales medios registrados en las principales barras del área centro durante el mes de "&amp;'1. Resumen'!Q4</f>
        <v>Gráfico N°21: Costos marginales medios registrados en las principales barras del área centro durante el mes de julio</v>
      </c>
      <c r="C40" s="968"/>
      <c r="D40" s="968"/>
      <c r="E40" s="968"/>
      <c r="F40" s="968"/>
      <c r="G40" s="968"/>
      <c r="H40" s="968"/>
      <c r="I40" s="968"/>
      <c r="J40" s="756"/>
      <c r="K40" s="756"/>
      <c r="L40" s="750"/>
    </row>
    <row r="41" spans="1:12" ht="6.75" customHeight="1">
      <c r="A41" s="184"/>
      <c r="B41" s="190"/>
      <c r="C41" s="190"/>
      <c r="D41" s="190"/>
      <c r="E41" s="190"/>
      <c r="F41" s="190"/>
      <c r="G41" s="190"/>
      <c r="H41" s="190"/>
      <c r="I41" s="190"/>
      <c r="J41" s="756"/>
      <c r="K41" s="756"/>
      <c r="L41" s="750"/>
    </row>
    <row r="42" spans="1:12" ht="8.25" customHeight="1">
      <c r="A42" s="184"/>
      <c r="B42" s="186"/>
      <c r="C42" s="186"/>
      <c r="D42" s="186"/>
      <c r="E42" s="186"/>
      <c r="F42" s="186"/>
      <c r="G42" s="186"/>
      <c r="H42" s="186"/>
      <c r="I42" s="186"/>
      <c r="J42" s="758"/>
      <c r="K42" s="758"/>
      <c r="L42" s="11"/>
    </row>
    <row r="43" spans="1:12" ht="11.25" customHeight="1">
      <c r="A43" s="184"/>
      <c r="B43" s="189" t="s">
        <v>453</v>
      </c>
      <c r="C43" s="186"/>
      <c r="D43" s="186"/>
      <c r="E43" s="186"/>
      <c r="F43" s="186"/>
      <c r="G43" s="186"/>
      <c r="H43" s="186"/>
      <c r="I43" s="186"/>
      <c r="J43" s="758"/>
      <c r="K43" s="758"/>
      <c r="L43" s="11"/>
    </row>
    <row r="44" spans="1:12" ht="6.75" customHeight="1">
      <c r="A44" s="184"/>
      <c r="B44" s="186"/>
      <c r="C44" s="186"/>
      <c r="D44" s="186"/>
      <c r="E44" s="186"/>
      <c r="F44" s="186"/>
      <c r="G44" s="186"/>
      <c r="H44" s="186"/>
      <c r="I44" s="186"/>
      <c r="J44" s="758"/>
      <c r="K44" s="758"/>
      <c r="L44" s="11"/>
    </row>
    <row r="45" spans="1:12" ht="27" customHeight="1">
      <c r="A45" s="184"/>
      <c r="B45" s="546" t="s">
        <v>168</v>
      </c>
      <c r="C45" s="543" t="s">
        <v>181</v>
      </c>
      <c r="D45" s="543" t="s">
        <v>182</v>
      </c>
      <c r="E45" s="543" t="s">
        <v>185</v>
      </c>
      <c r="F45" s="543" t="s">
        <v>183</v>
      </c>
      <c r="G45" s="543" t="s">
        <v>184</v>
      </c>
      <c r="H45" s="543" t="s">
        <v>187</v>
      </c>
      <c r="I45" s="544" t="s">
        <v>186</v>
      </c>
      <c r="J45" s="754"/>
      <c r="K45" s="756"/>
    </row>
    <row r="46" spans="1:12" ht="18.75" customHeight="1">
      <c r="A46" s="184"/>
      <c r="B46" s="547" t="s">
        <v>174</v>
      </c>
      <c r="C46" s="276">
        <v>10.379430727187078</v>
      </c>
      <c r="D46" s="276">
        <v>10.18503715951174</v>
      </c>
      <c r="E46" s="276">
        <v>10.049983752598822</v>
      </c>
      <c r="F46" s="276">
        <v>9.9775399221973142</v>
      </c>
      <c r="G46" s="276">
        <v>9.9638694996020636</v>
      </c>
      <c r="H46" s="276">
        <v>9.8936851693710306</v>
      </c>
      <c r="I46" s="276">
        <v>9.5892632674690805</v>
      </c>
      <c r="J46" s="755"/>
      <c r="K46" s="756"/>
    </row>
    <row r="47" spans="1:12" ht="18" customHeight="1">
      <c r="A47" s="184"/>
      <c r="B47" s="970" t="str">
        <f>"Cuadro N°13: Valor de los costos marginales medios registrados en las principales barras del área sur durante el mes de "&amp;'1. Resumen'!Q4</f>
        <v>Cuadro N°13: Valor de los costos marginales medios registrados en las principales barras del área sur durante el mes de julio</v>
      </c>
      <c r="C47" s="970"/>
      <c r="D47" s="970"/>
      <c r="E47" s="970"/>
      <c r="F47" s="970"/>
      <c r="G47" s="970"/>
      <c r="H47" s="970"/>
      <c r="I47" s="970"/>
      <c r="J47" s="755"/>
      <c r="K47" s="756"/>
    </row>
    <row r="48" spans="1:12" ht="12.75">
      <c r="A48" s="184"/>
      <c r="B48" s="190"/>
      <c r="C48" s="190"/>
      <c r="D48" s="190"/>
      <c r="E48" s="190"/>
      <c r="F48" s="190"/>
      <c r="G48" s="180"/>
      <c r="H48" s="180"/>
      <c r="I48" s="180"/>
      <c r="J48" s="749"/>
      <c r="K48" s="756"/>
    </row>
    <row r="49" spans="1:11" ht="12.75">
      <c r="A49" s="184"/>
      <c r="B49" s="180"/>
      <c r="C49" s="180"/>
      <c r="D49" s="180"/>
      <c r="E49" s="180"/>
      <c r="F49" s="180"/>
      <c r="G49" s="180"/>
      <c r="H49" s="180"/>
      <c r="I49" s="180"/>
      <c r="J49" s="749"/>
      <c r="K49" s="756"/>
    </row>
    <row r="50" spans="1:11" ht="12.75">
      <c r="A50" s="184"/>
      <c r="B50" s="111"/>
      <c r="C50" s="111"/>
      <c r="D50" s="111"/>
      <c r="E50" s="111"/>
      <c r="F50" s="111"/>
      <c r="G50" s="111"/>
      <c r="H50" s="111"/>
      <c r="I50" s="111"/>
      <c r="J50" s="759"/>
      <c r="K50" s="756"/>
    </row>
    <row r="51" spans="1:11" ht="12.75">
      <c r="A51" s="184"/>
      <c r="B51" s="111"/>
      <c r="C51" s="111"/>
      <c r="D51" s="111"/>
      <c r="E51" s="111"/>
      <c r="F51" s="111"/>
      <c r="G51" s="111"/>
      <c r="H51" s="111"/>
      <c r="I51" s="111"/>
      <c r="J51" s="759"/>
      <c r="K51" s="756"/>
    </row>
    <row r="52" spans="1:11" ht="12.75">
      <c r="A52" s="184"/>
      <c r="B52" s="111"/>
      <c r="C52" s="111"/>
      <c r="D52" s="111"/>
      <c r="E52" s="111"/>
      <c r="F52" s="111"/>
      <c r="G52" s="111"/>
      <c r="H52" s="111"/>
      <c r="I52" s="111"/>
      <c r="J52" s="759"/>
      <c r="K52" s="756"/>
    </row>
    <row r="53" spans="1:11" ht="12.75">
      <c r="A53" s="184"/>
      <c r="B53" s="111"/>
      <c r="C53" s="111"/>
      <c r="D53" s="111"/>
      <c r="E53" s="111"/>
      <c r="F53" s="111"/>
      <c r="G53" s="111"/>
      <c r="H53" s="111"/>
      <c r="I53" s="111"/>
      <c r="J53" s="759"/>
      <c r="K53" s="756"/>
    </row>
    <row r="54" spans="1:11" ht="12.75">
      <c r="A54" s="184"/>
      <c r="B54" s="111"/>
      <c r="C54" s="111"/>
      <c r="D54" s="111"/>
      <c r="E54" s="111"/>
      <c r="F54" s="111"/>
      <c r="G54" s="111"/>
      <c r="H54" s="111"/>
      <c r="I54" s="111"/>
      <c r="J54" s="759"/>
      <c r="K54" s="756"/>
    </row>
    <row r="55" spans="1:11" ht="12.75">
      <c r="A55" s="184"/>
      <c r="B55" s="111"/>
      <c r="C55" s="111"/>
      <c r="D55" s="111"/>
      <c r="E55" s="111"/>
      <c r="F55" s="111"/>
      <c r="G55" s="111"/>
      <c r="H55" s="111"/>
      <c r="I55" s="111"/>
      <c r="J55" s="759"/>
      <c r="K55" s="756"/>
    </row>
    <row r="56" spans="1:11" ht="12.75">
      <c r="A56" s="184"/>
      <c r="B56" s="180"/>
      <c r="C56" s="180"/>
      <c r="D56" s="180"/>
      <c r="E56" s="180"/>
      <c r="F56" s="180"/>
      <c r="G56" s="180"/>
      <c r="H56" s="180"/>
      <c r="I56" s="180"/>
      <c r="J56" s="749"/>
      <c r="K56" s="756"/>
    </row>
    <row r="57" spans="1:11" ht="12.75">
      <c r="A57" s="184"/>
      <c r="B57" s="180"/>
      <c r="C57" s="180"/>
      <c r="D57" s="180"/>
      <c r="E57" s="180"/>
      <c r="F57" s="180"/>
      <c r="G57" s="180"/>
      <c r="H57" s="180"/>
      <c r="I57" s="180"/>
      <c r="J57" s="749"/>
      <c r="K57" s="756"/>
    </row>
    <row r="58" spans="1:11" ht="12.75">
      <c r="A58" s="184"/>
      <c r="B58" s="968" t="str">
        <f>"Gráfico N°22: Costos marginales medios registrados en las principales barras del área sur durante el mes de "&amp;'1. Resumen'!Q4</f>
        <v>Gráfico N°22: Costos marginales medios registrados en las principales barras del área sur durante el mes de julio</v>
      </c>
      <c r="C58" s="968"/>
      <c r="D58" s="968"/>
      <c r="E58" s="968"/>
      <c r="F58" s="968"/>
      <c r="G58" s="968"/>
      <c r="H58" s="968"/>
      <c r="I58" s="968"/>
      <c r="J58" s="749"/>
      <c r="K58" s="756"/>
    </row>
    <row r="59" spans="1:11" ht="12.75">
      <c r="A59" s="74"/>
      <c r="B59" s="136"/>
      <c r="C59" s="136"/>
      <c r="D59" s="136"/>
      <c r="E59" s="136"/>
      <c r="F59" s="136"/>
      <c r="G59" s="136"/>
      <c r="H59" s="180"/>
      <c r="I59" s="180"/>
      <c r="J59" s="749"/>
      <c r="K59" s="756"/>
    </row>
  </sheetData>
  <mergeCells count="8">
    <mergeCell ref="B58:I58"/>
    <mergeCell ref="B21:I21"/>
    <mergeCell ref="B10:I10"/>
    <mergeCell ref="A2:K2"/>
    <mergeCell ref="A4:H4"/>
    <mergeCell ref="B28:I28"/>
    <mergeCell ref="B47:I47"/>
    <mergeCell ref="B40:I40"/>
  </mergeCells>
  <pageMargins left="0.70866141732283472" right="0.7086614173228347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77A5"/>
  </sheetPr>
  <dimension ref="A1:L71"/>
  <sheetViews>
    <sheetView showGridLines="0" view="pageBreakPreview" zoomScale="190" zoomScaleNormal="100" zoomScaleSheetLayoutView="190" zoomScalePageLayoutView="145" workbookViewId="0">
      <selection activeCell="U69" sqref="T69:U69"/>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28" t="s">
        <v>455</v>
      </c>
      <c r="B2" s="928"/>
      <c r="C2" s="928"/>
      <c r="D2" s="928"/>
      <c r="E2" s="928"/>
      <c r="F2" s="928"/>
      <c r="G2" s="928"/>
      <c r="H2" s="928"/>
      <c r="I2" s="928"/>
      <c r="J2" s="928"/>
      <c r="K2" s="928"/>
      <c r="L2" s="928"/>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77A5"/>
  </sheetPr>
  <dimension ref="A1:L56"/>
  <sheetViews>
    <sheetView showGridLines="0" view="pageBreakPreview" zoomScale="130" zoomScaleNormal="100" zoomScaleSheetLayoutView="130" zoomScalePageLayoutView="115" workbookViewId="0">
      <selection activeCell="U69" sqref="T69:U69"/>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71" t="s">
        <v>454</v>
      </c>
      <c r="B2" s="971"/>
      <c r="C2" s="971"/>
      <c r="D2" s="971"/>
      <c r="E2" s="971"/>
      <c r="F2" s="971"/>
      <c r="G2" s="971"/>
      <c r="H2" s="971"/>
      <c r="I2" s="203"/>
      <c r="J2" s="203"/>
      <c r="K2" s="203"/>
    </row>
    <row r="3" spans="1:12" ht="3" customHeight="1">
      <c r="A3" s="77"/>
      <c r="B3" s="77"/>
      <c r="C3" s="77"/>
      <c r="D3" s="77"/>
      <c r="E3" s="77"/>
      <c r="F3" s="77"/>
      <c r="G3" s="77"/>
      <c r="H3" s="77"/>
      <c r="I3" s="204"/>
      <c r="J3" s="204"/>
      <c r="K3" s="204"/>
      <c r="L3" s="36"/>
    </row>
    <row r="4" spans="1:12" ht="15" customHeight="1">
      <c r="A4" s="962" t="s">
        <v>564</v>
      </c>
      <c r="B4" s="962"/>
      <c r="C4" s="962"/>
      <c r="D4" s="962"/>
      <c r="E4" s="962"/>
      <c r="F4" s="962"/>
      <c r="G4" s="962"/>
      <c r="H4" s="962"/>
      <c r="I4" s="195"/>
      <c r="J4" s="195"/>
      <c r="K4" s="195"/>
      <c r="L4" s="36"/>
    </row>
    <row r="5" spans="1:12" ht="11.25" customHeight="1">
      <c r="A5" s="77"/>
      <c r="B5" s="164"/>
      <c r="C5" s="78"/>
      <c r="D5" s="79"/>
      <c r="E5" s="79"/>
      <c r="F5" s="80"/>
      <c r="G5" s="76"/>
      <c r="H5" s="76"/>
      <c r="I5" s="196"/>
      <c r="J5" s="196"/>
      <c r="K5" s="196"/>
      <c r="L5" s="205"/>
    </row>
    <row r="6" spans="1:12" ht="30.75" customHeight="1">
      <c r="A6" s="575" t="s">
        <v>188</v>
      </c>
      <c r="B6" s="573" t="s">
        <v>189</v>
      </c>
      <c r="C6" s="573" t="s">
        <v>190</v>
      </c>
      <c r="D6" s="572" t="str">
        <f>UPPER('1. Resumen'!Q4)&amp;"
 "&amp;'1. Resumen'!Q5</f>
        <v>JULIO
 2019</v>
      </c>
      <c r="E6" s="572" t="str">
        <f>UPPER('1. Resumen'!Q4)&amp;"
 "&amp;'1. Resumen'!Q5-1</f>
        <v>JULIO
 2018</v>
      </c>
      <c r="F6" s="572" t="str">
        <f>UPPER('1. Resumen'!Q4)&amp;"
 "&amp;'1. Resumen'!Q5-2</f>
        <v>JULIO
 2017</v>
      </c>
      <c r="G6" s="573" t="s">
        <v>535</v>
      </c>
      <c r="H6" s="574" t="s">
        <v>466</v>
      </c>
      <c r="I6" s="196"/>
      <c r="J6" s="196"/>
      <c r="K6" s="196"/>
      <c r="L6" s="166"/>
    </row>
    <row r="7" spans="1:12" ht="14.25" customHeight="1">
      <c r="A7" s="972" t="s">
        <v>192</v>
      </c>
      <c r="B7" s="800" t="s">
        <v>731</v>
      </c>
      <c r="C7" s="801" t="s">
        <v>728</v>
      </c>
      <c r="D7" s="802"/>
      <c r="E7" s="802">
        <v>7.0500000000000025</v>
      </c>
      <c r="F7" s="802"/>
      <c r="G7" s="803">
        <f t="shared" ref="G7:G11" si="0">+D7/E7-1</f>
        <v>-1</v>
      </c>
      <c r="H7" s="808"/>
      <c r="I7" s="196"/>
      <c r="J7" s="196"/>
      <c r="K7" s="196"/>
      <c r="L7" s="58"/>
    </row>
    <row r="8" spans="1:12" ht="14.25" customHeight="1">
      <c r="A8" s="973"/>
      <c r="B8" s="804" t="s">
        <v>732</v>
      </c>
      <c r="C8" s="805" t="s">
        <v>729</v>
      </c>
      <c r="D8" s="806"/>
      <c r="E8" s="806"/>
      <c r="F8" s="806">
        <v>29.766666666666666</v>
      </c>
      <c r="G8" s="807"/>
      <c r="H8" s="808">
        <f t="shared" ref="H8:H11" si="1">+E8/F8-1</f>
        <v>-1</v>
      </c>
      <c r="I8" s="196"/>
      <c r="J8" s="196"/>
      <c r="K8" s="196"/>
      <c r="L8" s="58"/>
    </row>
    <row r="9" spans="1:12" ht="12.75">
      <c r="A9" s="973"/>
      <c r="B9" s="804" t="s">
        <v>527</v>
      </c>
      <c r="C9" s="805" t="s">
        <v>528</v>
      </c>
      <c r="D9" s="806"/>
      <c r="E9" s="806">
        <v>24.283333333333331</v>
      </c>
      <c r="F9" s="806"/>
      <c r="G9" s="807">
        <f t="shared" si="0"/>
        <v>-1</v>
      </c>
      <c r="H9" s="808"/>
      <c r="I9" s="196"/>
      <c r="J9" s="196"/>
      <c r="K9" s="196"/>
      <c r="L9" s="58"/>
    </row>
    <row r="10" spans="1:12" ht="12.75">
      <c r="A10" s="974"/>
      <c r="B10" s="804" t="s">
        <v>733</v>
      </c>
      <c r="C10" s="805" t="s">
        <v>730</v>
      </c>
      <c r="D10" s="806"/>
      <c r="E10" s="806">
        <v>5.0166666666666675</v>
      </c>
      <c r="F10" s="806"/>
      <c r="G10" s="807">
        <f t="shared" si="0"/>
        <v>-1</v>
      </c>
      <c r="H10" s="808"/>
      <c r="I10" s="196"/>
      <c r="J10" s="196"/>
      <c r="K10" s="196"/>
      <c r="L10" s="58"/>
    </row>
    <row r="11" spans="1:12" ht="16.5">
      <c r="A11" s="864" t="s">
        <v>191</v>
      </c>
      <c r="B11" s="763" t="s">
        <v>529</v>
      </c>
      <c r="C11" s="764" t="s">
        <v>480</v>
      </c>
      <c r="D11" s="831"/>
      <c r="E11" s="831">
        <v>14.133333333333336</v>
      </c>
      <c r="F11" s="831">
        <v>729.65</v>
      </c>
      <c r="G11" s="807">
        <f t="shared" si="0"/>
        <v>-1</v>
      </c>
      <c r="H11" s="832">
        <f t="shared" si="1"/>
        <v>-0.98062998241165855</v>
      </c>
      <c r="I11" s="196"/>
      <c r="J11" s="196"/>
      <c r="K11" s="196"/>
      <c r="L11" s="58"/>
    </row>
    <row r="12" spans="1:12" ht="18.75" customHeight="1">
      <c r="A12" s="564" t="s">
        <v>193</v>
      </c>
      <c r="B12" s="565"/>
      <c r="C12" s="566"/>
      <c r="D12" s="567">
        <f>SUM(D7:D11)</f>
        <v>0</v>
      </c>
      <c r="E12" s="567">
        <f>SUM(E7:E11)</f>
        <v>50.483333333333334</v>
      </c>
      <c r="F12" s="567">
        <f>SUM(F7:F11)</f>
        <v>759.41666666666663</v>
      </c>
      <c r="G12" s="568">
        <f>+E12/F12-1</f>
        <v>-0.93352353780313835</v>
      </c>
      <c r="H12" s="568">
        <f>+D12/E12-1</f>
        <v>-1</v>
      </c>
      <c r="I12" s="196"/>
      <c r="J12" s="196"/>
      <c r="K12" s="197"/>
      <c r="L12" s="206"/>
    </row>
    <row r="13" spans="1:12" ht="11.25" customHeight="1">
      <c r="A13" s="274" t="str">
        <f>"Cuadro N° 14: Horas de operación de los principales equipos de congestión en "&amp;'1. Resumen'!Q4</f>
        <v>Cuadro N° 14: Horas de operación de los principales equipos de congestión en julio</v>
      </c>
      <c r="B13" s="209"/>
      <c r="C13" s="210"/>
      <c r="D13" s="211"/>
      <c r="E13" s="211"/>
      <c r="F13" s="212"/>
      <c r="G13" s="76"/>
      <c r="H13" s="82"/>
      <c r="I13" s="196"/>
      <c r="J13" s="196"/>
      <c r="K13" s="197"/>
      <c r="L13" s="206"/>
    </row>
    <row r="14" spans="1:12" ht="11.25" customHeight="1">
      <c r="A14" s="137"/>
      <c r="B14" s="209"/>
      <c r="C14" s="210"/>
      <c r="D14" s="211"/>
      <c r="E14" s="211"/>
      <c r="F14" s="212"/>
      <c r="G14" s="76"/>
      <c r="H14" s="76"/>
      <c r="I14" s="196"/>
      <c r="J14" s="196"/>
      <c r="K14" s="197"/>
      <c r="L14" s="206"/>
    </row>
    <row r="15" spans="1:12" ht="11.25" customHeight="1">
      <c r="A15" s="137"/>
      <c r="B15" s="209"/>
      <c r="C15" s="210"/>
      <c r="D15" s="211"/>
      <c r="E15" s="211"/>
      <c r="F15" s="212"/>
      <c r="G15" s="76"/>
      <c r="H15" s="76"/>
      <c r="I15" s="196"/>
      <c r="J15" s="196"/>
      <c r="K15" s="197"/>
      <c r="L15" s="206"/>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7"/>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6"/>
      <c r="L21" s="58"/>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8.25" customHeight="1">
      <c r="A34" s="77"/>
      <c r="B34" s="77"/>
      <c r="C34" s="77"/>
      <c r="D34" s="77"/>
      <c r="E34" s="77"/>
      <c r="F34" s="77"/>
      <c r="G34" s="77"/>
      <c r="H34" s="77"/>
      <c r="I34" s="196"/>
      <c r="J34" s="196"/>
      <c r="K34" s="199"/>
      <c r="L34" s="59"/>
    </row>
    <row r="35" spans="1:12" ht="11.25" hidden="1"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8"/>
    </row>
    <row r="40" spans="1:12" ht="11.25" customHeight="1">
      <c r="A40" s="77"/>
      <c r="B40" s="77"/>
      <c r="C40" s="77"/>
      <c r="D40" s="77"/>
      <c r="E40" s="77"/>
      <c r="F40" s="77"/>
      <c r="G40" s="77"/>
      <c r="H40" s="77"/>
      <c r="I40" s="196"/>
      <c r="J40" s="196"/>
      <c r="K40" s="198"/>
    </row>
    <row r="41" spans="1:12" ht="12.75">
      <c r="A41" s="54"/>
      <c r="B41" s="77"/>
      <c r="C41" s="77"/>
      <c r="D41" s="77"/>
      <c r="E41" s="77"/>
      <c r="F41" s="77"/>
      <c r="G41" s="77"/>
      <c r="H41" s="77"/>
      <c r="I41" s="196"/>
      <c r="J41" s="196"/>
      <c r="K41" s="198"/>
    </row>
    <row r="42" spans="1:12" ht="12.75">
      <c r="A42" s="77"/>
      <c r="B42" s="77"/>
      <c r="C42" s="77"/>
      <c r="D42" s="77"/>
      <c r="E42" s="77"/>
      <c r="F42" s="77"/>
      <c r="G42" s="77"/>
      <c r="H42" s="77"/>
      <c r="I42" s="196"/>
      <c r="J42" s="196"/>
      <c r="K42" s="198"/>
    </row>
    <row r="43" spans="1:12" ht="12.75">
      <c r="A43" s="77"/>
      <c r="B43" s="77"/>
      <c r="C43" s="77"/>
      <c r="D43" s="77"/>
      <c r="E43" s="77"/>
      <c r="F43" s="77"/>
      <c r="G43" s="77"/>
      <c r="H43" s="77"/>
      <c r="I43" s="196"/>
      <c r="J43" s="196"/>
      <c r="K43" s="198"/>
    </row>
    <row r="44" spans="1:12" ht="12.75">
      <c r="A44" s="77"/>
      <c r="B44" s="77"/>
      <c r="C44" s="77"/>
      <c r="D44" s="77"/>
      <c r="E44" s="77"/>
      <c r="F44" s="77"/>
      <c r="G44" s="77"/>
      <c r="H44" s="77"/>
      <c r="I44" s="196"/>
      <c r="J44" s="196"/>
      <c r="K44" s="198"/>
    </row>
    <row r="45" spans="1:12" ht="12.75">
      <c r="A45" s="77"/>
      <c r="B45" s="77"/>
      <c r="C45" s="77"/>
      <c r="D45" s="77"/>
      <c r="E45" s="77"/>
      <c r="F45" s="77"/>
      <c r="G45" s="77"/>
      <c r="H45" s="77"/>
      <c r="I45" s="196"/>
      <c r="J45" s="196"/>
      <c r="K45" s="198"/>
    </row>
    <row r="46" spans="1:12" ht="12.75">
      <c r="A46" s="77"/>
      <c r="B46" s="77"/>
      <c r="C46" s="77"/>
      <c r="D46" s="77"/>
      <c r="E46" s="77"/>
      <c r="F46" s="77"/>
      <c r="G46" s="77"/>
      <c r="H46" s="77"/>
      <c r="I46" s="111"/>
      <c r="J46" s="111"/>
      <c r="K46" s="198"/>
    </row>
    <row r="47" spans="1:12" ht="12.75">
      <c r="A47" s="77"/>
      <c r="B47" s="77"/>
      <c r="C47" s="77"/>
      <c r="D47" s="77"/>
      <c r="E47" s="77"/>
      <c r="F47" s="77"/>
      <c r="G47" s="77"/>
      <c r="H47" s="77"/>
      <c r="I47" s="111"/>
      <c r="J47" s="111"/>
      <c r="K47" s="198"/>
    </row>
    <row r="48" spans="1:12" ht="12.75">
      <c r="A48" s="77"/>
      <c r="B48" s="77"/>
      <c r="C48" s="77"/>
      <c r="D48" s="77"/>
      <c r="E48" s="77"/>
      <c r="F48" s="77"/>
      <c r="G48" s="77"/>
      <c r="H48" s="77"/>
      <c r="I48" s="111"/>
      <c r="J48" s="111"/>
      <c r="K48" s="198"/>
    </row>
    <row r="49" spans="1:11" ht="12.75">
      <c r="B49" s="77"/>
      <c r="C49" s="77"/>
      <c r="D49" s="77"/>
      <c r="E49" s="77"/>
      <c r="F49" s="77"/>
      <c r="G49" s="77"/>
      <c r="H49" s="77"/>
      <c r="I49" s="111"/>
      <c r="J49" s="111"/>
      <c r="K49" s="198"/>
    </row>
    <row r="50" spans="1:11" ht="12.75">
      <c r="A50" s="274" t="str">
        <f>"Gráfico N° 23: Comparación de las horas de operación de los principales equipos de congestión en "&amp;'1. Resumen'!Q4&amp;"."</f>
        <v>Gráfico N° 23: Comparación de las horas de operación de los principales equipos de congestión en julio.</v>
      </c>
      <c r="B50" s="77"/>
      <c r="C50" s="77"/>
      <c r="D50" s="77"/>
      <c r="E50" s="77"/>
      <c r="F50" s="77"/>
      <c r="G50" s="77"/>
      <c r="H50" s="77"/>
      <c r="I50" s="111"/>
      <c r="J50" s="111"/>
      <c r="K50" s="198"/>
    </row>
    <row r="51" spans="1:11" ht="12.75">
      <c r="A51" s="77"/>
      <c r="B51" s="77"/>
      <c r="C51" s="77"/>
      <c r="D51" s="77"/>
      <c r="E51" s="77"/>
      <c r="F51" s="77"/>
      <c r="G51" s="77"/>
      <c r="H51" s="77"/>
      <c r="I51" s="197"/>
      <c r="J51" s="197"/>
      <c r="K51" s="198"/>
    </row>
    <row r="52" spans="1:11" ht="12.75">
      <c r="A52" s="196"/>
      <c r="B52" s="197"/>
      <c r="C52" s="197"/>
      <c r="D52" s="197"/>
      <c r="E52" s="197"/>
      <c r="F52" s="197"/>
      <c r="G52" s="197"/>
      <c r="H52" s="197"/>
      <c r="I52" s="197"/>
      <c r="J52" s="197"/>
      <c r="K52" s="198"/>
    </row>
    <row r="53" spans="1:11" ht="12.75">
      <c r="A53" s="196"/>
      <c r="B53" s="208"/>
      <c r="C53" s="198"/>
      <c r="D53" s="198"/>
      <c r="E53" s="198"/>
      <c r="F53" s="198"/>
      <c r="G53" s="197"/>
      <c r="H53" s="197"/>
      <c r="I53" s="197"/>
      <c r="J53" s="197"/>
      <c r="K53" s="198"/>
    </row>
    <row r="54" spans="1:11" ht="12.75">
      <c r="A54" s="1"/>
      <c r="B54" s="31"/>
      <c r="C54" s="31"/>
      <c r="D54" s="31"/>
      <c r="E54" s="31"/>
      <c r="F54" s="31"/>
      <c r="G54" s="31"/>
      <c r="H54" s="197"/>
      <c r="I54" s="197"/>
      <c r="J54" s="197"/>
      <c r="K54" s="198"/>
    </row>
    <row r="55" spans="1:11" ht="12.75">
      <c r="A55" s="1"/>
      <c r="B55" s="31"/>
      <c r="C55" s="31"/>
      <c r="D55" s="31"/>
      <c r="E55" s="31"/>
      <c r="F55" s="31"/>
      <c r="G55" s="31"/>
      <c r="H55" s="197"/>
      <c r="I55" s="197"/>
      <c r="J55" s="197"/>
      <c r="K55" s="197"/>
    </row>
    <row r="56" spans="1:11" ht="12.75">
      <c r="A56" s="1"/>
      <c r="B56" s="31"/>
      <c r="C56" s="31"/>
      <c r="D56" s="31"/>
      <c r="E56" s="31"/>
      <c r="F56" s="31"/>
      <c r="G56" s="31"/>
      <c r="H56" s="197"/>
      <c r="I56" s="197"/>
      <c r="J56" s="197"/>
      <c r="K56" s="197"/>
    </row>
  </sheetData>
  <mergeCells count="3">
    <mergeCell ref="A4:H4"/>
    <mergeCell ref="A2:H2"/>
    <mergeCell ref="A7:A10"/>
  </mergeCells>
  <pageMargins left="0.70866141732283472" right="0.7086614173228347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77A5"/>
  </sheetPr>
  <dimension ref="A1:L251"/>
  <sheetViews>
    <sheetView showGridLines="0" view="pageBreakPreview" zoomScale="175" zoomScaleNormal="160" zoomScaleSheetLayoutView="175" zoomScalePageLayoutView="160" workbookViewId="0">
      <selection activeCell="U69" sqref="T69:U69"/>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82" t="s">
        <v>497</v>
      </c>
      <c r="B2" s="982"/>
      <c r="C2" s="982"/>
      <c r="D2" s="982"/>
      <c r="E2" s="982"/>
      <c r="F2" s="982"/>
      <c r="G2" s="982"/>
      <c r="H2" s="982"/>
      <c r="I2" s="982"/>
      <c r="J2" s="982"/>
      <c r="K2" s="163"/>
    </row>
    <row r="3" spans="1:12" ht="6.75" customHeight="1">
      <c r="A3" s="17"/>
      <c r="B3" s="159"/>
      <c r="C3" s="213"/>
      <c r="D3" s="18"/>
      <c r="E3" s="18"/>
      <c r="F3" s="192"/>
      <c r="G3" s="66"/>
      <c r="H3" s="66"/>
      <c r="I3" s="71"/>
      <c r="J3" s="163"/>
      <c r="K3" s="163"/>
      <c r="L3" s="36"/>
    </row>
    <row r="4" spans="1:12" ht="15" customHeight="1">
      <c r="A4" s="983" t="s">
        <v>559</v>
      </c>
      <c r="B4" s="983"/>
      <c r="C4" s="983"/>
      <c r="D4" s="983"/>
      <c r="E4" s="983"/>
      <c r="F4" s="983"/>
      <c r="G4" s="983"/>
      <c r="H4" s="983"/>
      <c r="I4" s="983"/>
      <c r="J4" s="983"/>
      <c r="K4" s="163"/>
      <c r="L4" s="36"/>
    </row>
    <row r="5" spans="1:12" ht="38.25" customHeight="1">
      <c r="A5" s="980" t="s">
        <v>194</v>
      </c>
      <c r="B5" s="587" t="s">
        <v>195</v>
      </c>
      <c r="C5" s="588" t="s">
        <v>196</v>
      </c>
      <c r="D5" s="588" t="s">
        <v>197</v>
      </c>
      <c r="E5" s="588" t="s">
        <v>198</v>
      </c>
      <c r="F5" s="588" t="s">
        <v>199</v>
      </c>
      <c r="G5" s="588" t="s">
        <v>200</v>
      </c>
      <c r="H5" s="588" t="s">
        <v>201</v>
      </c>
      <c r="I5" s="589" t="s">
        <v>202</v>
      </c>
      <c r="J5" s="590" t="s">
        <v>203</v>
      </c>
      <c r="K5" s="131"/>
    </row>
    <row r="6" spans="1:12" ht="11.25" customHeight="1">
      <c r="A6" s="981"/>
      <c r="B6" s="809" t="s">
        <v>204</v>
      </c>
      <c r="C6" s="589" t="s">
        <v>205</v>
      </c>
      <c r="D6" s="589" t="s">
        <v>206</v>
      </c>
      <c r="E6" s="589" t="s">
        <v>207</v>
      </c>
      <c r="F6" s="589" t="s">
        <v>208</v>
      </c>
      <c r="G6" s="589" t="s">
        <v>209</v>
      </c>
      <c r="H6" s="589" t="s">
        <v>210</v>
      </c>
      <c r="I6" s="810"/>
      <c r="J6" s="811" t="s">
        <v>211</v>
      </c>
      <c r="K6" s="19"/>
    </row>
    <row r="7" spans="1:12" ht="12" customHeight="1">
      <c r="A7" s="833" t="s">
        <v>168</v>
      </c>
      <c r="B7" s="834"/>
      <c r="C7" s="834"/>
      <c r="D7" s="834"/>
      <c r="E7" s="835"/>
      <c r="F7" s="834">
        <v>1</v>
      </c>
      <c r="G7" s="834"/>
      <c r="H7" s="834"/>
      <c r="I7" s="836">
        <f>+SUM(B7:H7)</f>
        <v>1</v>
      </c>
      <c r="J7" s="837">
        <v>0.15</v>
      </c>
      <c r="K7" s="22"/>
    </row>
    <row r="8" spans="1:12" ht="16.5" customHeight="1">
      <c r="A8" s="833" t="s">
        <v>726</v>
      </c>
      <c r="B8" s="838"/>
      <c r="C8" s="834"/>
      <c r="D8" s="834"/>
      <c r="E8" s="835"/>
      <c r="F8" s="834">
        <v>1</v>
      </c>
      <c r="G8" s="834"/>
      <c r="H8" s="834"/>
      <c r="I8" s="836">
        <f t="shared" ref="I8:I12" si="0">+SUM(B8:H8)</f>
        <v>1</v>
      </c>
      <c r="J8" s="837">
        <v>0.03</v>
      </c>
      <c r="K8" s="22"/>
    </row>
    <row r="9" spans="1:12" ht="12" customHeight="1">
      <c r="A9" s="839" t="s">
        <v>464</v>
      </c>
      <c r="B9" s="834">
        <v>3</v>
      </c>
      <c r="C9" s="834">
        <v>4</v>
      </c>
      <c r="D9" s="834"/>
      <c r="E9" s="835">
        <v>1</v>
      </c>
      <c r="F9" s="834">
        <v>11</v>
      </c>
      <c r="G9" s="834"/>
      <c r="H9" s="834"/>
      <c r="I9" s="836">
        <f t="shared" si="0"/>
        <v>19</v>
      </c>
      <c r="J9" s="837">
        <v>81.88000000000001</v>
      </c>
      <c r="K9" s="22"/>
    </row>
    <row r="10" spans="1:12" ht="12" customHeight="1">
      <c r="A10" s="839" t="s">
        <v>727</v>
      </c>
      <c r="B10" s="834"/>
      <c r="C10" s="834"/>
      <c r="D10" s="834"/>
      <c r="E10" s="835"/>
      <c r="F10" s="834">
        <v>2</v>
      </c>
      <c r="G10" s="834"/>
      <c r="H10" s="834"/>
      <c r="I10" s="836">
        <f t="shared" si="0"/>
        <v>2</v>
      </c>
      <c r="J10" s="837">
        <v>8.0499999999999989</v>
      </c>
      <c r="K10" s="22"/>
    </row>
    <row r="11" spans="1:12" ht="12" customHeight="1">
      <c r="A11" s="833" t="s">
        <v>597</v>
      </c>
      <c r="B11" s="838"/>
      <c r="C11" s="834">
        <v>1</v>
      </c>
      <c r="D11" s="834"/>
      <c r="E11" s="835">
        <v>1</v>
      </c>
      <c r="F11" s="834"/>
      <c r="G11" s="834"/>
      <c r="H11" s="834"/>
      <c r="I11" s="836">
        <f t="shared" si="0"/>
        <v>2</v>
      </c>
      <c r="J11" s="837">
        <v>16.53</v>
      </c>
      <c r="K11" s="22"/>
    </row>
    <row r="12" spans="1:12" ht="12" customHeight="1">
      <c r="A12" s="833" t="s">
        <v>520</v>
      </c>
      <c r="B12" s="838"/>
      <c r="C12" s="834"/>
      <c r="D12" s="834"/>
      <c r="E12" s="835"/>
      <c r="F12" s="834">
        <v>1</v>
      </c>
      <c r="G12" s="834"/>
      <c r="H12" s="834">
        <v>1</v>
      </c>
      <c r="I12" s="836">
        <f t="shared" si="0"/>
        <v>2</v>
      </c>
      <c r="J12" s="837">
        <v>19.910000000000004</v>
      </c>
      <c r="K12" s="22"/>
    </row>
    <row r="13" spans="1:12" ht="14.25" customHeight="1">
      <c r="A13" s="828" t="s">
        <v>202</v>
      </c>
      <c r="B13" s="812">
        <f>+SUM(B7:B12)</f>
        <v>3</v>
      </c>
      <c r="C13" s="812">
        <f t="shared" ref="C13:H13" si="1">+SUM(C7:C12)</f>
        <v>5</v>
      </c>
      <c r="D13" s="812">
        <f t="shared" si="1"/>
        <v>0</v>
      </c>
      <c r="E13" s="812">
        <f t="shared" si="1"/>
        <v>2</v>
      </c>
      <c r="F13" s="812">
        <f t="shared" si="1"/>
        <v>16</v>
      </c>
      <c r="G13" s="812">
        <f t="shared" si="1"/>
        <v>0</v>
      </c>
      <c r="H13" s="812">
        <f t="shared" si="1"/>
        <v>1</v>
      </c>
      <c r="I13" s="812">
        <f>SUM(I7:I12)</f>
        <v>27</v>
      </c>
      <c r="J13" s="813">
        <f>SUM(J7:J12)</f>
        <v>126.55000000000001</v>
      </c>
      <c r="K13" s="22"/>
    </row>
    <row r="14" spans="1:12" ht="11.25" customHeight="1">
      <c r="A14" s="984"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julio 2019</v>
      </c>
      <c r="B14" s="984"/>
      <c r="C14" s="984"/>
      <c r="D14" s="984"/>
      <c r="E14" s="984"/>
      <c r="F14" s="984"/>
      <c r="G14" s="984"/>
      <c r="H14" s="984"/>
      <c r="I14" s="984"/>
      <c r="J14" s="984"/>
      <c r="K14" s="22"/>
    </row>
    <row r="15" spans="1:12" ht="11.25" customHeight="1">
      <c r="K15" s="22"/>
    </row>
    <row r="16" spans="1:12" ht="11.25" customHeight="1">
      <c r="A16" s="17"/>
      <c r="B16" s="216"/>
      <c r="C16" s="215"/>
      <c r="D16" s="215"/>
      <c r="E16" s="215"/>
      <c r="F16" s="215"/>
      <c r="G16" s="178"/>
      <c r="H16" s="178"/>
      <c r="I16" s="138"/>
      <c r="J16" s="25"/>
      <c r="K16" s="25"/>
      <c r="L16" s="22"/>
    </row>
    <row r="17" spans="1:12" ht="11.25" customHeight="1">
      <c r="A17" s="977" t="str">
        <f>"FALLAS  POR TIPO DE CAUSA  -  "&amp;UPPER('1. Resumen'!Q4)&amp;" "&amp;'1. Resumen'!Q5</f>
        <v>FALLAS  POR TIPO DE CAUSA  -  JULIO 2019</v>
      </c>
      <c r="B17" s="977"/>
      <c r="C17" s="977"/>
      <c r="D17" s="977"/>
      <c r="E17" s="977" t="str">
        <f>"FALLAS  POR TIPO DE EQUIPO  -  "&amp;UPPER('1. Resumen'!Q4)&amp;" "&amp;'1. Resumen'!Q5</f>
        <v>FALLAS  POR TIPO DE EQUIPO  -  JULIO 2019</v>
      </c>
      <c r="F17" s="977"/>
      <c r="G17" s="977"/>
      <c r="H17" s="977"/>
      <c r="I17" s="977"/>
      <c r="J17" s="977"/>
      <c r="K17" s="25"/>
      <c r="L17" s="22"/>
    </row>
    <row r="18" spans="1:12" ht="11.25" customHeight="1">
      <c r="A18" s="17"/>
      <c r="E18" s="215"/>
      <c r="F18" s="215"/>
      <c r="G18" s="178"/>
      <c r="H18" s="178"/>
      <c r="I18" s="138"/>
      <c r="J18" s="111"/>
      <c r="K18" s="111"/>
      <c r="L18" s="22"/>
    </row>
    <row r="19" spans="1:12" ht="11.25" customHeight="1">
      <c r="A19" s="17"/>
      <c r="B19" s="216"/>
      <c r="C19" s="215"/>
      <c r="D19" s="215"/>
      <c r="E19" s="215"/>
      <c r="F19" s="215"/>
      <c r="G19" s="178"/>
      <c r="H19" s="178"/>
      <c r="I19" s="138"/>
      <c r="J19" s="111"/>
      <c r="K19" s="111"/>
      <c r="L19" s="30"/>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30"/>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11.25" customHeight="1">
      <c r="A33" s="17"/>
      <c r="B33" s="216"/>
      <c r="C33" s="215"/>
      <c r="D33" s="215"/>
      <c r="E33" s="215"/>
      <c r="F33" s="215"/>
      <c r="G33" s="178"/>
      <c r="H33" s="178"/>
      <c r="I33" s="138"/>
      <c r="J33" s="111"/>
      <c r="K33" s="111"/>
      <c r="L33" s="22"/>
    </row>
    <row r="34" spans="1:12" ht="11.25" customHeight="1">
      <c r="A34" s="17"/>
      <c r="B34" s="216"/>
      <c r="C34" s="215"/>
      <c r="D34" s="215"/>
      <c r="E34" s="215"/>
      <c r="F34" s="215"/>
      <c r="G34" s="178"/>
      <c r="H34" s="178"/>
      <c r="I34" s="138"/>
      <c r="J34" s="111"/>
      <c r="K34" s="111"/>
      <c r="L34" s="22"/>
    </row>
    <row r="35" spans="1:12" ht="23.25" customHeight="1">
      <c r="A35" s="976" t="s">
        <v>477</v>
      </c>
      <c r="B35" s="976"/>
      <c r="C35" s="976"/>
      <c r="D35" s="277"/>
      <c r="E35" s="979" t="s">
        <v>478</v>
      </c>
      <c r="F35" s="979"/>
      <c r="G35" s="979"/>
      <c r="H35" s="979"/>
      <c r="I35" s="979"/>
      <c r="J35" s="979"/>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7"/>
    </row>
    <row r="38" spans="1:12" ht="11.25" customHeight="1">
      <c r="A38" s="978" t="str">
        <f>"ENERGÍA INTERRUMPIDA APROXIMADA POR TIPO DE EQUIPO (MWh)  -  "&amp;UPPER('1. Resumen'!Q4)&amp;" "&amp;'1. Resumen'!Q5</f>
        <v>ENERGÍA INTERRUMPIDA APROXIMADA POR TIPO DE EQUIPO (MWh)  -  JULIO 2019</v>
      </c>
      <c r="B38" s="978"/>
      <c r="C38" s="978"/>
      <c r="D38" s="978"/>
      <c r="E38" s="978"/>
      <c r="F38" s="978"/>
      <c r="G38" s="978"/>
      <c r="H38" s="978"/>
      <c r="I38" s="978"/>
      <c r="J38" s="978"/>
      <c r="K38" s="25"/>
      <c r="L38" s="217"/>
    </row>
    <row r="39" spans="1:12" ht="11.25" customHeight="1">
      <c r="A39" s="17"/>
      <c r="B39" s="132"/>
      <c r="C39" s="132"/>
      <c r="D39" s="132"/>
      <c r="E39" s="132"/>
      <c r="F39" s="132"/>
      <c r="G39" s="25"/>
      <c r="H39" s="25"/>
      <c r="I39" s="25"/>
      <c r="J39" s="25"/>
      <c r="K39" s="25"/>
      <c r="L39" s="217"/>
    </row>
    <row r="40" spans="1:12" ht="11.25" customHeight="1">
      <c r="A40" s="17"/>
      <c r="B40" s="132"/>
      <c r="C40" s="25"/>
      <c r="D40" s="25"/>
      <c r="E40" s="25"/>
      <c r="F40" s="25"/>
      <c r="G40" s="25"/>
      <c r="H40" s="25"/>
      <c r="I40" s="25"/>
      <c r="J40" s="25"/>
      <c r="K40" s="25"/>
      <c r="L40" s="217"/>
    </row>
    <row r="41" spans="1:12" ht="11.25" customHeight="1">
      <c r="A41" s="17"/>
      <c r="B41" s="132"/>
      <c r="C41" s="25"/>
      <c r="D41" s="25"/>
      <c r="E41" s="25"/>
      <c r="F41" s="25"/>
      <c r="G41" s="25"/>
      <c r="H41" s="25"/>
    </row>
    <row r="42" spans="1:12" ht="12.75">
      <c r="A42" s="17"/>
      <c r="B42" s="132"/>
      <c r="J42" s="25"/>
      <c r="K42" s="25"/>
      <c r="L42" s="217"/>
    </row>
    <row r="43" spans="1:12" ht="12.75">
      <c r="A43" s="17"/>
      <c r="B43" s="132"/>
      <c r="C43" s="132"/>
      <c r="D43" s="132"/>
      <c r="E43" s="132"/>
      <c r="F43" s="132"/>
      <c r="G43" s="25"/>
      <c r="H43" s="25"/>
      <c r="I43" s="25"/>
      <c r="J43" s="25"/>
      <c r="K43" s="25"/>
      <c r="L43" s="217"/>
    </row>
    <row r="44" spans="1:12" ht="3" customHeight="1">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7"/>
      <c r="B46" s="132"/>
      <c r="C46" s="132"/>
      <c r="D46" s="132"/>
      <c r="E46" s="132"/>
      <c r="F46" s="132"/>
      <c r="G46" s="25"/>
      <c r="H46" s="25"/>
      <c r="I46" s="25"/>
      <c r="J46" s="25"/>
      <c r="K46" s="25"/>
      <c r="L46" s="217"/>
    </row>
    <row r="47" spans="1:12" ht="12.75">
      <c r="A47" s="17"/>
      <c r="B47" s="132"/>
      <c r="C47" s="132"/>
      <c r="D47" s="132"/>
      <c r="E47" s="132"/>
      <c r="F47" s="132"/>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12.75">
      <c r="A51" s="163"/>
      <c r="B51" s="25"/>
      <c r="C51" s="25"/>
      <c r="D51" s="25"/>
      <c r="E51" s="25"/>
      <c r="F51" s="25"/>
      <c r="G51" s="25"/>
      <c r="H51" s="25"/>
      <c r="I51" s="25"/>
      <c r="J51" s="25"/>
      <c r="K51" s="25"/>
      <c r="L51" s="217"/>
    </row>
    <row r="52" spans="1:12" ht="12.75">
      <c r="A52" s="163"/>
      <c r="B52" s="25"/>
      <c r="C52" s="25"/>
      <c r="D52" s="25"/>
      <c r="E52" s="25"/>
      <c r="F52" s="25"/>
      <c r="G52" s="25"/>
      <c r="H52" s="25"/>
      <c r="I52" s="25"/>
      <c r="J52" s="25"/>
      <c r="K52" s="25"/>
      <c r="L52" s="217"/>
    </row>
    <row r="53" spans="1:12" ht="9" customHeight="1">
      <c r="A53" s="163"/>
      <c r="B53" s="25"/>
      <c r="C53" s="25"/>
      <c r="D53" s="25"/>
      <c r="E53" s="25"/>
      <c r="F53" s="25"/>
      <c r="G53" s="25"/>
      <c r="H53" s="25"/>
      <c r="I53" s="25"/>
      <c r="J53" s="25"/>
      <c r="K53" s="25"/>
      <c r="L53" s="217"/>
    </row>
    <row r="54" spans="1:12">
      <c r="A54" s="277" t="str">
        <f>"Gráfico N°26: Comparación de la energía interrumpida aproximada por tipo de equipo en "&amp;'1. Resumen'!Q4&amp;" "&amp;'1. Resumen'!Q5</f>
        <v>Gráfico N°26: Comparación de la energía interrumpida aproximada por tipo de equipo en julio 2019</v>
      </c>
      <c r="B54" s="25"/>
      <c r="C54" s="25"/>
      <c r="D54" s="25"/>
      <c r="E54" s="25"/>
      <c r="F54" s="25"/>
      <c r="G54" s="25"/>
      <c r="H54" s="25"/>
      <c r="I54" s="25"/>
      <c r="J54" s="25"/>
      <c r="K54" s="25"/>
      <c r="L54" s="217"/>
    </row>
    <row r="55" spans="1:12" ht="5.25" customHeight="1">
      <c r="B55" s="25"/>
      <c r="C55" s="25"/>
      <c r="D55" s="25"/>
      <c r="E55" s="25"/>
      <c r="F55" s="25"/>
      <c r="G55" s="25"/>
      <c r="H55" s="25"/>
      <c r="I55" s="25"/>
      <c r="J55" s="25"/>
      <c r="K55" s="25"/>
      <c r="L55" s="217"/>
    </row>
    <row r="56" spans="1:12" ht="24" customHeight="1">
      <c r="A56" s="985" t="s">
        <v>212</v>
      </c>
      <c r="B56" s="985"/>
      <c r="C56" s="985"/>
      <c r="D56" s="985"/>
      <c r="E56" s="985"/>
      <c r="F56" s="985"/>
      <c r="G56" s="985"/>
      <c r="H56" s="985"/>
      <c r="I56" s="985"/>
      <c r="J56" s="985"/>
      <c r="K56" s="25"/>
      <c r="L56" s="217"/>
    </row>
    <row r="57" spans="1:12" ht="11.25" customHeight="1">
      <c r="A57" s="975" t="s">
        <v>213</v>
      </c>
      <c r="B57" s="975"/>
      <c r="C57" s="975"/>
      <c r="D57" s="975"/>
      <c r="E57" s="975"/>
      <c r="F57" s="975"/>
      <c r="G57" s="975"/>
      <c r="H57" s="975"/>
      <c r="I57" s="975"/>
      <c r="J57" s="975"/>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C66" s="25"/>
      <c r="D66" s="25"/>
      <c r="E66" s="25"/>
      <c r="F66" s="25"/>
      <c r="G66" s="25"/>
      <c r="H66" s="25"/>
      <c r="I66" s="25"/>
      <c r="J66" s="25"/>
      <c r="K66" s="25"/>
      <c r="L66" s="217"/>
    </row>
    <row r="67" spans="1:12" ht="12.75">
      <c r="A67" s="163"/>
      <c r="B67" s="25"/>
      <c r="C67" s="25"/>
      <c r="D67" s="25"/>
      <c r="E67" s="25"/>
      <c r="F67" s="25"/>
      <c r="G67" s="25"/>
      <c r="H67" s="25"/>
      <c r="I67" s="25"/>
      <c r="J67" s="25"/>
      <c r="K67" s="25"/>
      <c r="L67" s="217"/>
    </row>
    <row r="68" spans="1:12" ht="12.75">
      <c r="A68" s="163"/>
      <c r="B68" s="25"/>
      <c r="J68" s="25"/>
      <c r="K68" s="25"/>
      <c r="L68" s="217"/>
    </row>
    <row r="69" spans="1:12" ht="12.75">
      <c r="A69" s="163"/>
      <c r="B69" s="25"/>
      <c r="J69" s="25"/>
      <c r="K69" s="25"/>
      <c r="L69" s="217"/>
    </row>
    <row r="70" spans="1:12" ht="12.75">
      <c r="A70" s="163"/>
      <c r="B70" s="25"/>
      <c r="J70" s="25"/>
      <c r="K70" s="25"/>
      <c r="L70" s="217"/>
    </row>
    <row r="71" spans="1:12" ht="12.75">
      <c r="A71" s="163"/>
      <c r="B71" s="25"/>
      <c r="J71" s="25"/>
      <c r="K71" s="25"/>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row r="250" spans="2:12">
      <c r="B250" s="217"/>
      <c r="C250" s="217"/>
      <c r="D250" s="217"/>
      <c r="E250" s="217"/>
      <c r="F250" s="217"/>
      <c r="G250" s="217"/>
      <c r="H250" s="217"/>
      <c r="I250" s="217"/>
      <c r="J250" s="217"/>
      <c r="K250" s="217"/>
      <c r="L250" s="217"/>
    </row>
    <row r="251" spans="2:12">
      <c r="B251" s="217"/>
      <c r="C251" s="217"/>
      <c r="D251" s="217"/>
      <c r="E251" s="217"/>
      <c r="F251" s="217"/>
      <c r="G251" s="217"/>
      <c r="H251" s="217"/>
      <c r="I251" s="217"/>
      <c r="J251" s="217"/>
      <c r="K251" s="217"/>
      <c r="L251" s="217"/>
    </row>
  </sheetData>
  <mergeCells count="11">
    <mergeCell ref="A5:A6"/>
    <mergeCell ref="A2:J2"/>
    <mergeCell ref="A4:J4"/>
    <mergeCell ref="A14:J14"/>
    <mergeCell ref="A56:J56"/>
    <mergeCell ref="A57:J57"/>
    <mergeCell ref="A35:C35"/>
    <mergeCell ref="A17:D17"/>
    <mergeCell ref="E17:J17"/>
    <mergeCell ref="A38:J38"/>
    <mergeCell ref="E35:J35"/>
  </mergeCells>
  <pageMargins left="0.70866141732283472" right="0.7086614173228347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7A5"/>
    <pageSetUpPr fitToPage="1"/>
  </sheetPr>
  <dimension ref="A3:L56"/>
  <sheetViews>
    <sheetView showGridLines="0" view="pageBreakPreview" topLeftCell="A29" zoomScale="130" zoomScaleNormal="130" zoomScaleSheetLayoutView="130" zoomScalePageLayoutView="130" workbookViewId="0">
      <selection activeCell="U69" sqref="T69:U69"/>
    </sheetView>
  </sheetViews>
  <sheetFormatPr defaultColWidth="9.33203125" defaultRowHeight="11.25"/>
  <cols>
    <col min="8" max="10" width="11.1640625" customWidth="1"/>
    <col min="11" max="11" width="12.5" customWidth="1"/>
    <col min="12" max="12" width="9.33203125" customWidth="1"/>
  </cols>
  <sheetData>
    <row r="3" spans="1:12">
      <c r="A3" s="886" t="s">
        <v>0</v>
      </c>
      <c r="B3" s="886"/>
      <c r="C3" s="886"/>
      <c r="D3" s="886"/>
      <c r="E3" s="886"/>
      <c r="F3" s="886"/>
      <c r="G3" s="886"/>
      <c r="H3" s="886"/>
      <c r="I3" s="886"/>
      <c r="J3" s="886"/>
      <c r="K3" s="886"/>
      <c r="L3" s="886"/>
    </row>
    <row r="4" spans="1:12">
      <c r="A4" s="886"/>
      <c r="B4" s="886"/>
      <c r="C4" s="886"/>
      <c r="D4" s="886"/>
      <c r="E4" s="886"/>
      <c r="F4" s="886"/>
      <c r="G4" s="886"/>
      <c r="H4" s="886"/>
      <c r="I4" s="886"/>
      <c r="J4" s="886"/>
      <c r="K4" s="886"/>
      <c r="L4" s="886"/>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465</v>
      </c>
      <c r="B7" s="219"/>
      <c r="C7" s="25"/>
      <c r="D7" s="25"/>
      <c r="E7" s="25"/>
      <c r="F7" s="25"/>
      <c r="G7" s="25"/>
      <c r="H7" s="25"/>
      <c r="I7" s="25"/>
      <c r="J7" s="25"/>
      <c r="K7" s="25"/>
      <c r="L7" s="25"/>
    </row>
    <row r="8" spans="1:12" ht="17.25" customHeight="1">
      <c r="A8" s="25"/>
      <c r="B8" s="25" t="s">
        <v>610</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565</v>
      </c>
      <c r="B10" s="219"/>
      <c r="C10" s="25"/>
      <c r="D10" s="25"/>
      <c r="E10" s="25"/>
      <c r="F10" s="25"/>
      <c r="G10" s="25"/>
      <c r="H10" s="25"/>
      <c r="I10" s="25"/>
      <c r="J10" s="25"/>
      <c r="K10" s="25"/>
      <c r="L10" s="22"/>
    </row>
    <row r="11" spans="1:12" ht="19.5" customHeight="1">
      <c r="A11" s="27"/>
      <c r="B11" s="25" t="s">
        <v>587</v>
      </c>
      <c r="C11" s="25"/>
      <c r="D11" s="25"/>
      <c r="E11" s="25"/>
      <c r="F11" s="21"/>
      <c r="G11" s="21"/>
      <c r="H11" s="21"/>
      <c r="I11" s="21"/>
      <c r="J11" s="21"/>
      <c r="K11" s="21"/>
      <c r="L11" s="22" t="s">
        <v>2</v>
      </c>
    </row>
    <row r="12" spans="1:12" ht="19.5" customHeight="1">
      <c r="A12" s="27"/>
      <c r="B12" s="25" t="s">
        <v>444</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457</v>
      </c>
      <c r="B14" s="25"/>
      <c r="C14" s="25"/>
      <c r="D14" s="25"/>
      <c r="E14" s="25"/>
      <c r="F14" s="25"/>
      <c r="G14" s="25"/>
      <c r="H14" s="25"/>
      <c r="I14" s="25"/>
      <c r="J14" s="25"/>
      <c r="K14" s="25"/>
      <c r="L14" s="22"/>
    </row>
    <row r="15" spans="1:12" ht="19.5" customHeight="1">
      <c r="A15" s="27"/>
      <c r="B15" s="25" t="s">
        <v>433</v>
      </c>
      <c r="C15" s="25"/>
      <c r="D15" s="25"/>
      <c r="E15" s="25"/>
      <c r="F15" s="21"/>
      <c r="G15" s="21"/>
      <c r="H15" s="21"/>
      <c r="I15" s="21"/>
      <c r="J15" s="21"/>
      <c r="K15" s="21"/>
      <c r="L15" s="22" t="s">
        <v>3</v>
      </c>
    </row>
    <row r="16" spans="1:12" ht="19.5" customHeight="1">
      <c r="A16" s="27"/>
      <c r="B16" s="25" t="s">
        <v>442</v>
      </c>
      <c r="C16" s="25"/>
      <c r="D16" s="25"/>
      <c r="E16" s="25"/>
      <c r="F16" s="25"/>
      <c r="G16" s="21"/>
      <c r="H16" s="21"/>
      <c r="I16" s="21"/>
      <c r="J16" s="21"/>
      <c r="K16" s="21"/>
      <c r="L16" s="22" t="s">
        <v>4</v>
      </c>
    </row>
    <row r="17" spans="1:12" ht="19.5" customHeight="1">
      <c r="A17" s="27"/>
      <c r="B17" s="25" t="s">
        <v>434</v>
      </c>
      <c r="C17" s="25"/>
      <c r="D17" s="25"/>
      <c r="E17" s="25"/>
      <c r="F17" s="25"/>
      <c r="G17" s="21"/>
      <c r="H17" s="21"/>
      <c r="I17" s="21"/>
      <c r="J17" s="21"/>
      <c r="K17" s="21"/>
      <c r="L17" s="22" t="s">
        <v>5</v>
      </c>
    </row>
    <row r="18" spans="1:12" ht="19.5" customHeight="1">
      <c r="A18" s="27"/>
      <c r="B18" s="25" t="s">
        <v>435</v>
      </c>
      <c r="C18" s="25"/>
      <c r="D18" s="25"/>
      <c r="E18" s="25"/>
      <c r="F18" s="21"/>
      <c r="G18" s="21"/>
      <c r="H18" s="21"/>
      <c r="I18" s="21"/>
      <c r="J18" s="21"/>
      <c r="K18" s="21"/>
      <c r="L18" s="22" t="s">
        <v>6</v>
      </c>
    </row>
    <row r="19" spans="1:12" ht="19.5" customHeight="1">
      <c r="A19" s="27"/>
      <c r="B19" s="25" t="s">
        <v>436</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456</v>
      </c>
      <c r="B21" s="25"/>
      <c r="C21" s="25"/>
      <c r="D21" s="25"/>
      <c r="E21" s="25"/>
      <c r="F21" s="25"/>
      <c r="G21" s="25"/>
      <c r="H21" s="25"/>
      <c r="I21" s="25"/>
      <c r="J21" s="25"/>
      <c r="K21" s="25"/>
      <c r="L21" s="30"/>
    </row>
    <row r="22" spans="1:12" ht="19.5" customHeight="1">
      <c r="A22" s="25"/>
      <c r="B22" s="25" t="s">
        <v>458</v>
      </c>
      <c r="C22" s="25"/>
      <c r="D22" s="25"/>
      <c r="E22" s="25"/>
      <c r="F22" s="25"/>
      <c r="G22" s="21"/>
      <c r="H22" s="21"/>
      <c r="I22" s="21"/>
      <c r="J22" s="21"/>
      <c r="K22" s="21"/>
      <c r="L22" s="22" t="s">
        <v>9</v>
      </c>
    </row>
    <row r="23" spans="1:12" ht="19.5" customHeight="1">
      <c r="A23" s="31"/>
      <c r="B23" s="25" t="s">
        <v>550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266</v>
      </c>
      <c r="B25" s="25"/>
      <c r="C25" s="25"/>
      <c r="D25" s="25"/>
      <c r="E25" s="25"/>
      <c r="F25" s="25"/>
      <c r="G25" s="25"/>
      <c r="H25" s="25"/>
      <c r="I25" s="25"/>
      <c r="J25" s="25"/>
      <c r="K25" s="25"/>
      <c r="L25" s="30"/>
    </row>
    <row r="26" spans="1:12" ht="19.5" customHeight="1">
      <c r="A26" s="25"/>
      <c r="B26" s="25" t="s">
        <v>460</v>
      </c>
      <c r="C26" s="25"/>
      <c r="D26" s="25"/>
      <c r="E26" s="25"/>
      <c r="F26" s="21"/>
      <c r="G26" s="21"/>
      <c r="H26" s="21"/>
      <c r="I26" s="21"/>
      <c r="J26" s="21"/>
      <c r="K26" s="33"/>
      <c r="L26" s="22" t="s">
        <v>11</v>
      </c>
    </row>
    <row r="27" spans="1:12" ht="19.5" customHeight="1">
      <c r="A27" s="25"/>
      <c r="B27" s="25" t="s">
        <v>437</v>
      </c>
      <c r="C27" s="25"/>
      <c r="D27" s="25"/>
      <c r="E27" s="25"/>
      <c r="F27" s="25"/>
      <c r="G27" s="21"/>
      <c r="H27" s="21"/>
      <c r="I27" s="21"/>
      <c r="J27" s="21"/>
      <c r="K27" s="33"/>
      <c r="L27" s="22" t="s">
        <v>11</v>
      </c>
    </row>
    <row r="28" spans="1:12" ht="19.5" customHeight="1">
      <c r="A28" s="31"/>
      <c r="B28" s="25" t="s">
        <v>459</v>
      </c>
      <c r="C28" s="25"/>
      <c r="D28" s="25"/>
      <c r="E28" s="25"/>
      <c r="F28" s="21"/>
      <c r="G28" s="21"/>
      <c r="H28" s="33"/>
      <c r="I28" s="33"/>
      <c r="J28" s="33"/>
      <c r="K28" s="33"/>
      <c r="L28" s="22" t="s">
        <v>12</v>
      </c>
    </row>
    <row r="29" spans="1:12" ht="19.5" customHeight="1">
      <c r="A29" s="31"/>
      <c r="B29" s="25" t="s">
        <v>443</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449</v>
      </c>
      <c r="B31" s="25"/>
      <c r="C31" s="25"/>
      <c r="D31" s="25"/>
      <c r="E31" s="25"/>
      <c r="F31" s="25"/>
      <c r="G31" s="25"/>
      <c r="H31" s="25"/>
      <c r="I31" s="25"/>
      <c r="J31" s="25"/>
      <c r="K31" s="25"/>
      <c r="L31" s="22"/>
    </row>
    <row r="32" spans="1:12" ht="19.5" customHeight="1">
      <c r="A32" s="31"/>
      <c r="B32" s="25" t="s">
        <v>461</v>
      </c>
      <c r="C32" s="25"/>
      <c r="D32" s="25"/>
      <c r="E32" s="25"/>
      <c r="F32" s="25"/>
      <c r="G32" s="21"/>
      <c r="H32" s="21"/>
      <c r="I32" s="21"/>
      <c r="J32" s="21"/>
      <c r="K32" s="21"/>
      <c r="L32" s="22" t="s">
        <v>13</v>
      </c>
    </row>
    <row r="33" spans="1:12" ht="19.5" customHeight="1">
      <c r="A33" s="31"/>
      <c r="B33" s="25" t="s">
        <v>438</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439</v>
      </c>
      <c r="B35" s="26"/>
      <c r="C35" s="32"/>
      <c r="D35" s="26"/>
      <c r="E35" s="26"/>
      <c r="F35" s="26"/>
      <c r="G35" s="26"/>
      <c r="H35" s="26"/>
      <c r="I35" s="26"/>
      <c r="J35" s="26"/>
      <c r="K35" s="26"/>
      <c r="L35" s="22"/>
    </row>
    <row r="36" spans="1:12" ht="19.5" customHeight="1">
      <c r="A36" s="27"/>
      <c r="B36" s="25" t="s">
        <v>462</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440</v>
      </c>
      <c r="B38" s="35"/>
      <c r="C38" s="25"/>
      <c r="D38" s="25"/>
      <c r="E38" s="25"/>
      <c r="F38" s="25"/>
      <c r="G38" s="25"/>
      <c r="H38" s="25"/>
      <c r="I38" s="25"/>
      <c r="J38" s="25"/>
      <c r="K38" s="25"/>
      <c r="L38" s="38"/>
    </row>
    <row r="39" spans="1:12" ht="19.5" customHeight="1">
      <c r="A39" s="27"/>
      <c r="B39" s="25" t="s">
        <v>441</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463</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3779527559055118" bottom="0.62992125984251968" header="0.31496062992125984" footer="0.31496062992125984"/>
  <pageSetup paperSize="9" scale="97" orientation="portrait" r:id="rId1"/>
  <headerFooter>
    <oddHeader>&amp;R&amp;7Informe de la Operación Mensual-Julio 2019
INFSGI-MES-07-2019
08/08/2019
Versión: 01</oddHeader>
    <oddFooter>&amp;LCOES, 2019&amp;RDirección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77A5"/>
  </sheetPr>
  <dimension ref="A1:L178"/>
  <sheetViews>
    <sheetView showGridLines="0" view="pageBreakPreview" zoomScale="130" zoomScaleNormal="100" zoomScaleSheetLayoutView="130" zoomScalePageLayoutView="145" workbookViewId="0">
      <selection activeCell="A39" sqref="A39"/>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 min="9" max="9" width="18.6640625" customWidth="1"/>
    <col min="10" max="10" width="19.5" customWidth="1"/>
    <col min="11" max="11" width="9.33203125" customWidth="1"/>
  </cols>
  <sheetData>
    <row r="1" spans="1:12" ht="11.25" customHeight="1">
      <c r="A1" s="279" t="s">
        <v>289</v>
      </c>
      <c r="B1" s="278"/>
      <c r="C1" s="278"/>
      <c r="D1" s="278"/>
      <c r="E1" s="278"/>
      <c r="F1" s="278"/>
      <c r="G1" s="278"/>
    </row>
    <row r="2" spans="1:12" ht="14.25" customHeight="1">
      <c r="A2" s="986" t="s">
        <v>264</v>
      </c>
      <c r="B2" s="989" t="s">
        <v>55</v>
      </c>
      <c r="C2" s="992" t="str">
        <f>"ENERGÍA PRODUCIDA "&amp;UPPER('1. Resumen'!Q4)&amp;" "&amp;'1. Resumen'!Q5</f>
        <v>ENERGÍA PRODUCIDA JULIO 2019</v>
      </c>
      <c r="D2" s="992"/>
      <c r="E2" s="992"/>
      <c r="F2" s="992"/>
      <c r="G2" s="715" t="s">
        <v>290</v>
      </c>
      <c r="H2" s="203"/>
      <c r="I2" s="203"/>
      <c r="J2" s="203"/>
      <c r="K2" s="203"/>
    </row>
    <row r="3" spans="1:12" ht="11.25" customHeight="1">
      <c r="A3" s="987"/>
      <c r="B3" s="990"/>
      <c r="C3" s="993" t="s">
        <v>291</v>
      </c>
      <c r="D3" s="993"/>
      <c r="E3" s="993"/>
      <c r="F3" s="994" t="str">
        <f>"TOTAL 
"&amp;UPPER('1. Resumen'!Q4)</f>
        <v>TOTAL 
JULIO</v>
      </c>
      <c r="G3" s="716" t="s">
        <v>292</v>
      </c>
      <c r="H3" s="194"/>
      <c r="I3" s="194"/>
      <c r="J3" s="194"/>
      <c r="K3" s="194"/>
      <c r="L3" s="36"/>
    </row>
    <row r="4" spans="1:12" ht="12.75" customHeight="1">
      <c r="A4" s="987"/>
      <c r="B4" s="990"/>
      <c r="C4" s="705" t="s">
        <v>223</v>
      </c>
      <c r="D4" s="705" t="s">
        <v>224</v>
      </c>
      <c r="E4" s="705" t="s">
        <v>293</v>
      </c>
      <c r="F4" s="995"/>
      <c r="G4" s="716">
        <v>2019</v>
      </c>
      <c r="H4" s="196"/>
      <c r="I4" s="195"/>
      <c r="J4" s="195"/>
      <c r="K4" s="195"/>
      <c r="L4" s="36"/>
    </row>
    <row r="5" spans="1:12" ht="11.25" customHeight="1">
      <c r="A5" s="988"/>
      <c r="B5" s="991"/>
      <c r="C5" s="706" t="s">
        <v>294</v>
      </c>
      <c r="D5" s="706" t="s">
        <v>294</v>
      </c>
      <c r="E5" s="706" t="s">
        <v>294</v>
      </c>
      <c r="F5" s="706" t="s">
        <v>294</v>
      </c>
      <c r="G5" s="717" t="s">
        <v>211</v>
      </c>
      <c r="H5" s="196"/>
      <c r="I5" s="196"/>
      <c r="J5" s="196"/>
      <c r="K5" s="196"/>
      <c r="L5" s="8"/>
    </row>
    <row r="6" spans="1:12" ht="9.75" customHeight="1">
      <c r="A6" s="792" t="s">
        <v>123</v>
      </c>
      <c r="B6" s="469" t="s">
        <v>87</v>
      </c>
      <c r="C6" s="470"/>
      <c r="D6" s="470"/>
      <c r="E6" s="470">
        <v>5920.8024450000003</v>
      </c>
      <c r="F6" s="470">
        <v>5920.8024450000003</v>
      </c>
      <c r="G6" s="788">
        <v>25250.73315</v>
      </c>
      <c r="H6" s="196"/>
      <c r="I6" s="577"/>
      <c r="J6" s="577"/>
      <c r="K6" s="196"/>
      <c r="L6" s="196"/>
    </row>
    <row r="7" spans="1:12" ht="9.75" customHeight="1">
      <c r="A7" s="772" t="s">
        <v>295</v>
      </c>
      <c r="B7" s="569"/>
      <c r="C7" s="570"/>
      <c r="D7" s="570"/>
      <c r="E7" s="570">
        <v>5920.8024450000003</v>
      </c>
      <c r="F7" s="570">
        <v>5920.8024450000003</v>
      </c>
      <c r="G7" s="777">
        <v>25250.73315</v>
      </c>
      <c r="H7" s="196"/>
      <c r="I7" s="577"/>
      <c r="J7" s="577"/>
      <c r="K7" s="196"/>
      <c r="L7" s="196"/>
    </row>
    <row r="8" spans="1:12" ht="9.75" customHeight="1">
      <c r="A8" s="792" t="s">
        <v>122</v>
      </c>
      <c r="B8" s="469" t="s">
        <v>64</v>
      </c>
      <c r="C8" s="470"/>
      <c r="D8" s="470"/>
      <c r="E8" s="470">
        <v>3816.7390025</v>
      </c>
      <c r="F8" s="470">
        <v>3816.7390025</v>
      </c>
      <c r="G8" s="788">
        <v>76331.263307500019</v>
      </c>
      <c r="H8" s="196"/>
      <c r="I8" s="577"/>
      <c r="J8" s="577"/>
      <c r="K8" s="196"/>
      <c r="L8" s="196"/>
    </row>
    <row r="9" spans="1:12" ht="9.75" customHeight="1">
      <c r="A9" s="772" t="s">
        <v>296</v>
      </c>
      <c r="B9" s="569"/>
      <c r="C9" s="570"/>
      <c r="D9" s="570"/>
      <c r="E9" s="570">
        <v>3816.7390025</v>
      </c>
      <c r="F9" s="570">
        <v>3816.7390025</v>
      </c>
      <c r="G9" s="777">
        <v>76331.263307500019</v>
      </c>
      <c r="H9" s="196"/>
      <c r="I9" s="577"/>
      <c r="J9" s="577"/>
      <c r="K9" s="196"/>
      <c r="L9" s="196"/>
    </row>
    <row r="10" spans="1:12" ht="9.75" customHeight="1">
      <c r="A10" s="770" t="s">
        <v>107</v>
      </c>
      <c r="B10" s="708" t="s">
        <v>84</v>
      </c>
      <c r="C10" s="709"/>
      <c r="D10" s="709"/>
      <c r="E10" s="709">
        <v>8325.6122875000001</v>
      </c>
      <c r="F10" s="709">
        <v>8325.6122875000001</v>
      </c>
      <c r="G10" s="776">
        <v>52797.618035000007</v>
      </c>
      <c r="H10" s="196"/>
      <c r="I10" s="577"/>
      <c r="J10" s="577"/>
      <c r="K10" s="196"/>
      <c r="L10" s="196"/>
    </row>
    <row r="11" spans="1:12" ht="9.75" customHeight="1">
      <c r="A11" s="772" t="s">
        <v>297</v>
      </c>
      <c r="B11" s="569"/>
      <c r="C11" s="570"/>
      <c r="D11" s="570"/>
      <c r="E11" s="570">
        <v>8325.6122875000001</v>
      </c>
      <c r="F11" s="570">
        <v>8325.6122875000001</v>
      </c>
      <c r="G11" s="777">
        <v>52797.618035000007</v>
      </c>
      <c r="H11" s="196"/>
      <c r="I11" s="577"/>
      <c r="J11" s="577"/>
      <c r="K11" s="196"/>
      <c r="L11" s="196"/>
    </row>
    <row r="12" spans="1:12" ht="9.75" customHeight="1">
      <c r="A12" s="770" t="s">
        <v>495</v>
      </c>
      <c r="B12" s="708" t="s">
        <v>499</v>
      </c>
      <c r="C12" s="709"/>
      <c r="D12" s="709"/>
      <c r="E12" s="709">
        <v>9181.3251700000001</v>
      </c>
      <c r="F12" s="709">
        <v>9181.3251700000001</v>
      </c>
      <c r="G12" s="776">
        <v>67778.326149999979</v>
      </c>
      <c r="H12" s="196"/>
      <c r="I12" s="577"/>
      <c r="J12" s="577"/>
      <c r="K12" s="196"/>
      <c r="L12" s="196"/>
    </row>
    <row r="13" spans="1:12" ht="9.75" customHeight="1">
      <c r="A13" s="772" t="s">
        <v>496</v>
      </c>
      <c r="B13" s="569"/>
      <c r="C13" s="570"/>
      <c r="D13" s="570"/>
      <c r="E13" s="570">
        <v>9181.3251700000001</v>
      </c>
      <c r="F13" s="570">
        <v>9181.3251700000001</v>
      </c>
      <c r="G13" s="777">
        <v>67778.326149999979</v>
      </c>
      <c r="H13" s="196"/>
      <c r="I13" s="577"/>
      <c r="J13" s="577"/>
      <c r="K13" s="196"/>
      <c r="L13" s="196"/>
    </row>
    <row r="14" spans="1:12" ht="9.75" customHeight="1">
      <c r="A14" s="770" t="s">
        <v>95</v>
      </c>
      <c r="B14" s="708" t="s">
        <v>298</v>
      </c>
      <c r="C14" s="709">
        <v>56944.604062500002</v>
      </c>
      <c r="D14" s="709"/>
      <c r="E14" s="709"/>
      <c r="F14" s="709">
        <v>56944.604062500002</v>
      </c>
      <c r="G14" s="776">
        <v>795945.89223250002</v>
      </c>
      <c r="H14" s="196"/>
      <c r="I14" s="577"/>
      <c r="J14" s="577"/>
      <c r="K14" s="196"/>
      <c r="L14" s="196"/>
    </row>
    <row r="15" spans="1:12" ht="9.75" customHeight="1">
      <c r="A15" s="772" t="s">
        <v>299</v>
      </c>
      <c r="B15" s="569"/>
      <c r="C15" s="570">
        <v>56944.604062500002</v>
      </c>
      <c r="D15" s="570"/>
      <c r="E15" s="570"/>
      <c r="F15" s="570">
        <v>56944.604062500002</v>
      </c>
      <c r="G15" s="777">
        <v>795945.89223250002</v>
      </c>
      <c r="H15" s="196"/>
      <c r="I15" s="577"/>
      <c r="J15" s="577"/>
      <c r="K15" s="196"/>
      <c r="L15" s="196"/>
    </row>
    <row r="16" spans="1:12" ht="10.5" customHeight="1">
      <c r="A16" s="770" t="s">
        <v>248</v>
      </c>
      <c r="B16" s="708" t="s">
        <v>300</v>
      </c>
      <c r="C16" s="709"/>
      <c r="D16" s="709">
        <v>0</v>
      </c>
      <c r="E16" s="709"/>
      <c r="F16" s="709">
        <v>0</v>
      </c>
      <c r="G16" s="776">
        <v>2.2500000000000001E-5</v>
      </c>
      <c r="H16" s="196"/>
      <c r="I16" s="577"/>
      <c r="J16" s="577"/>
      <c r="K16" s="196"/>
      <c r="L16" s="196"/>
    </row>
    <row r="17" spans="1:12" ht="10.5" customHeight="1">
      <c r="A17" s="772" t="s">
        <v>301</v>
      </c>
      <c r="B17" s="569"/>
      <c r="C17" s="570"/>
      <c r="D17" s="570">
        <v>0</v>
      </c>
      <c r="E17" s="570"/>
      <c r="F17" s="570">
        <v>0</v>
      </c>
      <c r="G17" s="777">
        <v>2.2500000000000001E-5</v>
      </c>
      <c r="H17" s="196"/>
      <c r="I17" s="577"/>
      <c r="J17" s="577"/>
      <c r="K17" s="196"/>
      <c r="L17" s="196"/>
    </row>
    <row r="18" spans="1:12" ht="9.75" customHeight="1">
      <c r="A18" s="770" t="s">
        <v>94</v>
      </c>
      <c r="B18" s="708" t="s">
        <v>302</v>
      </c>
      <c r="C18" s="709">
        <v>39171.993564999997</v>
      </c>
      <c r="D18" s="709"/>
      <c r="E18" s="709"/>
      <c r="F18" s="709">
        <v>39171.993564999997</v>
      </c>
      <c r="G18" s="776">
        <v>508429.99535999983</v>
      </c>
      <c r="H18" s="196"/>
      <c r="I18" s="577"/>
      <c r="J18" s="577"/>
      <c r="K18" s="196"/>
      <c r="L18" s="196"/>
    </row>
    <row r="19" spans="1:12" ht="9.75" customHeight="1">
      <c r="A19" s="770"/>
      <c r="B19" s="708" t="s">
        <v>303</v>
      </c>
      <c r="C19" s="709">
        <v>11951.584440000001</v>
      </c>
      <c r="D19" s="709"/>
      <c r="E19" s="709"/>
      <c r="F19" s="709">
        <v>11951.584440000001</v>
      </c>
      <c r="G19" s="776">
        <v>156931.69820500008</v>
      </c>
      <c r="H19" s="196"/>
      <c r="I19" s="577"/>
      <c r="J19" s="577"/>
      <c r="K19" s="196"/>
      <c r="L19" s="196"/>
    </row>
    <row r="20" spans="1:12" ht="9.75" customHeight="1">
      <c r="A20" s="772" t="s">
        <v>304</v>
      </c>
      <c r="B20" s="569"/>
      <c r="C20" s="570">
        <v>51123.578004999996</v>
      </c>
      <c r="D20" s="570"/>
      <c r="E20" s="570"/>
      <c r="F20" s="570">
        <v>51123.578004999996</v>
      </c>
      <c r="G20" s="777">
        <v>665361.69356499985</v>
      </c>
      <c r="H20" s="196"/>
      <c r="I20" s="577"/>
      <c r="J20" s="577"/>
      <c r="K20" s="196"/>
      <c r="L20" s="196"/>
    </row>
    <row r="21" spans="1:12" ht="9.75" customHeight="1">
      <c r="A21" s="770" t="s">
        <v>92</v>
      </c>
      <c r="B21" s="708" t="s">
        <v>305</v>
      </c>
      <c r="C21" s="709">
        <v>1214.4944275</v>
      </c>
      <c r="D21" s="709"/>
      <c r="E21" s="709"/>
      <c r="F21" s="709">
        <v>1214.4944275</v>
      </c>
      <c r="G21" s="776">
        <v>8331.9995425000052</v>
      </c>
      <c r="H21" s="196"/>
      <c r="I21" s="577"/>
      <c r="J21" s="577"/>
      <c r="K21" s="196"/>
      <c r="L21" s="196"/>
    </row>
    <row r="22" spans="1:12" ht="9.75" customHeight="1">
      <c r="A22" s="770"/>
      <c r="B22" s="708" t="s">
        <v>306</v>
      </c>
      <c r="C22" s="709">
        <v>423.37140999999997</v>
      </c>
      <c r="D22" s="709"/>
      <c r="E22" s="709"/>
      <c r="F22" s="709">
        <v>423.37140999999997</v>
      </c>
      <c r="G22" s="776">
        <v>2795.8492175000001</v>
      </c>
      <c r="H22" s="196"/>
      <c r="I22" s="577"/>
      <c r="J22" s="577"/>
      <c r="K22" s="196"/>
      <c r="L22" s="196"/>
    </row>
    <row r="23" spans="1:12" ht="9.75" customHeight="1">
      <c r="A23" s="770"/>
      <c r="B23" s="708" t="s">
        <v>307</v>
      </c>
      <c r="C23" s="709">
        <v>3315.0188724999998</v>
      </c>
      <c r="D23" s="709"/>
      <c r="E23" s="709"/>
      <c r="F23" s="709">
        <v>3315.0188724999998</v>
      </c>
      <c r="G23" s="776">
        <v>22587.604370000001</v>
      </c>
      <c r="H23" s="196"/>
      <c r="I23" s="577"/>
      <c r="J23" s="577"/>
      <c r="K23" s="196"/>
      <c r="L23" s="196"/>
    </row>
    <row r="24" spans="1:12" ht="9.75" customHeight="1">
      <c r="A24" s="770"/>
      <c r="B24" s="708" t="s">
        <v>308</v>
      </c>
      <c r="C24" s="709">
        <v>8302.6151950000003</v>
      </c>
      <c r="D24" s="709"/>
      <c r="E24" s="709"/>
      <c r="F24" s="709">
        <v>8302.6151950000003</v>
      </c>
      <c r="G24" s="776">
        <v>60181.642717499999</v>
      </c>
      <c r="H24" s="196"/>
      <c r="I24" s="577"/>
      <c r="J24" s="577"/>
      <c r="K24" s="196"/>
      <c r="L24" s="196"/>
    </row>
    <row r="25" spans="1:12" ht="9.75" customHeight="1">
      <c r="A25" s="770"/>
      <c r="B25" s="708" t="s">
        <v>309</v>
      </c>
      <c r="C25" s="709">
        <v>52709.714460000003</v>
      </c>
      <c r="D25" s="709"/>
      <c r="E25" s="709"/>
      <c r="F25" s="709">
        <v>52709.714460000003</v>
      </c>
      <c r="G25" s="776">
        <v>453220.21768749988</v>
      </c>
      <c r="H25" s="196"/>
      <c r="I25" s="577"/>
      <c r="J25" s="577"/>
      <c r="K25" s="196"/>
      <c r="L25" s="196"/>
    </row>
    <row r="26" spans="1:12" ht="9.75" customHeight="1">
      <c r="A26" s="770"/>
      <c r="B26" s="708" t="s">
        <v>310</v>
      </c>
      <c r="C26" s="709">
        <v>5218.0389875000001</v>
      </c>
      <c r="D26" s="709"/>
      <c r="E26" s="709"/>
      <c r="F26" s="709">
        <v>5218.0389875000001</v>
      </c>
      <c r="G26" s="776">
        <v>35709.752202499993</v>
      </c>
      <c r="H26" s="196"/>
      <c r="I26" s="577"/>
      <c r="J26" s="577"/>
      <c r="K26" s="196"/>
      <c r="L26" s="196"/>
    </row>
    <row r="27" spans="1:12" ht="9.75" customHeight="1">
      <c r="A27" s="770"/>
      <c r="B27" s="708" t="s">
        <v>311</v>
      </c>
      <c r="C27" s="709"/>
      <c r="D27" s="709">
        <v>14.92764</v>
      </c>
      <c r="E27" s="709"/>
      <c r="F27" s="709">
        <v>14.92764</v>
      </c>
      <c r="G27" s="776">
        <v>135.25774749999999</v>
      </c>
      <c r="H27" s="196"/>
      <c r="I27" s="577"/>
      <c r="J27" s="577"/>
      <c r="K27" s="196"/>
      <c r="L27" s="196"/>
    </row>
    <row r="28" spans="1:12" ht="9.75" customHeight="1">
      <c r="A28" s="770"/>
      <c r="B28" s="708" t="s">
        <v>312</v>
      </c>
      <c r="C28" s="709"/>
      <c r="D28" s="709">
        <v>22.485865</v>
      </c>
      <c r="E28" s="709"/>
      <c r="F28" s="709">
        <v>22.485865</v>
      </c>
      <c r="G28" s="776">
        <v>114.01272500000002</v>
      </c>
      <c r="H28" s="196"/>
      <c r="I28" s="577"/>
      <c r="J28" s="577"/>
      <c r="K28" s="196"/>
      <c r="L28" s="196"/>
    </row>
    <row r="29" spans="1:12" ht="9.75" customHeight="1">
      <c r="A29" s="770"/>
      <c r="B29" s="708" t="s">
        <v>313</v>
      </c>
      <c r="C29" s="709"/>
      <c r="D29" s="709">
        <v>0</v>
      </c>
      <c r="E29" s="709"/>
      <c r="F29" s="709">
        <v>0</v>
      </c>
      <c r="G29" s="776">
        <v>30953.393329999999</v>
      </c>
      <c r="H29" s="196"/>
      <c r="I29" s="577"/>
      <c r="J29" s="577"/>
      <c r="K29" s="196"/>
      <c r="L29" s="196"/>
    </row>
    <row r="30" spans="1:12" ht="9.75" customHeight="1">
      <c r="A30" s="772" t="s">
        <v>314</v>
      </c>
      <c r="B30" s="569"/>
      <c r="C30" s="570">
        <v>71183.253352500004</v>
      </c>
      <c r="D30" s="570">
        <v>37.413505000000001</v>
      </c>
      <c r="E30" s="570"/>
      <c r="F30" s="570">
        <v>71220.666857499993</v>
      </c>
      <c r="G30" s="777">
        <v>614029.72953999985</v>
      </c>
      <c r="H30" s="196"/>
      <c r="I30" s="577"/>
      <c r="J30" s="577"/>
      <c r="K30" s="196"/>
      <c r="L30" s="196"/>
    </row>
    <row r="31" spans="1:12" ht="9.75" customHeight="1">
      <c r="A31" s="770" t="s">
        <v>115</v>
      </c>
      <c r="B31" s="708" t="s">
        <v>71</v>
      </c>
      <c r="C31" s="709"/>
      <c r="D31" s="709"/>
      <c r="E31" s="709">
        <v>2671.1766674999999</v>
      </c>
      <c r="F31" s="709">
        <v>2671.1766674999999</v>
      </c>
      <c r="G31" s="776">
        <v>18677.606267499996</v>
      </c>
      <c r="H31" s="196"/>
      <c r="I31" s="577"/>
      <c r="J31" s="577"/>
      <c r="K31" s="196"/>
      <c r="L31" s="196"/>
    </row>
    <row r="32" spans="1:12" ht="9.75" customHeight="1">
      <c r="A32" s="772" t="s">
        <v>315</v>
      </c>
      <c r="B32" s="569"/>
      <c r="C32" s="570"/>
      <c r="D32" s="570"/>
      <c r="E32" s="570">
        <v>2671.1766674999999</v>
      </c>
      <c r="F32" s="570">
        <v>2671.1766674999999</v>
      </c>
      <c r="G32" s="777">
        <v>18677.606267499996</v>
      </c>
      <c r="H32" s="196"/>
      <c r="I32" s="577"/>
      <c r="J32" s="577"/>
      <c r="K32" s="196"/>
      <c r="L32" s="196"/>
    </row>
    <row r="33" spans="1:12" ht="9.75" customHeight="1">
      <c r="A33" s="770" t="s">
        <v>93</v>
      </c>
      <c r="B33" s="708" t="s">
        <v>316</v>
      </c>
      <c r="C33" s="709">
        <v>93487.535562499994</v>
      </c>
      <c r="D33" s="709"/>
      <c r="E33" s="709"/>
      <c r="F33" s="709">
        <v>93487.535562499994</v>
      </c>
      <c r="G33" s="776">
        <v>781100.54936249997</v>
      </c>
      <c r="H33" s="196"/>
      <c r="I33" s="577"/>
      <c r="J33" s="577"/>
      <c r="K33" s="196"/>
      <c r="L33" s="196"/>
    </row>
    <row r="34" spans="1:12" ht="9.75" customHeight="1">
      <c r="A34" s="772" t="s">
        <v>317</v>
      </c>
      <c r="B34" s="569"/>
      <c r="C34" s="570">
        <v>93487.535562499994</v>
      </c>
      <c r="D34" s="570"/>
      <c r="E34" s="570"/>
      <c r="F34" s="570">
        <v>93487.535562499994</v>
      </c>
      <c r="G34" s="777">
        <v>781100.54936249997</v>
      </c>
      <c r="H34" s="196"/>
      <c r="I34" s="577"/>
      <c r="J34" s="577"/>
      <c r="K34" s="196"/>
      <c r="L34" s="196"/>
    </row>
    <row r="35" spans="1:12" ht="9.75" customHeight="1">
      <c r="A35" s="770" t="s">
        <v>102</v>
      </c>
      <c r="B35" s="708" t="s">
        <v>318</v>
      </c>
      <c r="C35" s="709">
        <v>5404.1819999999998</v>
      </c>
      <c r="D35" s="709"/>
      <c r="E35" s="709"/>
      <c r="F35" s="709">
        <v>5404.1819999999998</v>
      </c>
      <c r="G35" s="776">
        <v>35976.021000000008</v>
      </c>
      <c r="H35" s="196"/>
      <c r="I35" s="577"/>
      <c r="J35" s="577"/>
      <c r="K35" s="196"/>
      <c r="L35" s="196"/>
    </row>
    <row r="36" spans="1:12" ht="9.75" customHeight="1">
      <c r="A36" s="770"/>
      <c r="B36" s="708" t="s">
        <v>319</v>
      </c>
      <c r="C36" s="709">
        <v>3885.66</v>
      </c>
      <c r="D36" s="709"/>
      <c r="E36" s="709"/>
      <c r="F36" s="709">
        <v>3885.66</v>
      </c>
      <c r="G36" s="776">
        <v>25855.362000000008</v>
      </c>
      <c r="H36" s="196"/>
      <c r="I36" s="577"/>
      <c r="J36" s="577"/>
      <c r="K36" s="196"/>
      <c r="L36" s="196"/>
    </row>
    <row r="37" spans="1:12" ht="9.75" customHeight="1">
      <c r="A37" s="770"/>
      <c r="B37" s="708" t="s">
        <v>320</v>
      </c>
      <c r="C37" s="709"/>
      <c r="D37" s="709">
        <v>111.15204</v>
      </c>
      <c r="E37" s="709"/>
      <c r="F37" s="709">
        <v>111.15204</v>
      </c>
      <c r="G37" s="776">
        <v>56956.383937499995</v>
      </c>
      <c r="H37" s="196"/>
      <c r="I37" s="577"/>
      <c r="J37" s="577"/>
      <c r="K37" s="196"/>
      <c r="L37" s="196"/>
    </row>
    <row r="38" spans="1:12" ht="9.75" customHeight="1">
      <c r="A38" s="772" t="s">
        <v>321</v>
      </c>
      <c r="B38" s="569"/>
      <c r="C38" s="570">
        <v>9289.8420000000006</v>
      </c>
      <c r="D38" s="570">
        <v>111.15204</v>
      </c>
      <c r="E38" s="570"/>
      <c r="F38" s="570">
        <v>9400.9940400000014</v>
      </c>
      <c r="G38" s="777">
        <v>118787.76693750001</v>
      </c>
      <c r="H38" s="196"/>
      <c r="I38" s="577"/>
      <c r="J38" s="577"/>
      <c r="K38" s="196"/>
      <c r="L38" s="196"/>
    </row>
    <row r="39" spans="1:12" ht="19.5" customHeight="1">
      <c r="A39" s="785" t="s">
        <v>754</v>
      </c>
      <c r="B39" s="708" t="s">
        <v>76</v>
      </c>
      <c r="C39" s="709"/>
      <c r="D39" s="709"/>
      <c r="E39" s="709">
        <v>249.19130749999999</v>
      </c>
      <c r="F39" s="709">
        <v>249.19130749999999</v>
      </c>
      <c r="G39" s="776">
        <v>1060.98002</v>
      </c>
      <c r="H39" s="196"/>
      <c r="I39" s="577"/>
      <c r="J39" s="577"/>
      <c r="K39" s="196"/>
      <c r="L39" s="196"/>
    </row>
    <row r="40" spans="1:12" ht="20.25" customHeight="1">
      <c r="A40" s="885" t="s">
        <v>758</v>
      </c>
      <c r="B40" s="569"/>
      <c r="C40" s="570"/>
      <c r="D40" s="570"/>
      <c r="E40" s="570">
        <v>249.19130749999999</v>
      </c>
      <c r="F40" s="570">
        <v>249.19130749999999</v>
      </c>
      <c r="G40" s="777">
        <v>1060.98002</v>
      </c>
      <c r="H40" s="196"/>
      <c r="I40" s="577"/>
      <c r="J40" s="577"/>
      <c r="K40" s="196"/>
      <c r="L40" s="196"/>
    </row>
    <row r="41" spans="1:12" ht="9.75" customHeight="1">
      <c r="A41" s="770" t="s">
        <v>116</v>
      </c>
      <c r="B41" s="708" t="s">
        <v>74</v>
      </c>
      <c r="C41" s="709"/>
      <c r="D41" s="709"/>
      <c r="E41" s="709">
        <v>1723.68308</v>
      </c>
      <c r="F41" s="709">
        <v>1723.68308</v>
      </c>
      <c r="G41" s="776">
        <v>13831.576952499996</v>
      </c>
      <c r="H41" s="196"/>
      <c r="I41" s="577"/>
      <c r="J41" s="577"/>
      <c r="K41" s="196"/>
      <c r="L41" s="196"/>
    </row>
    <row r="42" spans="1:12" ht="9.75" customHeight="1">
      <c r="A42" s="772" t="s">
        <v>322</v>
      </c>
      <c r="B42" s="569"/>
      <c r="C42" s="570"/>
      <c r="D42" s="570"/>
      <c r="E42" s="570">
        <v>1723.68308</v>
      </c>
      <c r="F42" s="570">
        <v>1723.68308</v>
      </c>
      <c r="G42" s="777">
        <v>13831.576952499996</v>
      </c>
      <c r="H42" s="196"/>
      <c r="I42" s="577"/>
      <c r="J42" s="577"/>
      <c r="K42" s="196"/>
      <c r="L42" s="196"/>
    </row>
    <row r="43" spans="1:12" ht="9.75" customHeight="1">
      <c r="A43" s="770" t="s">
        <v>500</v>
      </c>
      <c r="B43" s="708" t="s">
        <v>562</v>
      </c>
      <c r="C43" s="709"/>
      <c r="D43" s="709"/>
      <c r="E43" s="709">
        <v>5760.4991300000002</v>
      </c>
      <c r="F43" s="709">
        <v>5760.4991300000002</v>
      </c>
      <c r="G43" s="776">
        <v>50441.544307499978</v>
      </c>
      <c r="H43" s="196"/>
      <c r="I43" s="577"/>
      <c r="J43" s="577"/>
      <c r="K43" s="196"/>
      <c r="L43" s="196"/>
    </row>
    <row r="44" spans="1:12" ht="9.75" customHeight="1">
      <c r="A44" s="772" t="s">
        <v>501</v>
      </c>
      <c r="B44" s="569"/>
      <c r="C44" s="570"/>
      <c r="D44" s="570"/>
      <c r="E44" s="570">
        <v>5760.4991300000002</v>
      </c>
      <c r="F44" s="570">
        <v>5760.4991300000002</v>
      </c>
      <c r="G44" s="777">
        <v>50441.544307499978</v>
      </c>
      <c r="H44" s="196"/>
      <c r="I44" s="577"/>
      <c r="J44" s="577"/>
      <c r="K44" s="196"/>
      <c r="L44" s="196"/>
    </row>
    <row r="45" spans="1:12" ht="9.75" customHeight="1">
      <c r="A45" s="770" t="s">
        <v>90</v>
      </c>
      <c r="B45" s="708" t="s">
        <v>323</v>
      </c>
      <c r="C45" s="709">
        <v>473336.37060000002</v>
      </c>
      <c r="D45" s="709"/>
      <c r="E45" s="709"/>
      <c r="F45" s="709">
        <v>473336.37060000002</v>
      </c>
      <c r="G45" s="776">
        <v>3189640.3128000046</v>
      </c>
      <c r="H45" s="196"/>
      <c r="I45" s="577"/>
      <c r="J45" s="577"/>
      <c r="K45" s="196"/>
      <c r="L45" s="196"/>
    </row>
    <row r="46" spans="1:12" ht="9.75" customHeight="1">
      <c r="A46" s="770"/>
      <c r="B46" s="708" t="s">
        <v>324</v>
      </c>
      <c r="C46" s="709">
        <v>156204.56255999999</v>
      </c>
      <c r="D46" s="709"/>
      <c r="E46" s="709"/>
      <c r="F46" s="709">
        <v>156204.56255999999</v>
      </c>
      <c r="G46" s="776">
        <v>1018404.3297600014</v>
      </c>
      <c r="H46" s="196"/>
      <c r="I46" s="577"/>
      <c r="J46" s="577"/>
      <c r="K46" s="196"/>
      <c r="L46" s="196"/>
    </row>
    <row r="47" spans="1:12" ht="9.75" customHeight="1">
      <c r="A47" s="770"/>
      <c r="B47" s="708" t="s">
        <v>325</v>
      </c>
      <c r="C47" s="709"/>
      <c r="D47" s="709">
        <v>137.35237749999999</v>
      </c>
      <c r="E47" s="709"/>
      <c r="F47" s="709">
        <v>137.35237749999999</v>
      </c>
      <c r="G47" s="776">
        <v>226.88173499999999</v>
      </c>
      <c r="H47" s="196"/>
      <c r="I47" s="577"/>
      <c r="J47" s="577"/>
      <c r="K47" s="196"/>
      <c r="L47" s="196"/>
    </row>
    <row r="48" spans="1:12" ht="9.75" customHeight="1">
      <c r="A48" s="772" t="s">
        <v>326</v>
      </c>
      <c r="B48" s="569"/>
      <c r="C48" s="570">
        <v>629540.93316000002</v>
      </c>
      <c r="D48" s="570">
        <v>137.35237749999999</v>
      </c>
      <c r="E48" s="570"/>
      <c r="F48" s="570">
        <v>629678.28553750005</v>
      </c>
      <c r="G48" s="777">
        <v>4208271.5242950059</v>
      </c>
      <c r="H48" s="196"/>
      <c r="I48" s="577"/>
      <c r="J48" s="577"/>
      <c r="K48" s="196"/>
      <c r="L48" s="196"/>
    </row>
    <row r="49" spans="1:12" ht="9.75" customHeight="1">
      <c r="A49" s="770" t="s">
        <v>249</v>
      </c>
      <c r="B49" s="708" t="s">
        <v>327</v>
      </c>
      <c r="C49" s="709">
        <v>88000.3226325</v>
      </c>
      <c r="D49" s="709"/>
      <c r="E49" s="709"/>
      <c r="F49" s="709">
        <v>88000.3226325</v>
      </c>
      <c r="G49" s="776">
        <v>1567706.8924524998</v>
      </c>
      <c r="H49" s="196"/>
      <c r="I49" s="577"/>
      <c r="J49" s="577"/>
      <c r="K49" s="196"/>
      <c r="L49" s="196"/>
    </row>
    <row r="50" spans="1:12" ht="9.75" customHeight="1">
      <c r="A50" s="770"/>
      <c r="B50" s="708" t="s">
        <v>328</v>
      </c>
      <c r="C50" s="709">
        <v>4339.8062275000002</v>
      </c>
      <c r="D50" s="709"/>
      <c r="E50" s="709"/>
      <c r="F50" s="709">
        <v>4339.8062275000002</v>
      </c>
      <c r="G50" s="776">
        <v>29730.479019999995</v>
      </c>
      <c r="H50" s="196"/>
      <c r="I50" s="577"/>
      <c r="J50" s="577"/>
      <c r="K50" s="196"/>
      <c r="L50" s="196"/>
    </row>
    <row r="51" spans="1:12" ht="9.75" customHeight="1">
      <c r="A51" s="772" t="s">
        <v>329</v>
      </c>
      <c r="B51" s="569"/>
      <c r="C51" s="570">
        <v>92340.128859999997</v>
      </c>
      <c r="D51" s="570"/>
      <c r="E51" s="570"/>
      <c r="F51" s="570">
        <v>92340.128859999997</v>
      </c>
      <c r="G51" s="777">
        <v>1597437.3714724998</v>
      </c>
      <c r="H51" s="196"/>
      <c r="I51" s="577"/>
      <c r="J51" s="577"/>
      <c r="K51" s="196"/>
      <c r="L51" s="196"/>
    </row>
    <row r="52" spans="1:12" ht="9.75" customHeight="1">
      <c r="A52" s="770" t="s">
        <v>250</v>
      </c>
      <c r="B52" s="708" t="s">
        <v>330</v>
      </c>
      <c r="C52" s="709">
        <v>35189.583937500007</v>
      </c>
      <c r="D52" s="709"/>
      <c r="E52" s="709"/>
      <c r="F52" s="709">
        <v>35189.583937500007</v>
      </c>
      <c r="G52" s="776">
        <v>226512.26910750003</v>
      </c>
      <c r="H52" s="196"/>
      <c r="I52" s="577"/>
      <c r="J52" s="577"/>
      <c r="K52" s="196"/>
      <c r="L52" s="196"/>
    </row>
    <row r="53" spans="1:12" ht="9.75" customHeight="1">
      <c r="A53" s="772" t="s">
        <v>331</v>
      </c>
      <c r="B53" s="569"/>
      <c r="C53" s="570">
        <v>35189.583937500007</v>
      </c>
      <c r="D53" s="570"/>
      <c r="E53" s="570"/>
      <c r="F53" s="570">
        <v>35189.583937500007</v>
      </c>
      <c r="G53" s="777">
        <v>226512.26910750003</v>
      </c>
      <c r="H53" s="111"/>
      <c r="I53" s="483"/>
      <c r="J53" s="577"/>
      <c r="K53" s="196"/>
      <c r="L53" s="196"/>
    </row>
    <row r="54" spans="1:12" ht="24.75" customHeight="1">
      <c r="A54" s="774" t="s">
        <v>753</v>
      </c>
      <c r="B54" s="708" t="s">
        <v>61</v>
      </c>
      <c r="C54" s="709"/>
      <c r="D54" s="709"/>
      <c r="E54" s="709">
        <v>3162.7134274999999</v>
      </c>
      <c r="F54" s="709">
        <v>3162.7134274999999</v>
      </c>
      <c r="G54" s="776">
        <v>63667.689415000037</v>
      </c>
      <c r="H54" s="111"/>
      <c r="I54" s="483"/>
      <c r="J54" s="577"/>
      <c r="K54" s="196"/>
      <c r="L54" s="196"/>
    </row>
    <row r="55" spans="1:12" ht="9.75" customHeight="1">
      <c r="A55" s="770"/>
      <c r="B55" s="708" t="s">
        <v>58</v>
      </c>
      <c r="C55" s="709"/>
      <c r="D55" s="709"/>
      <c r="E55" s="709">
        <v>4689.0980099999997</v>
      </c>
      <c r="F55" s="709">
        <v>4689.0980099999997</v>
      </c>
      <c r="G55" s="776">
        <v>77367.937254999997</v>
      </c>
      <c r="H55" s="111"/>
      <c r="I55" s="483"/>
      <c r="J55" s="577"/>
      <c r="K55" s="196"/>
      <c r="L55" s="196"/>
    </row>
    <row r="56" spans="1:12" s="861" customFormat="1" ht="9.75" customHeight="1">
      <c r="A56" s="770"/>
      <c r="B56" s="708" t="s">
        <v>66</v>
      </c>
      <c r="C56" s="709"/>
      <c r="D56" s="709"/>
      <c r="E56" s="709">
        <v>1704.3253775000001</v>
      </c>
      <c r="F56" s="709">
        <v>1704.3253775000001</v>
      </c>
      <c r="G56" s="776">
        <v>34302.848812499993</v>
      </c>
      <c r="H56" s="111"/>
      <c r="I56" s="483"/>
      <c r="J56" s="577"/>
      <c r="K56" s="196"/>
      <c r="L56" s="196"/>
    </row>
    <row r="57" spans="1:12" s="861" customFormat="1" ht="9.75" customHeight="1">
      <c r="A57" s="770"/>
      <c r="B57" s="708" t="s">
        <v>65</v>
      </c>
      <c r="C57" s="709"/>
      <c r="D57" s="709"/>
      <c r="E57" s="709">
        <v>1949.1663349999999</v>
      </c>
      <c r="F57" s="709">
        <v>1949.1663349999999</v>
      </c>
      <c r="G57" s="776">
        <v>36132.461605000004</v>
      </c>
      <c r="H57" s="111"/>
      <c r="I57" s="483"/>
      <c r="J57" s="577"/>
      <c r="K57" s="196"/>
      <c r="L57" s="196"/>
    </row>
    <row r="58" spans="1:12" s="861" customFormat="1" ht="9.75" customHeight="1">
      <c r="A58" s="770"/>
      <c r="B58" s="708" t="s">
        <v>69</v>
      </c>
      <c r="C58" s="709"/>
      <c r="D58" s="709"/>
      <c r="E58" s="709">
        <v>1078.0757599999999</v>
      </c>
      <c r="F58" s="709">
        <v>1078.0757599999999</v>
      </c>
      <c r="G58" s="776">
        <v>22312.452417499993</v>
      </c>
      <c r="H58" s="111"/>
      <c r="I58" s="483"/>
      <c r="J58" s="577"/>
      <c r="K58" s="196"/>
      <c r="L58" s="196"/>
    </row>
    <row r="59" spans="1:12" s="861" customFormat="1" ht="9.75" customHeight="1">
      <c r="A59" s="770"/>
      <c r="B59" s="708" t="s">
        <v>68</v>
      </c>
      <c r="C59" s="709"/>
      <c r="D59" s="709"/>
      <c r="E59" s="709">
        <v>1322.6018549999999</v>
      </c>
      <c r="F59" s="709">
        <v>1322.6018549999999</v>
      </c>
      <c r="G59" s="776">
        <v>24118.929969999997</v>
      </c>
      <c r="H59" s="111"/>
      <c r="I59" s="483"/>
      <c r="J59" s="577"/>
      <c r="K59" s="196"/>
      <c r="L59" s="196"/>
    </row>
    <row r="60" spans="1:12" ht="21" customHeight="1">
      <c r="A60" s="885" t="s">
        <v>757</v>
      </c>
      <c r="B60" s="569"/>
      <c r="C60" s="570"/>
      <c r="D60" s="570"/>
      <c r="E60" s="570">
        <v>13905.980765</v>
      </c>
      <c r="F60" s="570">
        <v>13905.980765</v>
      </c>
      <c r="G60" s="570">
        <v>257902.319475</v>
      </c>
      <c r="H60" s="111"/>
      <c r="I60" s="483"/>
      <c r="J60" s="577"/>
      <c r="K60" s="196"/>
      <c r="L60" s="196"/>
    </row>
    <row r="61" spans="1:12" ht="9.75" customHeight="1">
      <c r="A61" s="770" t="s">
        <v>89</v>
      </c>
      <c r="B61" s="708" t="s">
        <v>560</v>
      </c>
      <c r="C61" s="709">
        <v>49965.023347499999</v>
      </c>
      <c r="D61" s="709"/>
      <c r="E61" s="709"/>
      <c r="F61" s="709">
        <v>49965.023347499999</v>
      </c>
      <c r="G61" s="776">
        <v>240844.58772499999</v>
      </c>
      <c r="H61" s="111"/>
      <c r="I61" s="483"/>
      <c r="J61" s="577"/>
      <c r="K61" s="196"/>
      <c r="L61" s="196"/>
    </row>
    <row r="62" spans="1:12" ht="9.75" customHeight="1">
      <c r="A62" s="770"/>
      <c r="B62" s="708" t="s">
        <v>332</v>
      </c>
      <c r="C62" s="709">
        <v>20287.7313675</v>
      </c>
      <c r="D62" s="709"/>
      <c r="E62" s="709"/>
      <c r="F62" s="709">
        <v>20287.7313675</v>
      </c>
      <c r="G62" s="776">
        <v>129126.7204525</v>
      </c>
      <c r="H62" s="197"/>
      <c r="I62" s="577"/>
      <c r="J62" s="577"/>
      <c r="K62" s="196"/>
      <c r="L62" s="196"/>
    </row>
    <row r="63" spans="1:12" ht="9.75" customHeight="1">
      <c r="A63" s="770"/>
      <c r="B63" s="708" t="s">
        <v>333</v>
      </c>
      <c r="C63" s="709">
        <v>89285.433287499996</v>
      </c>
      <c r="D63" s="709"/>
      <c r="E63" s="709"/>
      <c r="F63" s="709">
        <v>89285.433287499996</v>
      </c>
      <c r="G63" s="776">
        <v>750946.96486749989</v>
      </c>
      <c r="H63" s="197"/>
      <c r="I63" s="577"/>
      <c r="J63" s="577"/>
      <c r="K63" s="196"/>
      <c r="L63" s="196"/>
    </row>
    <row r="64" spans="1:12" ht="9.75" customHeight="1">
      <c r="A64" s="770"/>
      <c r="B64" s="708" t="s">
        <v>334</v>
      </c>
      <c r="C64" s="709">
        <v>60906.634052499998</v>
      </c>
      <c r="D64" s="709"/>
      <c r="E64" s="709"/>
      <c r="F64" s="709">
        <v>60906.634052499998</v>
      </c>
      <c r="G64" s="776">
        <v>554286.48806500016</v>
      </c>
      <c r="H64" s="197"/>
      <c r="I64" s="577"/>
      <c r="J64" s="577"/>
      <c r="K64" s="196"/>
      <c r="L64" s="196"/>
    </row>
    <row r="65" spans="1:12" ht="9.75" customHeight="1">
      <c r="A65" s="770"/>
      <c r="B65" s="708" t="s">
        <v>335</v>
      </c>
      <c r="C65" s="709">
        <v>46580.3341325</v>
      </c>
      <c r="D65" s="709"/>
      <c r="E65" s="709"/>
      <c r="F65" s="709">
        <v>46580.3341325</v>
      </c>
      <c r="G65" s="776">
        <v>307691.88184999995</v>
      </c>
      <c r="H65" s="197"/>
      <c r="I65" s="577"/>
      <c r="J65" s="577"/>
      <c r="K65" s="196"/>
      <c r="L65" s="196"/>
    </row>
    <row r="66" spans="1:12" ht="9.75" customHeight="1">
      <c r="A66" s="770"/>
      <c r="B66" s="708" t="s">
        <v>336</v>
      </c>
      <c r="C66" s="709"/>
      <c r="D66" s="709">
        <v>1814.4365224999999</v>
      </c>
      <c r="E66" s="709"/>
      <c r="F66" s="709">
        <v>1814.4365224999999</v>
      </c>
      <c r="G66" s="776">
        <v>44523.145822499995</v>
      </c>
      <c r="H66" s="197"/>
      <c r="I66" s="577"/>
      <c r="J66" s="577"/>
      <c r="K66" s="196"/>
      <c r="L66" s="196"/>
    </row>
    <row r="67" spans="1:12" ht="9.75" customHeight="1">
      <c r="A67" s="770"/>
      <c r="B67" s="708" t="s">
        <v>337</v>
      </c>
      <c r="C67" s="709"/>
      <c r="D67" s="709">
        <v>10033.5536975</v>
      </c>
      <c r="E67" s="709"/>
      <c r="F67" s="709">
        <v>10033.5536975</v>
      </c>
      <c r="G67" s="776">
        <v>201991.87484499998</v>
      </c>
      <c r="H67" s="197"/>
      <c r="I67" s="577"/>
      <c r="J67" s="577"/>
      <c r="K67" s="196"/>
      <c r="L67" s="196"/>
    </row>
    <row r="68" spans="1:12" ht="9.75" customHeight="1">
      <c r="A68" s="770"/>
      <c r="B68" s="708" t="s">
        <v>338</v>
      </c>
      <c r="C68" s="709"/>
      <c r="D68" s="709">
        <v>299553.261275</v>
      </c>
      <c r="E68" s="709"/>
      <c r="F68" s="709">
        <v>299553.261275</v>
      </c>
      <c r="G68" s="776">
        <v>1657226.4076625004</v>
      </c>
      <c r="I68" s="356"/>
      <c r="J68" s="577"/>
      <c r="K68" s="196"/>
      <c r="L68" s="196"/>
    </row>
    <row r="69" spans="1:12" ht="9.75" customHeight="1">
      <c r="A69" s="770"/>
      <c r="B69" s="708" t="s">
        <v>490</v>
      </c>
      <c r="C69" s="709"/>
      <c r="D69" s="709"/>
      <c r="E69" s="709">
        <v>471.2947825</v>
      </c>
      <c r="F69" s="709">
        <v>471.2947825</v>
      </c>
      <c r="G69" s="776">
        <v>2213.4077074999996</v>
      </c>
      <c r="I69" s="356"/>
      <c r="J69" s="577"/>
      <c r="K69" s="196"/>
      <c r="L69" s="196"/>
    </row>
    <row r="70" spans="1:12" ht="9.75" customHeight="1">
      <c r="A70" s="772" t="s">
        <v>339</v>
      </c>
      <c r="B70" s="569"/>
      <c r="C70" s="570">
        <v>267025.15618749999</v>
      </c>
      <c r="D70" s="570">
        <v>311401.25149499997</v>
      </c>
      <c r="E70" s="570">
        <v>471.2947825</v>
      </c>
      <c r="F70" s="570">
        <v>578897.7024650001</v>
      </c>
      <c r="G70" s="777">
        <v>3888851.4789975001</v>
      </c>
      <c r="I70" s="356"/>
      <c r="J70" s="577"/>
      <c r="K70" s="196"/>
      <c r="L70" s="196"/>
    </row>
    <row r="71" spans="1:12" ht="9.75" customHeight="1">
      <c r="A71" s="770" t="s">
        <v>97</v>
      </c>
      <c r="B71" s="708" t="s">
        <v>340</v>
      </c>
      <c r="C71" s="709"/>
      <c r="D71" s="709">
        <v>423.72645499999999</v>
      </c>
      <c r="E71" s="709"/>
      <c r="F71" s="709">
        <v>423.72645499999999</v>
      </c>
      <c r="G71" s="776">
        <v>9298.9069125000005</v>
      </c>
      <c r="I71" s="356"/>
      <c r="J71" s="577"/>
      <c r="K71" s="196"/>
      <c r="L71" s="196"/>
    </row>
    <row r="72" spans="1:12" ht="9.75" customHeight="1">
      <c r="A72" s="770"/>
      <c r="B72" s="708" t="s">
        <v>341</v>
      </c>
      <c r="C72" s="709"/>
      <c r="D72" s="709">
        <v>57182.594347500002</v>
      </c>
      <c r="E72" s="709"/>
      <c r="F72" s="709">
        <v>57182.594347500002</v>
      </c>
      <c r="G72" s="776">
        <v>176226.82639749997</v>
      </c>
      <c r="I72" s="356"/>
      <c r="J72" s="577"/>
      <c r="K72" s="196"/>
      <c r="L72" s="196"/>
    </row>
    <row r="73" spans="1:12" ht="9.75" customHeight="1">
      <c r="A73" s="770"/>
      <c r="B73" s="708" t="s">
        <v>342</v>
      </c>
      <c r="C73" s="709"/>
      <c r="D73" s="709">
        <v>6731.7134825000003</v>
      </c>
      <c r="E73" s="709"/>
      <c r="F73" s="709">
        <v>6731.7134825000003</v>
      </c>
      <c r="G73" s="776">
        <v>174976.57628499999</v>
      </c>
      <c r="I73" s="356"/>
      <c r="J73" s="577"/>
      <c r="K73" s="196"/>
      <c r="L73" s="196"/>
    </row>
    <row r="74" spans="1:12" ht="9.75" customHeight="1">
      <c r="A74" s="772" t="s">
        <v>343</v>
      </c>
      <c r="B74" s="569"/>
      <c r="C74" s="570"/>
      <c r="D74" s="570">
        <v>64338.034285000009</v>
      </c>
      <c r="E74" s="570"/>
      <c r="F74" s="570">
        <v>64338.034285000009</v>
      </c>
      <c r="G74" s="777">
        <v>360502.309595</v>
      </c>
      <c r="I74" s="356"/>
      <c r="J74" s="577"/>
      <c r="K74" s="196"/>
      <c r="L74" s="196"/>
    </row>
    <row r="75" spans="1:12" ht="9.75" customHeight="1">
      <c r="A75" s="770" t="s">
        <v>99</v>
      </c>
      <c r="B75" s="708" t="s">
        <v>522</v>
      </c>
      <c r="C75" s="709"/>
      <c r="D75" s="709"/>
      <c r="E75" s="709">
        <v>31818.564655000002</v>
      </c>
      <c r="F75" s="709">
        <v>31818.564655000002</v>
      </c>
      <c r="G75" s="776">
        <v>217614.67156999995</v>
      </c>
      <c r="I75" s="356"/>
      <c r="J75" s="577"/>
      <c r="K75" s="196"/>
      <c r="L75" s="196"/>
    </row>
    <row r="76" spans="1:12" ht="9.75" customHeight="1">
      <c r="A76" s="770"/>
      <c r="B76" s="708" t="s">
        <v>521</v>
      </c>
      <c r="C76" s="709"/>
      <c r="D76" s="709"/>
      <c r="E76" s="709">
        <v>58411.027837499998</v>
      </c>
      <c r="F76" s="709">
        <v>58411.027837499998</v>
      </c>
      <c r="G76" s="776">
        <v>331826.07266749995</v>
      </c>
      <c r="I76" s="356"/>
      <c r="J76" s="577"/>
      <c r="K76" s="196"/>
      <c r="L76" s="196"/>
    </row>
    <row r="77" spans="1:12" ht="9.75" customHeight="1">
      <c r="A77" s="772" t="s">
        <v>344</v>
      </c>
      <c r="B77" s="569"/>
      <c r="C77" s="570"/>
      <c r="D77" s="570"/>
      <c r="E77" s="570">
        <v>90229.5924925</v>
      </c>
      <c r="F77" s="570">
        <v>90229.5924925</v>
      </c>
      <c r="G77" s="777">
        <v>549440.74423749989</v>
      </c>
      <c r="I77" s="356"/>
      <c r="J77" s="577"/>
      <c r="K77" s="196"/>
      <c r="L77" s="196"/>
    </row>
    <row r="78" spans="1:12" ht="9.75" customHeight="1">
      <c r="A78" s="770" t="s">
        <v>98</v>
      </c>
      <c r="B78" s="708" t="s">
        <v>78</v>
      </c>
      <c r="C78" s="709"/>
      <c r="D78" s="709"/>
      <c r="E78" s="709">
        <v>25404.174459999998</v>
      </c>
      <c r="F78" s="709">
        <v>25404.174459999998</v>
      </c>
      <c r="G78" s="776">
        <v>186868.51908499998</v>
      </c>
      <c r="I78" s="356"/>
      <c r="J78" s="577"/>
      <c r="K78" s="196"/>
      <c r="L78" s="196"/>
    </row>
    <row r="79" spans="1:12" ht="9.75" customHeight="1">
      <c r="A79" s="770"/>
      <c r="B79" s="708" t="s">
        <v>80</v>
      </c>
      <c r="C79" s="709"/>
      <c r="D79" s="709"/>
      <c r="E79" s="709">
        <v>13097.4931175</v>
      </c>
      <c r="F79" s="709">
        <v>13097.4931175</v>
      </c>
      <c r="G79" s="776">
        <v>64683.404332499995</v>
      </c>
      <c r="I79" s="356"/>
      <c r="J79" s="577"/>
      <c r="K79" s="196"/>
      <c r="L79" s="196"/>
    </row>
    <row r="80" spans="1:12" ht="9.75" customHeight="1">
      <c r="A80" s="790" t="s">
        <v>345</v>
      </c>
      <c r="B80" s="718"/>
      <c r="C80" s="719"/>
      <c r="D80" s="719"/>
      <c r="E80" s="719">
        <v>38501.667577499997</v>
      </c>
      <c r="F80" s="719">
        <v>38501.667577499997</v>
      </c>
      <c r="G80" s="791">
        <v>251551.92341749999</v>
      </c>
    </row>
    <row r="81" spans="1:7" ht="9.75" customHeight="1">
      <c r="A81" s="356"/>
      <c r="B81" s="356"/>
      <c r="C81" s="471"/>
      <c r="D81" s="471"/>
      <c r="E81" s="471"/>
      <c r="F81" s="356"/>
      <c r="G81" s="356"/>
    </row>
    <row r="82" spans="1:7" ht="9.75" customHeight="1">
      <c r="A82" s="356"/>
      <c r="B82" s="356"/>
      <c r="C82" s="471"/>
      <c r="D82" s="471"/>
      <c r="E82" s="471"/>
      <c r="F82" s="356"/>
      <c r="G82" s="356"/>
    </row>
    <row r="83" spans="1:7" ht="9.75" customHeight="1">
      <c r="A83" s="356"/>
      <c r="B83" s="356"/>
      <c r="C83" s="471"/>
      <c r="D83" s="471"/>
      <c r="E83" s="471"/>
      <c r="F83" s="356"/>
      <c r="G83" s="356"/>
    </row>
    <row r="84" spans="1:7" ht="9.75" customHeight="1">
      <c r="A84" s="356"/>
      <c r="B84" s="356"/>
      <c r="C84" s="471"/>
      <c r="D84" s="471"/>
      <c r="E84" s="471"/>
      <c r="F84" s="356"/>
      <c r="G84" s="356"/>
    </row>
    <row r="85" spans="1:7" ht="9.75" customHeight="1">
      <c r="A85" s="356"/>
      <c r="B85" s="356"/>
      <c r="C85" s="471"/>
      <c r="D85" s="471"/>
      <c r="E85" s="471"/>
      <c r="F85" s="356"/>
      <c r="G85" s="356"/>
    </row>
    <row r="86" spans="1:7" ht="9.75" customHeight="1">
      <c r="A86" s="356"/>
      <c r="B86" s="356"/>
      <c r="C86" s="471"/>
      <c r="D86" s="471"/>
      <c r="E86" s="471"/>
      <c r="F86" s="356"/>
      <c r="G86" s="356"/>
    </row>
    <row r="87" spans="1:7" ht="9.75" customHeight="1">
      <c r="A87" s="356"/>
      <c r="B87" s="356"/>
      <c r="C87" s="471"/>
      <c r="D87" s="471"/>
      <c r="E87" s="471"/>
      <c r="F87" s="356"/>
      <c r="G87" s="356"/>
    </row>
    <row r="88" spans="1:7" ht="9.75" customHeight="1">
      <c r="A88" s="356"/>
      <c r="B88" s="356"/>
      <c r="C88" s="471"/>
      <c r="D88" s="471"/>
      <c r="E88" s="471"/>
      <c r="F88" s="356"/>
      <c r="G88" s="356"/>
    </row>
    <row r="89" spans="1:7" ht="9.75" customHeight="1">
      <c r="A89" s="356"/>
      <c r="B89" s="356"/>
      <c r="C89" s="471"/>
      <c r="D89" s="471"/>
      <c r="E89" s="471"/>
      <c r="F89" s="356"/>
      <c r="G89" s="356"/>
    </row>
    <row r="90" spans="1:7" ht="9.75" customHeight="1">
      <c r="A90" s="356"/>
      <c r="B90" s="356"/>
      <c r="C90" s="471"/>
      <c r="D90" s="471"/>
      <c r="E90" s="471"/>
      <c r="F90" s="356"/>
      <c r="G90" s="356"/>
    </row>
    <row r="91" spans="1:7" ht="9.75" customHeight="1">
      <c r="A91" s="356"/>
      <c r="B91" s="356"/>
      <c r="C91" s="471"/>
      <c r="D91" s="471"/>
      <c r="E91" s="471"/>
      <c r="F91" s="356"/>
      <c r="G91" s="356"/>
    </row>
    <row r="92" spans="1:7" ht="9.75" customHeight="1">
      <c r="A92" s="356"/>
      <c r="B92" s="356"/>
      <c r="C92" s="471"/>
      <c r="D92" s="471"/>
      <c r="E92" s="471"/>
      <c r="F92" s="356"/>
      <c r="G92" s="356"/>
    </row>
    <row r="93" spans="1:7" ht="9.75" customHeight="1">
      <c r="A93" s="356"/>
      <c r="B93" s="356"/>
      <c r="C93" s="471"/>
      <c r="D93" s="471"/>
      <c r="E93" s="471"/>
      <c r="F93" s="356"/>
      <c r="G93" s="356"/>
    </row>
    <row r="94" spans="1:7" ht="9.75" customHeight="1">
      <c r="A94" s="356"/>
      <c r="B94" s="356"/>
      <c r="C94" s="471"/>
      <c r="D94" s="471"/>
      <c r="E94" s="471"/>
      <c r="F94" s="356"/>
      <c r="G94" s="356"/>
    </row>
    <row r="95" spans="1:7" ht="9.75" customHeight="1">
      <c r="A95" s="356"/>
      <c r="B95" s="356"/>
      <c r="C95" s="471"/>
      <c r="D95" s="471"/>
      <c r="E95" s="471"/>
      <c r="F95" s="356"/>
      <c r="G95" s="356"/>
    </row>
    <row r="96" spans="1:7" ht="9.75" customHeight="1">
      <c r="A96" s="356"/>
      <c r="B96" s="356"/>
      <c r="C96" s="471"/>
      <c r="D96" s="471"/>
      <c r="E96" s="471"/>
      <c r="F96" s="356"/>
      <c r="G96" s="356"/>
    </row>
    <row r="97" spans="1:7" ht="9.75" customHeight="1">
      <c r="A97" s="356"/>
      <c r="B97" s="356"/>
      <c r="C97" s="471"/>
      <c r="D97" s="471"/>
      <c r="E97" s="471"/>
      <c r="F97" s="356"/>
      <c r="G97" s="356"/>
    </row>
    <row r="98" spans="1:7" ht="9.75" customHeight="1">
      <c r="A98" s="356"/>
      <c r="B98" s="356"/>
      <c r="C98" s="471"/>
      <c r="D98" s="471"/>
      <c r="E98" s="471"/>
      <c r="F98" s="356"/>
      <c r="G98" s="356"/>
    </row>
    <row r="99" spans="1:7" ht="9.75" customHeight="1">
      <c r="A99" s="356"/>
      <c r="B99" s="356"/>
      <c r="C99" s="471"/>
      <c r="D99" s="471"/>
      <c r="E99" s="471"/>
      <c r="F99" s="356"/>
      <c r="G99" s="356"/>
    </row>
    <row r="100" spans="1:7" ht="9.75" customHeight="1">
      <c r="A100" s="356"/>
      <c r="B100" s="356"/>
      <c r="C100" s="471"/>
      <c r="D100" s="471"/>
      <c r="E100" s="471"/>
      <c r="F100" s="356"/>
      <c r="G100" s="356"/>
    </row>
    <row r="101" spans="1:7" ht="9.75" customHeight="1">
      <c r="A101" s="356"/>
      <c r="B101" s="356"/>
      <c r="C101" s="471"/>
      <c r="D101" s="471"/>
      <c r="E101" s="471"/>
      <c r="F101" s="356"/>
      <c r="G101" s="356"/>
    </row>
    <row r="102" spans="1:7" ht="9.75" customHeight="1">
      <c r="A102" s="356"/>
      <c r="B102" s="356"/>
      <c r="C102" s="471"/>
      <c r="D102" s="471"/>
      <c r="E102" s="471"/>
      <c r="F102" s="356"/>
      <c r="G102" s="356"/>
    </row>
    <row r="103" spans="1:7" ht="9.75" customHeight="1">
      <c r="A103" s="356"/>
      <c r="B103" s="356"/>
      <c r="C103" s="471"/>
      <c r="D103" s="471"/>
      <c r="E103" s="471"/>
      <c r="F103" s="356"/>
      <c r="G103" s="356"/>
    </row>
    <row r="104" spans="1:7" ht="9.75" customHeight="1">
      <c r="A104" s="356"/>
      <c r="B104" s="356"/>
      <c r="C104" s="471"/>
      <c r="D104" s="471"/>
      <c r="E104" s="471"/>
      <c r="F104" s="356"/>
      <c r="G104" s="356"/>
    </row>
    <row r="105" spans="1:7" ht="9.75" customHeight="1">
      <c r="A105" s="356"/>
      <c r="B105" s="356"/>
      <c r="C105" s="471"/>
      <c r="D105" s="471"/>
      <c r="E105" s="471"/>
      <c r="F105" s="356"/>
      <c r="G105" s="356"/>
    </row>
    <row r="106" spans="1:7" ht="9.75" customHeight="1">
      <c r="A106" s="356"/>
      <c r="B106" s="356"/>
      <c r="C106" s="471"/>
      <c r="D106" s="471"/>
      <c r="E106" s="471"/>
      <c r="F106" s="356"/>
      <c r="G106" s="356"/>
    </row>
    <row r="107" spans="1:7" ht="9.75" customHeight="1">
      <c r="A107" s="356"/>
      <c r="B107" s="356"/>
      <c r="C107" s="471"/>
      <c r="D107" s="471"/>
      <c r="E107" s="471"/>
      <c r="F107" s="356"/>
      <c r="G107" s="356"/>
    </row>
    <row r="108" spans="1:7" ht="9.75" customHeight="1">
      <c r="A108" s="356"/>
      <c r="B108" s="356"/>
      <c r="C108" s="471"/>
      <c r="D108" s="471"/>
      <c r="E108" s="471"/>
      <c r="F108" s="356"/>
      <c r="G108" s="356"/>
    </row>
    <row r="109" spans="1:7" ht="9.75" customHeight="1">
      <c r="A109" s="356"/>
      <c r="B109" s="356"/>
      <c r="C109" s="471"/>
      <c r="D109" s="471"/>
      <c r="E109" s="471"/>
      <c r="F109" s="356"/>
      <c r="G109" s="356"/>
    </row>
    <row r="110" spans="1:7" ht="9.75" customHeight="1">
      <c r="A110" s="356"/>
      <c r="B110" s="356"/>
      <c r="C110" s="471"/>
      <c r="D110" s="471"/>
      <c r="E110" s="471"/>
      <c r="F110" s="356"/>
      <c r="G110" s="356"/>
    </row>
    <row r="111" spans="1:7" ht="9.75" customHeight="1">
      <c r="A111" s="356"/>
      <c r="B111" s="356"/>
      <c r="C111" s="471"/>
      <c r="D111" s="471"/>
      <c r="E111" s="471"/>
      <c r="F111" s="356"/>
      <c r="G111" s="356"/>
    </row>
    <row r="112" spans="1:7" ht="9.75" customHeight="1">
      <c r="A112" s="356"/>
      <c r="B112" s="356"/>
      <c r="C112" s="471"/>
      <c r="D112" s="471"/>
      <c r="E112" s="471"/>
      <c r="F112" s="356"/>
      <c r="G112" s="356"/>
    </row>
    <row r="113" spans="1:7" ht="9.75" customHeight="1">
      <c r="A113" s="356"/>
      <c r="B113" s="356"/>
      <c r="C113" s="471"/>
      <c r="D113" s="471"/>
      <c r="E113" s="471"/>
      <c r="F113" s="356"/>
      <c r="G113" s="356"/>
    </row>
    <row r="114" spans="1:7" ht="9.75" customHeight="1">
      <c r="A114" s="356"/>
      <c r="B114" s="356"/>
      <c r="C114" s="471"/>
      <c r="D114" s="471"/>
      <c r="E114" s="471"/>
      <c r="F114" s="356"/>
      <c r="G114" s="356"/>
    </row>
    <row r="115" spans="1:7" ht="9.75" customHeight="1">
      <c r="A115" s="356"/>
      <c r="B115" s="356"/>
      <c r="C115" s="471"/>
      <c r="D115" s="471"/>
      <c r="E115" s="471"/>
      <c r="F115" s="356"/>
      <c r="G115" s="356"/>
    </row>
    <row r="116" spans="1:7" ht="9.75" customHeight="1">
      <c r="A116" s="356"/>
      <c r="B116" s="356"/>
      <c r="C116" s="471"/>
      <c r="D116" s="471"/>
      <c r="E116" s="471"/>
      <c r="F116" s="356"/>
      <c r="G116" s="356"/>
    </row>
    <row r="117" spans="1:7" ht="9.75" customHeight="1">
      <c r="A117" s="356"/>
      <c r="B117" s="356"/>
      <c r="C117" s="471"/>
      <c r="D117" s="471"/>
      <c r="E117" s="471"/>
      <c r="F117" s="356"/>
      <c r="G117" s="356"/>
    </row>
    <row r="118" spans="1:7" ht="9.75" customHeight="1">
      <c r="A118" s="356"/>
      <c r="B118" s="356"/>
      <c r="C118" s="471"/>
      <c r="D118" s="471"/>
      <c r="E118" s="471"/>
      <c r="F118" s="356"/>
      <c r="G118" s="356"/>
    </row>
    <row r="119" spans="1:7" ht="9.75" customHeight="1">
      <c r="A119" s="356"/>
      <c r="B119" s="356"/>
      <c r="C119" s="471"/>
      <c r="D119" s="471"/>
      <c r="E119" s="471"/>
      <c r="F119" s="356"/>
      <c r="G119" s="356"/>
    </row>
    <row r="120" spans="1:7" ht="9.75" customHeight="1">
      <c r="A120" s="356"/>
      <c r="B120" s="356"/>
      <c r="C120" s="471"/>
      <c r="D120" s="471"/>
      <c r="E120" s="471"/>
      <c r="F120" s="356"/>
      <c r="G120" s="356"/>
    </row>
    <row r="121" spans="1:7" ht="9.75" customHeight="1">
      <c r="A121" s="356"/>
      <c r="B121" s="356"/>
      <c r="C121" s="471"/>
      <c r="D121" s="471"/>
      <c r="E121" s="471"/>
      <c r="F121" s="356"/>
      <c r="G121" s="356"/>
    </row>
    <row r="122" spans="1:7" ht="9.75" customHeight="1">
      <c r="A122" s="356"/>
      <c r="B122" s="356"/>
      <c r="C122" s="471"/>
      <c r="D122" s="471"/>
      <c r="E122" s="471"/>
      <c r="F122" s="356"/>
      <c r="G122" s="356"/>
    </row>
    <row r="123" spans="1:7" ht="9.75" customHeight="1">
      <c r="A123" s="356"/>
      <c r="B123" s="356"/>
      <c r="C123" s="471"/>
      <c r="D123" s="471"/>
      <c r="E123" s="471"/>
      <c r="F123" s="356"/>
      <c r="G123" s="356"/>
    </row>
    <row r="124" spans="1:7" ht="9.75" customHeight="1">
      <c r="A124" s="356"/>
      <c r="B124" s="356"/>
      <c r="C124" s="471"/>
      <c r="D124" s="471"/>
      <c r="E124" s="471"/>
      <c r="F124" s="356"/>
      <c r="G124" s="356"/>
    </row>
    <row r="125" spans="1:7" ht="9.75" customHeight="1">
      <c r="A125" s="356"/>
      <c r="B125" s="356"/>
      <c r="C125" s="471"/>
      <c r="D125" s="471"/>
      <c r="E125" s="471"/>
      <c r="F125" s="356"/>
      <c r="G125" s="356"/>
    </row>
    <row r="126" spans="1:7" ht="9.75" customHeight="1">
      <c r="A126" s="356"/>
      <c r="B126" s="356"/>
      <c r="C126" s="471"/>
      <c r="D126" s="471"/>
      <c r="E126" s="471"/>
      <c r="F126" s="356"/>
      <c r="G126" s="356"/>
    </row>
    <row r="127" spans="1:7" ht="9.75" customHeight="1">
      <c r="A127" s="356"/>
      <c r="B127" s="356"/>
      <c r="C127" s="471"/>
      <c r="D127" s="471"/>
      <c r="E127" s="471"/>
      <c r="F127" s="356"/>
      <c r="G127" s="356"/>
    </row>
    <row r="128" spans="1:7" ht="9.75" customHeight="1">
      <c r="A128" s="356"/>
      <c r="B128" s="356"/>
      <c r="C128" s="471"/>
      <c r="D128" s="471"/>
      <c r="E128" s="471"/>
      <c r="F128" s="356"/>
      <c r="G128" s="356"/>
    </row>
    <row r="129" spans="1:7" ht="9.75" customHeight="1">
      <c r="A129" s="356"/>
      <c r="B129" s="356"/>
      <c r="C129" s="471"/>
      <c r="D129" s="471"/>
      <c r="E129" s="471"/>
      <c r="F129" s="356"/>
      <c r="G129" s="356"/>
    </row>
    <row r="130" spans="1:7" ht="9.75" customHeight="1">
      <c r="A130" s="356"/>
      <c r="B130" s="356"/>
      <c r="C130" s="471"/>
      <c r="D130" s="471"/>
      <c r="E130" s="471"/>
      <c r="F130" s="356"/>
      <c r="G130" s="356"/>
    </row>
    <row r="131" spans="1:7" ht="9.75" customHeight="1">
      <c r="A131" s="356"/>
      <c r="B131" s="356"/>
      <c r="C131" s="471"/>
      <c r="D131" s="471"/>
      <c r="E131" s="471"/>
      <c r="F131" s="356"/>
      <c r="G131" s="356"/>
    </row>
    <row r="132" spans="1:7" ht="9.75" customHeight="1">
      <c r="A132" s="356"/>
      <c r="B132" s="356"/>
      <c r="C132" s="471"/>
      <c r="D132" s="471"/>
      <c r="E132" s="471"/>
      <c r="F132" s="356"/>
      <c r="G132" s="356"/>
    </row>
    <row r="133" spans="1:7" ht="9.75" customHeight="1">
      <c r="A133" s="356"/>
      <c r="B133" s="356"/>
      <c r="C133" s="471"/>
      <c r="D133" s="471"/>
      <c r="E133" s="471"/>
      <c r="F133" s="356"/>
      <c r="G133" s="356"/>
    </row>
    <row r="134" spans="1:7" ht="9.75" customHeight="1">
      <c r="A134" s="356"/>
      <c r="B134" s="356"/>
      <c r="C134" s="471"/>
      <c r="D134" s="471"/>
      <c r="E134" s="471"/>
      <c r="F134" s="356"/>
      <c r="G134" s="356"/>
    </row>
    <row r="135" spans="1:7" ht="9.75" customHeight="1">
      <c r="A135" s="356"/>
      <c r="B135" s="356"/>
      <c r="C135" s="471"/>
      <c r="D135" s="471"/>
      <c r="E135" s="471"/>
      <c r="F135" s="356"/>
      <c r="G135" s="356"/>
    </row>
    <row r="136" spans="1:7" ht="9.75" customHeight="1">
      <c r="A136" s="356"/>
      <c r="B136" s="356"/>
      <c r="C136" s="471"/>
      <c r="D136" s="471"/>
      <c r="E136" s="471"/>
      <c r="F136" s="356"/>
      <c r="G136" s="356"/>
    </row>
    <row r="137" spans="1:7" ht="9.75" customHeight="1">
      <c r="A137" s="356"/>
      <c r="B137" s="356"/>
      <c r="C137" s="471"/>
      <c r="D137" s="471"/>
      <c r="E137" s="471"/>
      <c r="F137" s="356"/>
      <c r="G137" s="356"/>
    </row>
    <row r="138" spans="1:7" ht="9.75" customHeight="1">
      <c r="A138" s="356"/>
      <c r="B138" s="356"/>
      <c r="C138" s="471"/>
      <c r="D138" s="471"/>
      <c r="E138" s="471"/>
      <c r="F138" s="356"/>
      <c r="G138" s="356"/>
    </row>
    <row r="139" spans="1:7" ht="9.75" customHeight="1">
      <c r="A139" s="356"/>
      <c r="B139" s="356"/>
      <c r="C139" s="471"/>
      <c r="D139" s="471"/>
      <c r="E139" s="471"/>
      <c r="F139" s="356"/>
      <c r="G139" s="356"/>
    </row>
    <row r="140" spans="1:7" ht="9.75" customHeight="1">
      <c r="A140" s="356"/>
      <c r="B140" s="356"/>
      <c r="C140" s="471"/>
      <c r="D140" s="471"/>
      <c r="E140" s="471"/>
      <c r="F140" s="356"/>
      <c r="G140" s="356"/>
    </row>
    <row r="141" spans="1:7" ht="9.75" customHeight="1">
      <c r="A141" s="356"/>
      <c r="B141" s="356"/>
      <c r="C141" s="471"/>
      <c r="D141" s="471"/>
      <c r="E141" s="471"/>
      <c r="F141" s="356"/>
      <c r="G141" s="356"/>
    </row>
    <row r="142" spans="1:7" ht="9.75" customHeight="1">
      <c r="A142" s="356"/>
      <c r="B142" s="356"/>
      <c r="C142" s="471"/>
      <c r="D142" s="471"/>
      <c r="E142" s="471"/>
      <c r="F142" s="356"/>
      <c r="G142" s="356"/>
    </row>
    <row r="143" spans="1:7" ht="9.75" customHeight="1">
      <c r="A143" s="356"/>
      <c r="B143" s="356"/>
      <c r="C143" s="471"/>
      <c r="D143" s="471"/>
      <c r="E143" s="471"/>
      <c r="F143" s="356"/>
      <c r="G143" s="356"/>
    </row>
    <row r="144" spans="1:7" ht="9.75" customHeight="1">
      <c r="A144" s="356"/>
      <c r="B144" s="356"/>
      <c r="C144" s="471"/>
      <c r="D144" s="471"/>
      <c r="E144" s="471"/>
      <c r="F144" s="356"/>
      <c r="G144" s="356"/>
    </row>
    <row r="145" spans="1:7" ht="9.75" customHeight="1">
      <c r="A145" s="356"/>
      <c r="B145" s="356"/>
      <c r="C145" s="471"/>
      <c r="D145" s="471"/>
      <c r="E145" s="471"/>
      <c r="F145" s="356"/>
      <c r="G145" s="356"/>
    </row>
    <row r="146" spans="1:7" ht="9.75" customHeight="1">
      <c r="A146" s="356"/>
      <c r="B146" s="356"/>
      <c r="C146" s="471"/>
      <c r="D146" s="471"/>
      <c r="E146" s="471"/>
      <c r="F146" s="356"/>
      <c r="G146" s="356"/>
    </row>
    <row r="147" spans="1:7" ht="9.75" customHeight="1">
      <c r="A147" s="356"/>
      <c r="B147" s="356"/>
      <c r="C147" s="471"/>
      <c r="D147" s="471"/>
      <c r="E147" s="471"/>
      <c r="F147" s="356"/>
      <c r="G147" s="356"/>
    </row>
    <row r="148" spans="1:7" ht="9.75" customHeight="1">
      <c r="A148" s="356"/>
      <c r="B148" s="356"/>
      <c r="C148" s="471"/>
      <c r="D148" s="471"/>
      <c r="E148" s="471"/>
      <c r="F148" s="356"/>
      <c r="G148" s="356"/>
    </row>
    <row r="149" spans="1:7" ht="9.75" customHeight="1">
      <c r="A149" s="356"/>
      <c r="B149" s="356"/>
      <c r="C149" s="471"/>
      <c r="D149" s="471"/>
      <c r="E149" s="471"/>
      <c r="F149" s="356"/>
      <c r="G149" s="356"/>
    </row>
    <row r="150" spans="1:7" ht="9.75" customHeight="1">
      <c r="A150" s="356"/>
      <c r="B150" s="356"/>
      <c r="C150" s="471"/>
      <c r="D150" s="471"/>
      <c r="E150" s="471"/>
      <c r="F150" s="356"/>
      <c r="G150" s="356"/>
    </row>
    <row r="151" spans="1:7" ht="9.75" customHeight="1">
      <c r="A151" s="356"/>
      <c r="B151" s="356"/>
      <c r="C151" s="471"/>
      <c r="D151" s="471"/>
      <c r="E151" s="471"/>
      <c r="F151" s="356"/>
      <c r="G151" s="356"/>
    </row>
    <row r="152" spans="1:7" ht="9.75" customHeight="1">
      <c r="A152" s="356"/>
      <c r="B152" s="356"/>
      <c r="C152" s="471"/>
      <c r="D152" s="471"/>
      <c r="E152" s="471"/>
      <c r="F152" s="356"/>
      <c r="G152" s="356"/>
    </row>
    <row r="153" spans="1:7" ht="9.75" customHeight="1">
      <c r="A153" s="356"/>
      <c r="B153" s="356"/>
      <c r="C153" s="471"/>
      <c r="D153" s="471"/>
      <c r="E153" s="471"/>
      <c r="F153" s="356"/>
      <c r="G153" s="356"/>
    </row>
    <row r="154" spans="1:7" ht="9.75" customHeight="1">
      <c r="A154" s="356"/>
      <c r="B154" s="356"/>
      <c r="C154" s="471"/>
      <c r="D154" s="471"/>
      <c r="E154" s="471"/>
      <c r="F154" s="356"/>
      <c r="G154" s="356"/>
    </row>
    <row r="155" spans="1:7" ht="9.75" customHeight="1">
      <c r="A155" s="356"/>
      <c r="B155" s="356"/>
      <c r="C155" s="471"/>
      <c r="D155" s="471"/>
      <c r="E155" s="471"/>
      <c r="F155" s="356"/>
      <c r="G155" s="356"/>
    </row>
    <row r="156" spans="1:7" ht="9.75" customHeight="1">
      <c r="A156" s="356"/>
      <c r="B156" s="356"/>
      <c r="C156" s="471"/>
      <c r="D156" s="471"/>
      <c r="E156" s="471"/>
      <c r="F156" s="356"/>
      <c r="G156" s="356"/>
    </row>
    <row r="157" spans="1:7" ht="9.75" customHeight="1">
      <c r="A157" s="356"/>
      <c r="B157" s="356"/>
      <c r="C157" s="471"/>
      <c r="D157" s="471"/>
      <c r="E157" s="471"/>
      <c r="F157" s="356"/>
      <c r="G157" s="356"/>
    </row>
    <row r="158" spans="1:7" ht="9.75" customHeight="1">
      <c r="A158" s="356"/>
      <c r="B158" s="356"/>
      <c r="C158" s="471"/>
      <c r="D158" s="471"/>
      <c r="E158" s="471"/>
      <c r="F158" s="356"/>
      <c r="G158" s="356"/>
    </row>
    <row r="159" spans="1:7" ht="9.75" customHeight="1">
      <c r="A159" s="356"/>
      <c r="B159" s="356"/>
      <c r="C159" s="471"/>
      <c r="D159" s="471"/>
      <c r="E159" s="471"/>
      <c r="F159" s="356"/>
      <c r="G159" s="356"/>
    </row>
    <row r="160" spans="1:7" ht="9.75" customHeight="1">
      <c r="A160" s="356"/>
      <c r="B160" s="356"/>
      <c r="C160" s="471"/>
      <c r="D160" s="471"/>
      <c r="E160" s="471"/>
      <c r="F160" s="356"/>
      <c r="G160" s="356"/>
    </row>
    <row r="161" spans="1:7" ht="9.75" customHeight="1">
      <c r="A161" s="356"/>
      <c r="B161" s="356"/>
      <c r="C161" s="471"/>
      <c r="D161" s="471"/>
      <c r="E161" s="471"/>
      <c r="F161" s="356"/>
      <c r="G161" s="356"/>
    </row>
    <row r="162" spans="1:7" ht="9.75" customHeight="1">
      <c r="A162" s="356"/>
      <c r="B162" s="356"/>
      <c r="C162" s="471"/>
      <c r="D162" s="471"/>
      <c r="E162" s="471"/>
      <c r="F162" s="356"/>
      <c r="G162" s="356"/>
    </row>
    <row r="163" spans="1:7" ht="9.75" customHeight="1">
      <c r="A163" s="356"/>
      <c r="B163" s="356"/>
      <c r="C163" s="471"/>
      <c r="D163" s="471"/>
      <c r="E163" s="471"/>
      <c r="F163" s="356"/>
      <c r="G163" s="356"/>
    </row>
    <row r="164" spans="1:7" ht="9.75" customHeight="1">
      <c r="A164" s="356"/>
      <c r="B164" s="356"/>
      <c r="C164" s="471"/>
      <c r="D164" s="471"/>
      <c r="E164" s="471"/>
      <c r="F164" s="356"/>
      <c r="G164" s="356"/>
    </row>
    <row r="165" spans="1:7" ht="9.75" customHeight="1">
      <c r="A165" s="356"/>
      <c r="B165" s="356"/>
      <c r="C165" s="471"/>
      <c r="D165" s="471"/>
      <c r="E165" s="471"/>
      <c r="F165" s="356"/>
      <c r="G165" s="356"/>
    </row>
    <row r="166" spans="1:7" ht="9.75" customHeight="1">
      <c r="A166" s="356"/>
      <c r="B166" s="356"/>
      <c r="C166" s="471"/>
      <c r="D166" s="471"/>
      <c r="E166" s="471"/>
      <c r="F166" s="356"/>
      <c r="G166" s="356"/>
    </row>
    <row r="167" spans="1:7" ht="9.75" customHeight="1">
      <c r="A167" s="356"/>
      <c r="B167" s="356"/>
      <c r="C167" s="471"/>
      <c r="D167" s="471"/>
      <c r="E167" s="471"/>
      <c r="F167" s="356"/>
      <c r="G167" s="356"/>
    </row>
    <row r="168" spans="1:7" ht="9.75" customHeight="1">
      <c r="A168" s="356"/>
      <c r="B168" s="356"/>
      <c r="C168" s="471"/>
      <c r="D168" s="471"/>
      <c r="E168" s="471"/>
      <c r="F168" s="356"/>
      <c r="G168" s="356"/>
    </row>
    <row r="169" spans="1:7" ht="9.75" customHeight="1">
      <c r="A169" s="356"/>
      <c r="B169" s="356"/>
      <c r="C169" s="471"/>
      <c r="D169" s="471"/>
      <c r="E169" s="471"/>
      <c r="F169" s="356"/>
      <c r="G169" s="356"/>
    </row>
    <row r="170" spans="1:7" ht="9.75" customHeight="1">
      <c r="A170" s="356"/>
      <c r="B170" s="356"/>
      <c r="C170" s="356"/>
      <c r="D170" s="356"/>
      <c r="E170" s="356"/>
      <c r="F170" s="356"/>
      <c r="G170" s="356"/>
    </row>
    <row r="171" spans="1:7" ht="9.75" customHeight="1">
      <c r="A171" s="356"/>
      <c r="B171" s="356"/>
      <c r="C171" s="356"/>
      <c r="D171" s="356"/>
      <c r="E171" s="356"/>
      <c r="F171" s="356"/>
      <c r="G171" s="356"/>
    </row>
    <row r="172" spans="1:7" ht="9.75" customHeight="1">
      <c r="A172" s="356"/>
      <c r="B172" s="356"/>
      <c r="C172" s="356"/>
      <c r="D172" s="356"/>
      <c r="E172" s="356"/>
      <c r="F172" s="356"/>
      <c r="G172" s="356"/>
    </row>
    <row r="173" spans="1:7" ht="9.75" customHeight="1">
      <c r="A173" s="356"/>
      <c r="B173" s="356"/>
      <c r="C173" s="356"/>
      <c r="D173" s="356"/>
      <c r="E173" s="356"/>
      <c r="F173" s="356"/>
      <c r="G173" s="356"/>
    </row>
    <row r="174" spans="1:7" ht="9.75" customHeight="1">
      <c r="A174" s="356"/>
      <c r="B174" s="356"/>
      <c r="C174" s="356"/>
      <c r="D174" s="356"/>
      <c r="E174" s="356"/>
      <c r="F174" s="356"/>
      <c r="G174" s="356"/>
    </row>
    <row r="175" spans="1:7" ht="9.75" customHeight="1">
      <c r="A175" s="356"/>
      <c r="B175" s="356"/>
      <c r="C175" s="356"/>
      <c r="D175" s="356"/>
      <c r="E175" s="356"/>
      <c r="F175" s="356"/>
      <c r="G175" s="356"/>
    </row>
    <row r="176" spans="1:7" ht="9.75" customHeight="1">
      <c r="A176" s="356"/>
      <c r="B176" s="356"/>
      <c r="C176" s="356"/>
      <c r="D176" s="356"/>
      <c r="E176" s="356"/>
      <c r="F176" s="356"/>
      <c r="G176" s="356"/>
    </row>
    <row r="177" spans="1:7" ht="9.75" customHeight="1">
      <c r="A177" s="356"/>
      <c r="B177" s="356"/>
      <c r="C177" s="356"/>
      <c r="D177" s="356"/>
      <c r="E177" s="356"/>
      <c r="F177" s="356"/>
      <c r="G177" s="356"/>
    </row>
    <row r="178" spans="1:7" ht="9.75" customHeight="1">
      <c r="A178" s="356"/>
      <c r="B178" s="356"/>
      <c r="C178" s="356"/>
      <c r="D178" s="356"/>
      <c r="E178" s="356"/>
      <c r="F178" s="356"/>
      <c r="G178" s="356"/>
    </row>
  </sheetData>
  <mergeCells count="5">
    <mergeCell ref="A2:A5"/>
    <mergeCell ref="B2:B5"/>
    <mergeCell ref="C2:F2"/>
    <mergeCell ref="C3:E3"/>
    <mergeCell ref="F3:F4"/>
  </mergeCells>
  <pageMargins left="0.70866141732283472" right="0.47244094488188981" top="1.4173228346456694" bottom="0.62992125984251968" header="0.31496062992125984" footer="0.31496062992125984"/>
  <pageSetup paperSize="9" scale="91" orientation="portrait" r:id="rId1"/>
  <headerFooter>
    <oddHeader>&amp;R&amp;7Informe de la Operación Mensual-Julio 2019
INFSGI-MES-07-2019
08/08/2019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77A5"/>
  </sheetPr>
  <dimension ref="A1:L107"/>
  <sheetViews>
    <sheetView showGridLines="0" view="pageBreakPreview" zoomScale="120" zoomScaleNormal="100" zoomScaleSheetLayoutView="120" zoomScalePageLayoutView="130" workbookViewId="0">
      <selection activeCell="U69" sqref="T69:U69"/>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 min="10" max="11" width="9.33203125" style="455" customWidth="1"/>
    <col min="12" max="12" width="9.33203125" style="455"/>
  </cols>
  <sheetData>
    <row r="1" spans="1:12" ht="17.25" customHeight="1">
      <c r="A1" s="986" t="s">
        <v>264</v>
      </c>
      <c r="B1" s="989" t="s">
        <v>55</v>
      </c>
      <c r="C1" s="992" t="str">
        <f>+'18. ANEXOI-1'!C2:F2</f>
        <v>ENERGÍA PRODUCIDA JULIO 2019</v>
      </c>
      <c r="D1" s="992"/>
      <c r="E1" s="992"/>
      <c r="F1" s="992"/>
      <c r="G1" s="715" t="s">
        <v>290</v>
      </c>
      <c r="H1" s="203"/>
      <c r="I1" s="203"/>
      <c r="J1" s="579"/>
      <c r="K1" s="579"/>
    </row>
    <row r="2" spans="1:12" ht="11.25" customHeight="1">
      <c r="A2" s="987"/>
      <c r="B2" s="990"/>
      <c r="C2" s="993" t="s">
        <v>291</v>
      </c>
      <c r="D2" s="993"/>
      <c r="E2" s="993"/>
      <c r="F2" s="994" t="str">
        <f>"TOTAL 
"&amp;UPPER('1. Resumen'!Q4)</f>
        <v>TOTAL 
JULIO</v>
      </c>
      <c r="G2" s="716" t="s">
        <v>292</v>
      </c>
      <c r="H2" s="194"/>
      <c r="I2" s="194"/>
      <c r="J2" s="580"/>
      <c r="K2" s="580"/>
      <c r="L2" s="579"/>
    </row>
    <row r="3" spans="1:12" ht="11.25" customHeight="1">
      <c r="A3" s="987"/>
      <c r="B3" s="990"/>
      <c r="C3" s="705" t="s">
        <v>223</v>
      </c>
      <c r="D3" s="705" t="s">
        <v>224</v>
      </c>
      <c r="E3" s="705" t="s">
        <v>293</v>
      </c>
      <c r="F3" s="995"/>
      <c r="G3" s="716">
        <v>2019</v>
      </c>
      <c r="H3" s="196"/>
      <c r="I3" s="195"/>
      <c r="J3" s="581"/>
      <c r="K3" s="581"/>
      <c r="L3" s="579"/>
    </row>
    <row r="4" spans="1:12" ht="11.25" customHeight="1">
      <c r="A4" s="996"/>
      <c r="B4" s="997"/>
      <c r="C4" s="706" t="s">
        <v>294</v>
      </c>
      <c r="D4" s="706" t="s">
        <v>294</v>
      </c>
      <c r="E4" s="706" t="s">
        <v>294</v>
      </c>
      <c r="F4" s="706" t="s">
        <v>294</v>
      </c>
      <c r="G4" s="717" t="s">
        <v>211</v>
      </c>
      <c r="H4" s="196"/>
      <c r="I4" s="196"/>
      <c r="J4" s="582"/>
      <c r="K4" s="582"/>
      <c r="L4" s="583"/>
    </row>
    <row r="5" spans="1:12" ht="10.5" customHeight="1">
      <c r="A5" s="770" t="s">
        <v>88</v>
      </c>
      <c r="B5" s="708" t="s">
        <v>346</v>
      </c>
      <c r="C5" s="709">
        <v>23594.558590000001</v>
      </c>
      <c r="D5" s="709"/>
      <c r="E5" s="709"/>
      <c r="F5" s="709">
        <v>23594.558590000001</v>
      </c>
      <c r="G5" s="776">
        <v>374495.22398999997</v>
      </c>
      <c r="I5" s="578"/>
      <c r="K5" s="582"/>
      <c r="L5" s="582"/>
    </row>
    <row r="6" spans="1:12" ht="10.5" customHeight="1">
      <c r="A6" s="770"/>
      <c r="B6" s="708" t="s">
        <v>347</v>
      </c>
      <c r="C6" s="709">
        <v>52412.683872499998</v>
      </c>
      <c r="D6" s="709"/>
      <c r="E6" s="709"/>
      <c r="F6" s="709">
        <v>52431.925372500002</v>
      </c>
      <c r="G6" s="776">
        <v>560910.21610750002</v>
      </c>
      <c r="I6" s="578"/>
      <c r="K6" s="582"/>
      <c r="L6" s="582"/>
    </row>
    <row r="7" spans="1:12" ht="10.5" customHeight="1">
      <c r="A7" s="770"/>
      <c r="B7" s="708" t="s">
        <v>348</v>
      </c>
      <c r="C7" s="709"/>
      <c r="D7" s="709">
        <v>507055.08288</v>
      </c>
      <c r="E7" s="709"/>
      <c r="F7" s="709">
        <v>507055.08288</v>
      </c>
      <c r="G7" s="776">
        <v>2194458.0866975002</v>
      </c>
      <c r="I7" s="578"/>
      <c r="K7" s="582"/>
      <c r="L7" s="582"/>
    </row>
    <row r="8" spans="1:12" ht="10.5" customHeight="1">
      <c r="A8" s="770"/>
      <c r="B8" s="708" t="s">
        <v>349</v>
      </c>
      <c r="C8" s="709"/>
      <c r="D8" s="709">
        <v>6415.1525799999999</v>
      </c>
      <c r="E8" s="709"/>
      <c r="F8" s="709">
        <v>6415.1525799999999</v>
      </c>
      <c r="G8" s="776">
        <v>200208.03946499998</v>
      </c>
      <c r="I8" s="578"/>
      <c r="K8" s="582"/>
      <c r="L8" s="582"/>
    </row>
    <row r="9" spans="1:12" ht="10.5" customHeight="1">
      <c r="A9" s="770"/>
      <c r="B9" s="708" t="s">
        <v>350</v>
      </c>
      <c r="C9" s="709"/>
      <c r="D9" s="709">
        <v>4104.2780549999998</v>
      </c>
      <c r="E9" s="709"/>
      <c r="F9" s="709">
        <v>4104.2780549999998</v>
      </c>
      <c r="G9" s="776">
        <v>22387.534664999999</v>
      </c>
      <c r="I9" s="578"/>
      <c r="K9" s="582"/>
      <c r="L9" s="582"/>
    </row>
    <row r="10" spans="1:12" ht="10.5" customHeight="1">
      <c r="A10" s="770"/>
      <c r="B10" s="708" t="s">
        <v>351</v>
      </c>
      <c r="C10" s="709"/>
      <c r="D10" s="709">
        <v>0</v>
      </c>
      <c r="E10" s="709"/>
      <c r="F10" s="709">
        <v>0</v>
      </c>
      <c r="G10" s="776">
        <v>1783.9387775</v>
      </c>
      <c r="I10" s="578"/>
      <c r="K10" s="582"/>
      <c r="L10" s="582"/>
    </row>
    <row r="11" spans="1:12" ht="10.5" customHeight="1">
      <c r="A11" s="770"/>
      <c r="B11" s="708" t="s">
        <v>352</v>
      </c>
      <c r="C11" s="709"/>
      <c r="D11" s="709">
        <v>371.04109999999997</v>
      </c>
      <c r="E11" s="709"/>
      <c r="F11" s="709">
        <v>371.04109999999997</v>
      </c>
      <c r="G11" s="776">
        <v>5370.8585675000004</v>
      </c>
      <c r="I11" s="578"/>
      <c r="K11" s="582"/>
      <c r="L11" s="582"/>
    </row>
    <row r="12" spans="1:12" ht="10.5" customHeight="1">
      <c r="A12" s="770"/>
      <c r="B12" s="708" t="s">
        <v>523</v>
      </c>
      <c r="C12" s="709"/>
      <c r="D12" s="709"/>
      <c r="E12" s="709">
        <v>7933.1178225000003</v>
      </c>
      <c r="F12" s="709">
        <v>7933.1178225000003</v>
      </c>
      <c r="G12" s="776">
        <v>54289.759162499991</v>
      </c>
      <c r="I12" s="578"/>
      <c r="K12" s="582"/>
      <c r="L12" s="582"/>
    </row>
    <row r="13" spans="1:12" ht="10.5" customHeight="1">
      <c r="A13" s="772" t="s">
        <v>353</v>
      </c>
      <c r="B13" s="569"/>
      <c r="C13" s="570">
        <v>76026.483962500002</v>
      </c>
      <c r="D13" s="570">
        <v>517945.55461499997</v>
      </c>
      <c r="E13" s="570">
        <v>7933.1178225000003</v>
      </c>
      <c r="F13" s="570">
        <v>601905.15639999998</v>
      </c>
      <c r="G13" s="777">
        <v>3413903.6574325003</v>
      </c>
      <c r="I13" s="578"/>
      <c r="K13" s="582"/>
      <c r="L13" s="582"/>
    </row>
    <row r="14" spans="1:12" ht="10.5" customHeight="1">
      <c r="A14" s="770" t="s">
        <v>252</v>
      </c>
      <c r="B14" s="708" t="s">
        <v>354</v>
      </c>
      <c r="C14" s="709"/>
      <c r="D14" s="709">
        <v>404845.61240500002</v>
      </c>
      <c r="E14" s="709"/>
      <c r="F14" s="709">
        <v>404845.61240500002</v>
      </c>
      <c r="G14" s="776">
        <v>2273728.5395875005</v>
      </c>
      <c r="I14" s="578"/>
      <c r="K14" s="582"/>
      <c r="L14" s="582"/>
    </row>
    <row r="15" spans="1:12" ht="10.5" customHeight="1">
      <c r="A15" s="772" t="s">
        <v>355</v>
      </c>
      <c r="B15" s="569"/>
      <c r="C15" s="570"/>
      <c r="D15" s="570">
        <v>404845.61240500002</v>
      </c>
      <c r="E15" s="570"/>
      <c r="F15" s="570">
        <v>404845.61240500002</v>
      </c>
      <c r="G15" s="777">
        <v>2273728.5395875005</v>
      </c>
      <c r="I15" s="578"/>
      <c r="K15" s="582"/>
      <c r="L15" s="582"/>
    </row>
    <row r="16" spans="1:12" ht="10.5" customHeight="1">
      <c r="A16" s="770" t="s">
        <v>109</v>
      </c>
      <c r="B16" s="708" t="s">
        <v>67</v>
      </c>
      <c r="C16" s="709"/>
      <c r="D16" s="709"/>
      <c r="E16" s="709">
        <v>5056.2747149999996</v>
      </c>
      <c r="F16" s="709">
        <v>5056.2747149999996</v>
      </c>
      <c r="G16" s="776">
        <v>32092.924784999996</v>
      </c>
      <c r="I16" s="578"/>
      <c r="K16" s="582"/>
      <c r="L16" s="582"/>
    </row>
    <row r="17" spans="1:12" ht="10.5" customHeight="1">
      <c r="A17" s="770"/>
      <c r="B17" s="708" t="s">
        <v>489</v>
      </c>
      <c r="C17" s="709"/>
      <c r="D17" s="709"/>
      <c r="E17" s="709">
        <v>3291.1944374999998</v>
      </c>
      <c r="F17" s="709">
        <v>3291.1944374999998</v>
      </c>
      <c r="G17" s="776">
        <v>44112.93008250001</v>
      </c>
      <c r="I17" s="578"/>
      <c r="K17" s="582"/>
      <c r="L17" s="582"/>
    </row>
    <row r="18" spans="1:12" ht="10.5" customHeight="1">
      <c r="A18" s="770"/>
      <c r="B18" s="708" t="s">
        <v>487</v>
      </c>
      <c r="C18" s="709"/>
      <c r="D18" s="709"/>
      <c r="E18" s="709">
        <v>4596.9377850000001</v>
      </c>
      <c r="F18" s="709">
        <v>4596.9377850000001</v>
      </c>
      <c r="G18" s="776">
        <v>49212.330209999993</v>
      </c>
      <c r="I18" s="578"/>
      <c r="K18" s="582"/>
      <c r="L18" s="582"/>
    </row>
    <row r="19" spans="1:12" ht="10.5" customHeight="1">
      <c r="A19" s="770"/>
      <c r="B19" s="708" t="s">
        <v>488</v>
      </c>
      <c r="C19" s="709"/>
      <c r="D19" s="709"/>
      <c r="E19" s="709">
        <v>4647.023545</v>
      </c>
      <c r="F19" s="709">
        <v>4647.023545</v>
      </c>
      <c r="G19" s="776">
        <v>48590.430297500017</v>
      </c>
      <c r="I19" s="578"/>
      <c r="K19" s="582"/>
      <c r="L19" s="582"/>
    </row>
    <row r="20" spans="1:12" ht="10.5" customHeight="1">
      <c r="A20" s="772" t="s">
        <v>356</v>
      </c>
      <c r="B20" s="569"/>
      <c r="C20" s="570"/>
      <c r="D20" s="570"/>
      <c r="E20" s="570">
        <v>17591.4304825</v>
      </c>
      <c r="F20" s="570">
        <v>17591.4304825</v>
      </c>
      <c r="G20" s="777">
        <v>174008.61537500002</v>
      </c>
      <c r="I20" s="578"/>
      <c r="K20" s="582"/>
      <c r="L20" s="582"/>
    </row>
    <row r="21" spans="1:12" ht="10.5" customHeight="1">
      <c r="A21" s="770" t="s">
        <v>112</v>
      </c>
      <c r="B21" s="708" t="s">
        <v>245</v>
      </c>
      <c r="C21" s="709"/>
      <c r="D21" s="709"/>
      <c r="E21" s="709">
        <v>3499.5767999999998</v>
      </c>
      <c r="F21" s="709">
        <v>3499.5767999999998</v>
      </c>
      <c r="G21" s="776">
        <v>24698.108864999998</v>
      </c>
      <c r="I21" s="578"/>
      <c r="K21" s="582"/>
      <c r="L21" s="582"/>
    </row>
    <row r="22" spans="1:12" ht="10.5" customHeight="1">
      <c r="A22" s="772" t="s">
        <v>357</v>
      </c>
      <c r="B22" s="569"/>
      <c r="C22" s="570"/>
      <c r="D22" s="570"/>
      <c r="E22" s="570">
        <v>3499.5767999999998</v>
      </c>
      <c r="F22" s="570">
        <v>3499.5767999999998</v>
      </c>
      <c r="G22" s="777">
        <v>24698.108864999998</v>
      </c>
      <c r="I22" s="578"/>
      <c r="K22" s="582"/>
      <c r="L22" s="582"/>
    </row>
    <row r="23" spans="1:12" ht="10.5" customHeight="1">
      <c r="A23" s="770" t="s">
        <v>113</v>
      </c>
      <c r="B23" s="708" t="s">
        <v>83</v>
      </c>
      <c r="C23" s="709"/>
      <c r="D23" s="709"/>
      <c r="E23" s="709">
        <v>3573.0533725</v>
      </c>
      <c r="F23" s="709">
        <v>3573.0533725</v>
      </c>
      <c r="G23" s="776">
        <v>23993.280272499996</v>
      </c>
      <c r="I23" s="578"/>
      <c r="K23" s="582"/>
      <c r="L23" s="582"/>
    </row>
    <row r="24" spans="1:12" ht="10.5" customHeight="1">
      <c r="A24" s="772" t="s">
        <v>358</v>
      </c>
      <c r="B24" s="569"/>
      <c r="C24" s="570"/>
      <c r="D24" s="570"/>
      <c r="E24" s="570">
        <v>3573.0533725</v>
      </c>
      <c r="F24" s="570">
        <v>3573.0533725</v>
      </c>
      <c r="G24" s="777">
        <v>23993.280272499996</v>
      </c>
      <c r="I24" s="578"/>
      <c r="K24" s="582"/>
      <c r="L24" s="582"/>
    </row>
    <row r="25" spans="1:12" ht="10.5" customHeight="1">
      <c r="A25" s="770" t="s">
        <v>117</v>
      </c>
      <c r="B25" s="708" t="s">
        <v>75</v>
      </c>
      <c r="C25" s="709"/>
      <c r="D25" s="709"/>
      <c r="E25" s="709">
        <v>2374.1</v>
      </c>
      <c r="F25" s="709">
        <v>2374.1</v>
      </c>
      <c r="G25" s="776">
        <v>16179.300000000116</v>
      </c>
      <c r="I25" s="578"/>
      <c r="K25" s="582"/>
      <c r="L25" s="582"/>
    </row>
    <row r="26" spans="1:12" ht="10.5" customHeight="1">
      <c r="A26" s="772" t="s">
        <v>359</v>
      </c>
      <c r="B26" s="569"/>
      <c r="C26" s="570"/>
      <c r="D26" s="570"/>
      <c r="E26" s="570">
        <v>2374.1</v>
      </c>
      <c r="F26" s="570">
        <v>2374.1</v>
      </c>
      <c r="G26" s="777">
        <v>16179.300000000116</v>
      </c>
      <c r="I26" s="578"/>
      <c r="K26" s="582"/>
      <c r="L26" s="582"/>
    </row>
    <row r="27" spans="1:12" ht="10.5" customHeight="1">
      <c r="A27" s="770" t="s">
        <v>104</v>
      </c>
      <c r="B27" s="708" t="s">
        <v>360</v>
      </c>
      <c r="C27" s="709">
        <v>12621.841</v>
      </c>
      <c r="D27" s="709"/>
      <c r="E27" s="709"/>
      <c r="F27" s="709">
        <v>12621.841</v>
      </c>
      <c r="G27" s="776">
        <v>93988.105999999971</v>
      </c>
      <c r="I27" s="578"/>
      <c r="K27" s="582"/>
      <c r="L27" s="582"/>
    </row>
    <row r="28" spans="1:12" ht="10.5" customHeight="1">
      <c r="A28" s="772" t="s">
        <v>361</v>
      </c>
      <c r="B28" s="569"/>
      <c r="C28" s="570">
        <v>12621.841</v>
      </c>
      <c r="D28" s="570"/>
      <c r="E28" s="570"/>
      <c r="F28" s="570">
        <v>12621.841</v>
      </c>
      <c r="G28" s="777">
        <v>93988.105999999971</v>
      </c>
      <c r="I28" s="578"/>
      <c r="K28" s="582"/>
      <c r="L28" s="582"/>
    </row>
    <row r="29" spans="1:12" ht="20.25" customHeight="1">
      <c r="A29" s="785" t="s">
        <v>507</v>
      </c>
      <c r="B29" s="720" t="s">
        <v>362</v>
      </c>
      <c r="C29" s="721">
        <v>10435.492194999999</v>
      </c>
      <c r="D29" s="721"/>
      <c r="E29" s="721"/>
      <c r="F29" s="721">
        <v>10435.492194999999</v>
      </c>
      <c r="G29" s="786">
        <v>88481.883895000021</v>
      </c>
      <c r="I29" s="578"/>
      <c r="K29" s="582"/>
      <c r="L29" s="582"/>
    </row>
    <row r="30" spans="1:12" ht="10.5" customHeight="1">
      <c r="A30" s="772" t="s">
        <v>502</v>
      </c>
      <c r="B30" s="569"/>
      <c r="C30" s="570">
        <v>10435.492194999999</v>
      </c>
      <c r="D30" s="570"/>
      <c r="E30" s="570"/>
      <c r="F30" s="570">
        <v>10435.492194999999</v>
      </c>
      <c r="G30" s="777">
        <v>88481.883895000021</v>
      </c>
      <c r="I30" s="578"/>
      <c r="K30" s="582"/>
      <c r="L30" s="582"/>
    </row>
    <row r="31" spans="1:12" ht="10.5" customHeight="1">
      <c r="A31" s="770" t="s">
        <v>253</v>
      </c>
      <c r="B31" s="708" t="s">
        <v>60</v>
      </c>
      <c r="C31" s="709"/>
      <c r="D31" s="709"/>
      <c r="E31" s="709">
        <v>11135.751145</v>
      </c>
      <c r="F31" s="709">
        <v>11135.751145</v>
      </c>
      <c r="G31" s="776">
        <v>81007.964752500004</v>
      </c>
      <c r="I31" s="578"/>
      <c r="K31" s="582"/>
      <c r="L31" s="582"/>
    </row>
    <row r="32" spans="1:12" ht="10.5" customHeight="1">
      <c r="A32" s="772" t="s">
        <v>363</v>
      </c>
      <c r="B32" s="569"/>
      <c r="C32" s="570"/>
      <c r="D32" s="570"/>
      <c r="E32" s="570">
        <v>11135.751145</v>
      </c>
      <c r="F32" s="570">
        <v>11135.751145</v>
      </c>
      <c r="G32" s="777">
        <v>81007.964752500004</v>
      </c>
      <c r="I32" s="578"/>
      <c r="K32" s="582"/>
      <c r="L32" s="582"/>
    </row>
    <row r="33" spans="1:12" ht="10.5" customHeight="1">
      <c r="A33" s="770" t="s">
        <v>486</v>
      </c>
      <c r="B33" s="708" t="s">
        <v>563</v>
      </c>
      <c r="C33" s="709">
        <v>98.008250000000004</v>
      </c>
      <c r="D33" s="709"/>
      <c r="E33" s="709"/>
      <c r="F33" s="709">
        <v>98.008250000000004</v>
      </c>
      <c r="G33" s="776">
        <v>3293.1455000000005</v>
      </c>
      <c r="I33" s="578"/>
      <c r="K33" s="582"/>
      <c r="L33" s="582"/>
    </row>
    <row r="34" spans="1:12" ht="10.5" customHeight="1">
      <c r="A34" s="772" t="s">
        <v>491</v>
      </c>
      <c r="B34" s="569"/>
      <c r="C34" s="570">
        <v>98.008250000000004</v>
      </c>
      <c r="D34" s="570"/>
      <c r="E34" s="570"/>
      <c r="F34" s="570">
        <v>98.008250000000004</v>
      </c>
      <c r="G34" s="777">
        <v>3293.1455000000005</v>
      </c>
      <c r="I34" s="578"/>
      <c r="K34" s="582"/>
      <c r="L34" s="582"/>
    </row>
    <row r="35" spans="1:12" ht="10.5" customHeight="1">
      <c r="A35" s="770" t="s">
        <v>525</v>
      </c>
      <c r="B35" s="708" t="s">
        <v>532</v>
      </c>
      <c r="C35" s="709">
        <v>48790.832967500006</v>
      </c>
      <c r="D35" s="709"/>
      <c r="E35" s="709"/>
      <c r="F35" s="709">
        <v>48790.832967500006</v>
      </c>
      <c r="G35" s="776">
        <v>417829.8024175</v>
      </c>
      <c r="I35" s="578"/>
      <c r="K35" s="582"/>
      <c r="L35" s="582"/>
    </row>
    <row r="36" spans="1:12" ht="10.5" customHeight="1">
      <c r="A36" s="772" t="s">
        <v>533</v>
      </c>
      <c r="B36" s="569"/>
      <c r="C36" s="570">
        <v>48790.832967500006</v>
      </c>
      <c r="D36" s="570"/>
      <c r="E36" s="570"/>
      <c r="F36" s="570">
        <v>48790.832967500006</v>
      </c>
      <c r="G36" s="777">
        <v>417829.8024175</v>
      </c>
      <c r="I36" s="578"/>
      <c r="K36" s="582"/>
      <c r="L36" s="582"/>
    </row>
    <row r="37" spans="1:12" ht="10.5" customHeight="1">
      <c r="A37" s="787" t="s">
        <v>119</v>
      </c>
      <c r="B37" s="469" t="s">
        <v>364</v>
      </c>
      <c r="C37" s="470"/>
      <c r="D37" s="470">
        <v>0</v>
      </c>
      <c r="E37" s="470"/>
      <c r="F37" s="470">
        <v>0</v>
      </c>
      <c r="G37" s="788">
        <v>272.0245875</v>
      </c>
      <c r="I37" s="578"/>
      <c r="K37" s="582"/>
      <c r="L37" s="582"/>
    </row>
    <row r="38" spans="1:12" ht="10.5" customHeight="1">
      <c r="A38" s="789"/>
      <c r="B38" s="708" t="s">
        <v>365</v>
      </c>
      <c r="C38" s="709"/>
      <c r="D38" s="709">
        <v>27.347552499999999</v>
      </c>
      <c r="E38" s="709"/>
      <c r="F38" s="709">
        <v>27.347552499999999</v>
      </c>
      <c r="G38" s="776">
        <v>1437.0488925</v>
      </c>
      <c r="I38" s="578"/>
      <c r="K38" s="582"/>
      <c r="L38" s="582"/>
    </row>
    <row r="39" spans="1:12" ht="10.5" customHeight="1">
      <c r="A39" s="772" t="s">
        <v>366</v>
      </c>
      <c r="B39" s="569"/>
      <c r="C39" s="570"/>
      <c r="D39" s="570">
        <v>27.347552499999999</v>
      </c>
      <c r="E39" s="570"/>
      <c r="F39" s="570">
        <v>27.347552499999999</v>
      </c>
      <c r="G39" s="777">
        <v>1709.07348</v>
      </c>
      <c r="I39" s="578"/>
      <c r="K39" s="582"/>
      <c r="L39" s="582"/>
    </row>
    <row r="40" spans="1:12" ht="10.5" customHeight="1">
      <c r="A40" s="770" t="s">
        <v>483</v>
      </c>
      <c r="B40" s="708" t="s">
        <v>367</v>
      </c>
      <c r="C40" s="709"/>
      <c r="D40" s="709">
        <v>528948.83125499997</v>
      </c>
      <c r="E40" s="709"/>
      <c r="F40" s="709">
        <v>528948.83125499997</v>
      </c>
      <c r="G40" s="776">
        <v>1920483.3113700002</v>
      </c>
      <c r="I40" s="578"/>
      <c r="K40" s="582"/>
      <c r="L40" s="582"/>
    </row>
    <row r="41" spans="1:12" ht="10.5" customHeight="1">
      <c r="A41" s="770"/>
      <c r="B41" s="708" t="s">
        <v>368</v>
      </c>
      <c r="C41" s="709"/>
      <c r="D41" s="709">
        <v>16322.927215</v>
      </c>
      <c r="E41" s="709"/>
      <c r="F41" s="709">
        <v>16322.927215</v>
      </c>
      <c r="G41" s="776">
        <v>233220.88587500001</v>
      </c>
      <c r="I41" s="578"/>
      <c r="K41" s="582"/>
      <c r="L41" s="582"/>
    </row>
    <row r="42" spans="1:12" ht="10.5" customHeight="1">
      <c r="A42" s="789"/>
      <c r="B42" s="708" t="s">
        <v>530</v>
      </c>
      <c r="C42" s="709">
        <v>211367.16502249998</v>
      </c>
      <c r="D42" s="709"/>
      <c r="E42" s="709"/>
      <c r="F42" s="709">
        <v>211367.16502249998</v>
      </c>
      <c r="G42" s="776">
        <v>1904573.8632749999</v>
      </c>
      <c r="I42" s="578"/>
      <c r="K42" s="582"/>
      <c r="L42" s="582"/>
    </row>
    <row r="43" spans="1:12" ht="10.5" customHeight="1">
      <c r="A43" s="789"/>
      <c r="B43" s="708" t="s">
        <v>369</v>
      </c>
      <c r="C43" s="709">
        <v>2795.8520524999999</v>
      </c>
      <c r="D43" s="709"/>
      <c r="E43" s="709"/>
      <c r="F43" s="709">
        <v>2795.8520524999999</v>
      </c>
      <c r="G43" s="776">
        <v>36876.650634999991</v>
      </c>
      <c r="I43" s="578"/>
      <c r="K43" s="582"/>
      <c r="L43" s="582"/>
    </row>
    <row r="44" spans="1:12" ht="10.5" customHeight="1">
      <c r="A44" s="772" t="s">
        <v>370</v>
      </c>
      <c r="B44" s="569"/>
      <c r="C44" s="570">
        <v>214163.01707499998</v>
      </c>
      <c r="D44" s="570">
        <v>545271.75847</v>
      </c>
      <c r="E44" s="570"/>
      <c r="F44" s="570">
        <v>759434.77554499998</v>
      </c>
      <c r="G44" s="777">
        <v>4095154.7111550001</v>
      </c>
      <c r="I44" s="578"/>
      <c r="K44" s="582"/>
      <c r="L44" s="582"/>
    </row>
    <row r="45" spans="1:12" ht="10.5" customHeight="1">
      <c r="A45" s="770" t="s">
        <v>118</v>
      </c>
      <c r="B45" s="708" t="s">
        <v>73</v>
      </c>
      <c r="C45" s="709"/>
      <c r="D45" s="709"/>
      <c r="E45" s="709">
        <v>1140.3937000000001</v>
      </c>
      <c r="F45" s="709">
        <v>1140.3937000000001</v>
      </c>
      <c r="G45" s="776">
        <v>9791.4552000000022</v>
      </c>
      <c r="I45" s="578"/>
      <c r="K45" s="582"/>
      <c r="L45" s="582"/>
    </row>
    <row r="46" spans="1:12" ht="10.5" customHeight="1">
      <c r="A46" s="772" t="s">
        <v>371</v>
      </c>
      <c r="B46" s="569"/>
      <c r="C46" s="570"/>
      <c r="D46" s="570"/>
      <c r="E46" s="570">
        <v>1140.3937000000001</v>
      </c>
      <c r="F46" s="570">
        <v>1140.3937000000001</v>
      </c>
      <c r="G46" s="777">
        <v>9791.4552000000022</v>
      </c>
      <c r="I46" s="578"/>
      <c r="K46" s="582"/>
      <c r="L46" s="582"/>
    </row>
    <row r="47" spans="1:12" ht="10.5" customHeight="1">
      <c r="A47" s="770" t="s">
        <v>111</v>
      </c>
      <c r="B47" s="708" t="s">
        <v>82</v>
      </c>
      <c r="C47" s="709"/>
      <c r="D47" s="709"/>
      <c r="E47" s="709">
        <v>3669.3843550000001</v>
      </c>
      <c r="F47" s="709">
        <v>3669.3843550000001</v>
      </c>
      <c r="G47" s="776">
        <v>25123.812135</v>
      </c>
      <c r="I47" s="578"/>
      <c r="K47" s="582"/>
      <c r="L47" s="582"/>
    </row>
    <row r="48" spans="1:12" ht="10.5" customHeight="1">
      <c r="A48" s="772" t="s">
        <v>372</v>
      </c>
      <c r="B48" s="569"/>
      <c r="C48" s="570"/>
      <c r="D48" s="570"/>
      <c r="E48" s="570">
        <v>3669.3843550000001</v>
      </c>
      <c r="F48" s="570">
        <v>3669.3843550000001</v>
      </c>
      <c r="G48" s="777">
        <v>25123.812135</v>
      </c>
      <c r="H48" s="387"/>
      <c r="I48" s="578"/>
      <c r="K48" s="582"/>
      <c r="L48" s="582"/>
    </row>
    <row r="49" spans="1:12" ht="10.5" customHeight="1">
      <c r="A49" s="770" t="s">
        <v>254</v>
      </c>
      <c r="B49" s="708" t="s">
        <v>72</v>
      </c>
      <c r="C49" s="709"/>
      <c r="D49" s="709"/>
      <c r="E49" s="709">
        <v>1971.3379299999999</v>
      </c>
      <c r="F49" s="709">
        <v>1971.3379299999999</v>
      </c>
      <c r="G49" s="776">
        <v>23684.9266025</v>
      </c>
      <c r="I49" s="578"/>
      <c r="K49" s="582"/>
      <c r="L49" s="582"/>
    </row>
    <row r="50" spans="1:12" ht="10.5" customHeight="1">
      <c r="A50" s="770"/>
      <c r="B50" s="708" t="s">
        <v>373</v>
      </c>
      <c r="C50" s="709">
        <v>58305.856614999997</v>
      </c>
      <c r="D50" s="709"/>
      <c r="E50" s="709"/>
      <c r="F50" s="709">
        <v>58305.856614999997</v>
      </c>
      <c r="G50" s="776">
        <v>929756.68682499998</v>
      </c>
      <c r="I50" s="578"/>
      <c r="K50" s="582"/>
      <c r="L50" s="582"/>
    </row>
    <row r="51" spans="1:12" ht="10.5" customHeight="1">
      <c r="A51" s="770"/>
      <c r="B51" s="708" t="s">
        <v>374</v>
      </c>
      <c r="C51" s="709">
        <v>25031.168907499999</v>
      </c>
      <c r="D51" s="709"/>
      <c r="E51" s="709"/>
      <c r="F51" s="709">
        <v>25031.168907499999</v>
      </c>
      <c r="G51" s="776">
        <v>376564.44346749998</v>
      </c>
      <c r="I51" s="578"/>
      <c r="K51" s="582"/>
      <c r="L51" s="582"/>
    </row>
    <row r="52" spans="1:12" ht="10.5" customHeight="1">
      <c r="A52" s="770"/>
      <c r="B52" s="708" t="s">
        <v>63</v>
      </c>
      <c r="C52" s="709"/>
      <c r="D52" s="709"/>
      <c r="E52" s="709">
        <v>6301.1745950000004</v>
      </c>
      <c r="F52" s="709">
        <v>6301.1745950000004</v>
      </c>
      <c r="G52" s="776">
        <v>42815.496447499972</v>
      </c>
      <c r="I52" s="578"/>
      <c r="K52" s="582"/>
      <c r="L52" s="582"/>
    </row>
    <row r="53" spans="1:12" ht="10.5" customHeight="1">
      <c r="A53" s="772" t="s">
        <v>375</v>
      </c>
      <c r="B53" s="569"/>
      <c r="C53" s="570">
        <v>83337.0255225</v>
      </c>
      <c r="D53" s="570"/>
      <c r="E53" s="570">
        <v>8272.5125250000001</v>
      </c>
      <c r="F53" s="570">
        <v>91609.538047499998</v>
      </c>
      <c r="G53" s="777">
        <v>1372821.5533425</v>
      </c>
      <c r="I53" s="578"/>
      <c r="K53" s="582"/>
      <c r="L53" s="582"/>
    </row>
    <row r="54" spans="1:12" ht="10.5" customHeight="1">
      <c r="A54" s="770" t="s">
        <v>255</v>
      </c>
      <c r="B54" s="708" t="s">
        <v>79</v>
      </c>
      <c r="C54" s="709"/>
      <c r="D54" s="709"/>
      <c r="E54" s="709">
        <v>15786.8556625</v>
      </c>
      <c r="F54" s="709">
        <v>15786.8556625</v>
      </c>
      <c r="G54" s="776">
        <v>93512.156045000011</v>
      </c>
      <c r="I54" s="578"/>
      <c r="K54" s="582"/>
      <c r="L54" s="582"/>
    </row>
    <row r="55" spans="1:12" ht="10.5" customHeight="1">
      <c r="A55" s="772" t="s">
        <v>376</v>
      </c>
      <c r="B55" s="569"/>
      <c r="C55" s="570"/>
      <c r="D55" s="570"/>
      <c r="E55" s="570">
        <v>15786.8556625</v>
      </c>
      <c r="F55" s="570">
        <v>15786.8556625</v>
      </c>
      <c r="G55" s="777">
        <v>93512.156045000011</v>
      </c>
      <c r="I55" s="578"/>
      <c r="K55" s="582"/>
      <c r="L55" s="582"/>
    </row>
    <row r="56" spans="1:12" ht="10.5" customHeight="1">
      <c r="A56" s="770" t="s">
        <v>100</v>
      </c>
      <c r="B56" s="708" t="s">
        <v>77</v>
      </c>
      <c r="C56" s="709"/>
      <c r="D56" s="709"/>
      <c r="E56" s="709">
        <v>44431.992664999998</v>
      </c>
      <c r="F56" s="709">
        <v>44431.992664999998</v>
      </c>
      <c r="G56" s="776">
        <v>275361.83905750001</v>
      </c>
      <c r="I56" s="578"/>
      <c r="K56" s="582"/>
      <c r="L56" s="582"/>
    </row>
    <row r="57" spans="1:12" ht="10.5" customHeight="1">
      <c r="A57" s="772" t="s">
        <v>377</v>
      </c>
      <c r="B57" s="569"/>
      <c r="C57" s="570"/>
      <c r="D57" s="570"/>
      <c r="E57" s="570">
        <v>44431.992664999998</v>
      </c>
      <c r="F57" s="570">
        <v>44431.992664999998</v>
      </c>
      <c r="G57" s="777">
        <v>275361.83905750001</v>
      </c>
      <c r="I57" s="578"/>
      <c r="K57" s="582"/>
      <c r="L57" s="582"/>
    </row>
    <row r="58" spans="1:12" ht="10.5" customHeight="1">
      <c r="A58" s="770" t="s">
        <v>108</v>
      </c>
      <c r="B58" s="708" t="s">
        <v>244</v>
      </c>
      <c r="C58" s="709"/>
      <c r="D58" s="709"/>
      <c r="E58" s="709">
        <v>3930.0692300000001</v>
      </c>
      <c r="F58" s="709">
        <v>3930.0692300000001</v>
      </c>
      <c r="G58" s="776">
        <v>27237.451337500002</v>
      </c>
      <c r="I58" s="578"/>
      <c r="K58" s="582"/>
      <c r="L58" s="582"/>
    </row>
    <row r="59" spans="1:12" ht="10.5" customHeight="1">
      <c r="A59" s="772" t="s">
        <v>378</v>
      </c>
      <c r="B59" s="569"/>
      <c r="C59" s="570"/>
      <c r="D59" s="570"/>
      <c r="E59" s="570">
        <v>3930.0692300000001</v>
      </c>
      <c r="F59" s="570">
        <v>3930.0692300000001</v>
      </c>
      <c r="G59" s="777">
        <v>27237.451337500002</v>
      </c>
      <c r="I59" s="578"/>
      <c r="K59" s="582"/>
      <c r="L59" s="582"/>
    </row>
    <row r="60" spans="1:12" ht="10.5" customHeight="1">
      <c r="A60" s="770" t="s">
        <v>484</v>
      </c>
      <c r="B60" s="708" t="s">
        <v>86</v>
      </c>
      <c r="C60" s="709"/>
      <c r="D60" s="709"/>
      <c r="E60" s="709">
        <v>1891.2772325000001</v>
      </c>
      <c r="F60" s="709">
        <v>1891.2772325000001</v>
      </c>
      <c r="G60" s="776">
        <v>9179.7732624999953</v>
      </c>
      <c r="I60" s="578"/>
      <c r="K60" s="582"/>
      <c r="L60" s="582"/>
    </row>
    <row r="61" spans="1:12" ht="10.5" customHeight="1">
      <c r="A61" s="770"/>
      <c r="B61" s="708" t="s">
        <v>85</v>
      </c>
      <c r="C61" s="709"/>
      <c r="D61" s="709"/>
      <c r="E61" s="709">
        <v>2744.6895100000002</v>
      </c>
      <c r="F61" s="709">
        <v>2744.6895100000002</v>
      </c>
      <c r="G61" s="776">
        <v>19440.524992499995</v>
      </c>
      <c r="I61" s="578"/>
      <c r="K61" s="582"/>
      <c r="L61" s="582"/>
    </row>
    <row r="62" spans="1:12" ht="10.5" customHeight="1">
      <c r="A62" s="770"/>
      <c r="B62" s="708" t="s">
        <v>524</v>
      </c>
      <c r="C62" s="709"/>
      <c r="D62" s="709"/>
      <c r="E62" s="709">
        <v>1596.29305</v>
      </c>
      <c r="F62" s="709">
        <v>1596.29305</v>
      </c>
      <c r="G62" s="776">
        <v>9230.0158550000051</v>
      </c>
      <c r="I62" s="578"/>
      <c r="K62" s="582"/>
      <c r="L62" s="582"/>
    </row>
    <row r="63" spans="1:12" ht="10.5" customHeight="1">
      <c r="A63" s="772" t="s">
        <v>379</v>
      </c>
      <c r="B63" s="569"/>
      <c r="C63" s="570"/>
      <c r="D63" s="570"/>
      <c r="E63" s="570">
        <v>6232.2597925000009</v>
      </c>
      <c r="F63" s="570">
        <v>6232.2597925000009</v>
      </c>
      <c r="G63" s="777">
        <v>37850.314109999992</v>
      </c>
      <c r="I63" s="578"/>
      <c r="K63" s="582"/>
      <c r="L63" s="582"/>
    </row>
    <row r="64" spans="1:12" ht="10.5" customHeight="1">
      <c r="A64" s="770" t="s">
        <v>256</v>
      </c>
      <c r="B64" s="708" t="s">
        <v>380</v>
      </c>
      <c r="C64" s="709"/>
      <c r="D64" s="709">
        <v>2.5215424999999998</v>
      </c>
      <c r="E64" s="709"/>
      <c r="F64" s="709">
        <v>2.5215424999999998</v>
      </c>
      <c r="G64" s="776">
        <v>644.69487249999997</v>
      </c>
      <c r="I64" s="578"/>
      <c r="K64" s="582"/>
      <c r="L64" s="582"/>
    </row>
    <row r="65" spans="1:12" ht="10.5" customHeight="1">
      <c r="A65" s="772" t="s">
        <v>381</v>
      </c>
      <c r="B65" s="569"/>
      <c r="C65" s="570"/>
      <c r="D65" s="570">
        <v>2.5215424999999998</v>
      </c>
      <c r="E65" s="570"/>
      <c r="F65" s="570">
        <v>2.5215424999999998</v>
      </c>
      <c r="G65" s="777">
        <v>644.69487249999997</v>
      </c>
      <c r="I65" s="578"/>
      <c r="K65" s="582"/>
      <c r="L65" s="582"/>
    </row>
    <row r="66" spans="1:12" ht="10.5" customHeight="1">
      <c r="A66" s="770" t="s">
        <v>575</v>
      </c>
      <c r="B66" s="708" t="s">
        <v>577</v>
      </c>
      <c r="C66" s="709"/>
      <c r="D66" s="709"/>
      <c r="E66" s="709">
        <v>8323.4360349999988</v>
      </c>
      <c r="F66" s="709">
        <v>8323.4360349999988</v>
      </c>
      <c r="G66" s="776">
        <v>18404.028684999997</v>
      </c>
      <c r="I66" s="578"/>
      <c r="K66" s="582"/>
      <c r="L66" s="582"/>
    </row>
    <row r="67" spans="1:12" ht="10.5" customHeight="1">
      <c r="A67" s="772" t="s">
        <v>576</v>
      </c>
      <c r="B67" s="569"/>
      <c r="C67" s="570"/>
      <c r="D67" s="570"/>
      <c r="E67" s="570">
        <v>8323.4360349999988</v>
      </c>
      <c r="F67" s="570">
        <v>8323.4360349999988</v>
      </c>
      <c r="G67" s="777">
        <v>18404.028684999997</v>
      </c>
      <c r="I67" s="578"/>
      <c r="K67" s="582"/>
      <c r="L67" s="582"/>
    </row>
    <row r="68" spans="1:12" ht="10.5" customHeight="1">
      <c r="A68" s="770" t="s">
        <v>105</v>
      </c>
      <c r="B68" s="708" t="s">
        <v>62</v>
      </c>
      <c r="C68" s="709"/>
      <c r="D68" s="709"/>
      <c r="E68" s="709">
        <v>3967.9316424999997</v>
      </c>
      <c r="F68" s="709">
        <v>3967.9316424999997</v>
      </c>
      <c r="G68" s="776">
        <v>73431.158222499987</v>
      </c>
      <c r="I68" s="578"/>
      <c r="K68" s="582"/>
      <c r="L68" s="582"/>
    </row>
    <row r="69" spans="1:12" ht="10.5" customHeight="1">
      <c r="A69" s="790" t="s">
        <v>382</v>
      </c>
      <c r="B69" s="718"/>
      <c r="C69" s="719"/>
      <c r="D69" s="719"/>
      <c r="E69" s="719">
        <v>3967.9316424999997</v>
      </c>
      <c r="F69" s="719">
        <v>3967.9316424999997</v>
      </c>
      <c r="G69" s="791">
        <v>73431.158222499987</v>
      </c>
      <c r="I69" s="578"/>
      <c r="K69" s="582"/>
      <c r="L69" s="582"/>
    </row>
    <row r="70" spans="1:12" ht="10.5" customHeight="1">
      <c r="I70" s="578"/>
      <c r="K70" s="582"/>
      <c r="L70" s="584"/>
    </row>
    <row r="71" spans="1:12" ht="10.5" customHeight="1">
      <c r="I71" s="578"/>
      <c r="K71" s="582"/>
      <c r="L71" s="584"/>
    </row>
    <row r="72" spans="1:12" ht="10.5" customHeight="1">
      <c r="A72" s="356"/>
      <c r="B72" s="356"/>
      <c r="C72" s="356"/>
      <c r="D72" s="356"/>
      <c r="E72" s="356"/>
      <c r="F72" s="356"/>
      <c r="G72" s="356"/>
    </row>
    <row r="73" spans="1:12" ht="10.5" customHeight="1">
      <c r="A73" s="356"/>
      <c r="B73" s="356"/>
      <c r="C73" s="356"/>
      <c r="D73" s="356"/>
      <c r="E73" s="356"/>
      <c r="F73" s="356"/>
      <c r="G73" s="356"/>
    </row>
    <row r="74" spans="1:12" ht="10.5" customHeight="1">
      <c r="A74" s="356"/>
      <c r="B74" s="356"/>
      <c r="C74" s="356"/>
      <c r="D74" s="356"/>
      <c r="E74" s="356"/>
      <c r="F74" s="356"/>
      <c r="G74" s="356"/>
    </row>
    <row r="75" spans="1:12" ht="10.5" customHeight="1">
      <c r="A75" s="356"/>
      <c r="B75" s="356"/>
      <c r="C75" s="356"/>
      <c r="D75" s="356"/>
      <c r="E75" s="356"/>
      <c r="F75" s="356"/>
      <c r="G75" s="356"/>
    </row>
    <row r="76" spans="1:12" ht="10.5" customHeight="1">
      <c r="A76" s="356"/>
      <c r="B76" s="356"/>
      <c r="C76" s="356"/>
      <c r="D76" s="356"/>
      <c r="E76" s="356"/>
      <c r="F76" s="356"/>
      <c r="G76" s="356"/>
    </row>
    <row r="77" spans="1:12" ht="10.5" customHeight="1">
      <c r="A77" s="356"/>
      <c r="B77" s="356"/>
      <c r="C77" s="356"/>
      <c r="D77" s="356"/>
      <c r="E77" s="356"/>
      <c r="F77" s="356"/>
      <c r="G77" s="356"/>
    </row>
    <row r="78" spans="1:12" ht="10.5" customHeight="1">
      <c r="A78" s="356"/>
      <c r="B78" s="356"/>
      <c r="C78" s="356"/>
      <c r="D78" s="356"/>
      <c r="E78" s="356"/>
      <c r="F78" s="356"/>
      <c r="G78" s="356"/>
    </row>
    <row r="79" spans="1:12" ht="10.5" customHeight="1">
      <c r="A79" s="356"/>
      <c r="B79" s="356"/>
      <c r="C79" s="356"/>
      <c r="D79" s="356"/>
      <c r="E79" s="356"/>
      <c r="F79" s="356"/>
      <c r="G79" s="356"/>
    </row>
    <row r="80" spans="1:12" ht="10.5" customHeight="1">
      <c r="A80" s="356"/>
      <c r="B80" s="356"/>
      <c r="C80" s="356"/>
      <c r="D80" s="356"/>
      <c r="E80" s="356"/>
      <c r="F80" s="356"/>
      <c r="G80" s="356"/>
    </row>
    <row r="81" spans="1:7" ht="10.5" customHeight="1">
      <c r="A81" s="356"/>
      <c r="B81" s="356"/>
      <c r="C81" s="356"/>
      <c r="D81" s="356"/>
      <c r="E81" s="356"/>
      <c r="F81" s="356"/>
      <c r="G81" s="356"/>
    </row>
    <row r="82" spans="1:7" ht="10.5" customHeight="1">
      <c r="A82" s="356"/>
      <c r="B82" s="356"/>
      <c r="C82" s="356"/>
      <c r="D82" s="356"/>
      <c r="E82" s="356"/>
      <c r="F82" s="356"/>
      <c r="G82" s="356"/>
    </row>
    <row r="83" spans="1:7" ht="10.5" customHeight="1">
      <c r="A83" s="356"/>
      <c r="B83" s="356"/>
      <c r="C83" s="356"/>
      <c r="D83" s="356"/>
      <c r="E83" s="356"/>
      <c r="F83" s="356"/>
      <c r="G83" s="356"/>
    </row>
    <row r="84" spans="1:7" ht="10.5" customHeight="1">
      <c r="A84" s="356"/>
      <c r="B84" s="356"/>
      <c r="C84" s="356"/>
      <c r="D84" s="356"/>
      <c r="E84" s="356"/>
      <c r="F84" s="356"/>
      <c r="G84" s="356"/>
    </row>
    <row r="85" spans="1:7" ht="10.5" customHeight="1">
      <c r="A85" s="356"/>
      <c r="B85" s="356"/>
      <c r="C85" s="356"/>
      <c r="D85" s="356"/>
      <c r="E85" s="356"/>
      <c r="F85" s="356"/>
      <c r="G85" s="356"/>
    </row>
    <row r="86" spans="1:7" ht="10.5" customHeight="1">
      <c r="A86" s="356"/>
      <c r="B86" s="356"/>
      <c r="C86" s="356"/>
      <c r="D86" s="356"/>
      <c r="E86" s="356"/>
      <c r="F86" s="356"/>
      <c r="G86" s="356"/>
    </row>
    <row r="87" spans="1:7" ht="10.5" customHeight="1">
      <c r="A87" s="356"/>
      <c r="B87" s="356"/>
      <c r="C87" s="356"/>
      <c r="D87" s="356"/>
      <c r="E87" s="356"/>
      <c r="F87" s="356"/>
      <c r="G87" s="356"/>
    </row>
    <row r="88" spans="1:7" ht="10.5" customHeight="1">
      <c r="A88" s="356"/>
      <c r="B88" s="356"/>
      <c r="C88" s="356"/>
      <c r="D88" s="356"/>
      <c r="E88" s="356"/>
      <c r="F88" s="356"/>
      <c r="G88" s="356"/>
    </row>
    <row r="89" spans="1:7" ht="10.5" customHeight="1">
      <c r="A89" s="356"/>
      <c r="B89" s="356"/>
      <c r="C89" s="356"/>
      <c r="D89" s="356"/>
      <c r="E89" s="356"/>
      <c r="F89" s="356"/>
      <c r="G89" s="356"/>
    </row>
    <row r="90" spans="1:7" ht="10.5" customHeight="1">
      <c r="A90" s="356"/>
      <c r="B90" s="356"/>
      <c r="C90" s="356"/>
      <c r="D90" s="356"/>
      <c r="E90" s="356"/>
      <c r="F90" s="356"/>
      <c r="G90" s="356"/>
    </row>
    <row r="91" spans="1:7" ht="10.5" customHeight="1">
      <c r="A91" s="356"/>
      <c r="B91" s="356"/>
      <c r="C91" s="356"/>
      <c r="D91" s="356"/>
      <c r="E91" s="356"/>
      <c r="F91" s="356"/>
      <c r="G91" s="356"/>
    </row>
    <row r="92" spans="1:7" ht="10.5" customHeight="1">
      <c r="A92" s="356"/>
      <c r="B92" s="356"/>
      <c r="C92" s="356"/>
      <c r="D92" s="356"/>
      <c r="E92" s="356"/>
      <c r="F92" s="356"/>
      <c r="G92" s="356"/>
    </row>
    <row r="93" spans="1:7" ht="10.5" customHeight="1">
      <c r="A93" s="356"/>
      <c r="B93" s="356"/>
      <c r="C93" s="356"/>
      <c r="D93" s="356"/>
      <c r="E93" s="356"/>
      <c r="F93" s="356"/>
      <c r="G93" s="356"/>
    </row>
    <row r="94" spans="1:7" ht="10.5" customHeight="1">
      <c r="A94" s="356"/>
      <c r="B94" s="356"/>
      <c r="C94" s="356"/>
      <c r="D94" s="356"/>
      <c r="E94" s="356"/>
      <c r="F94" s="356"/>
      <c r="G94" s="356"/>
    </row>
    <row r="95" spans="1:7" ht="10.5" customHeight="1">
      <c r="A95" s="356"/>
      <c r="B95" s="356"/>
      <c r="C95" s="356"/>
      <c r="D95" s="356"/>
      <c r="E95" s="356"/>
      <c r="F95" s="356"/>
      <c r="G95" s="356"/>
    </row>
    <row r="96" spans="1:7" ht="10.5" customHeight="1">
      <c r="A96" s="356"/>
      <c r="B96" s="356"/>
      <c r="C96" s="356"/>
      <c r="D96" s="356"/>
      <c r="E96" s="356"/>
      <c r="F96" s="356"/>
      <c r="G96" s="356"/>
    </row>
    <row r="97" spans="1:7" ht="10.5" customHeight="1">
      <c r="A97" s="356"/>
      <c r="B97" s="356"/>
      <c r="C97" s="356"/>
      <c r="D97" s="356"/>
      <c r="E97" s="356"/>
      <c r="F97" s="356"/>
      <c r="G97" s="356"/>
    </row>
    <row r="98" spans="1:7" ht="10.5" customHeight="1">
      <c r="A98" s="356"/>
      <c r="B98" s="356"/>
      <c r="C98" s="356"/>
      <c r="D98" s="356"/>
      <c r="E98" s="356"/>
      <c r="F98" s="356"/>
      <c r="G98" s="356"/>
    </row>
    <row r="99" spans="1:7" ht="10.5" customHeight="1">
      <c r="A99" s="356"/>
      <c r="B99" s="356"/>
      <c r="C99" s="356"/>
      <c r="D99" s="356"/>
      <c r="E99" s="356"/>
      <c r="F99" s="356"/>
      <c r="G99" s="356"/>
    </row>
    <row r="100" spans="1:7" ht="10.5" customHeight="1">
      <c r="A100" s="356"/>
      <c r="B100" s="356"/>
      <c r="C100" s="356"/>
      <c r="D100" s="356"/>
      <c r="E100" s="356"/>
      <c r="F100" s="356"/>
      <c r="G100" s="356"/>
    </row>
    <row r="101" spans="1:7" ht="10.5" customHeight="1">
      <c r="A101" s="356"/>
      <c r="B101" s="356"/>
      <c r="C101" s="356"/>
      <c r="D101" s="356"/>
      <c r="E101" s="356"/>
      <c r="F101" s="356"/>
      <c r="G101" s="356"/>
    </row>
    <row r="102" spans="1:7" ht="10.5" customHeight="1">
      <c r="A102" s="356"/>
      <c r="B102" s="356"/>
      <c r="C102" s="356"/>
      <c r="D102" s="356"/>
      <c r="E102" s="356"/>
      <c r="F102" s="356"/>
      <c r="G102" s="356"/>
    </row>
    <row r="103" spans="1:7" ht="10.5" customHeight="1">
      <c r="A103" s="356"/>
      <c r="B103" s="356"/>
      <c r="C103" s="356"/>
      <c r="D103" s="356"/>
      <c r="E103" s="356"/>
      <c r="F103" s="356"/>
      <c r="G103" s="356"/>
    </row>
    <row r="104" spans="1:7" ht="10.5" customHeight="1">
      <c r="A104" s="356"/>
      <c r="B104" s="356"/>
      <c r="C104" s="356"/>
      <c r="D104" s="356"/>
      <c r="E104" s="356"/>
      <c r="F104" s="356"/>
      <c r="G104" s="356"/>
    </row>
    <row r="105" spans="1:7" ht="10.5" customHeight="1">
      <c r="A105" s="356"/>
      <c r="B105" s="356"/>
      <c r="C105" s="356"/>
      <c r="D105" s="356"/>
      <c r="E105" s="356"/>
      <c r="F105" s="356"/>
      <c r="G105" s="356"/>
    </row>
    <row r="106" spans="1:7" ht="10.5" customHeight="1">
      <c r="A106" s="356"/>
      <c r="B106" s="356"/>
      <c r="C106" s="356"/>
      <c r="D106" s="356"/>
      <c r="E106" s="356"/>
      <c r="F106" s="356"/>
      <c r="G106" s="356"/>
    </row>
    <row r="107" spans="1:7" ht="10.5" customHeight="1">
      <c r="A107" s="356"/>
      <c r="B107" s="356"/>
      <c r="C107" s="356"/>
      <c r="D107" s="356"/>
      <c r="E107" s="356"/>
      <c r="F107" s="356"/>
      <c r="G107" s="356"/>
    </row>
  </sheetData>
  <mergeCells count="5">
    <mergeCell ref="A1:A4"/>
    <mergeCell ref="B1:B4"/>
    <mergeCell ref="C1:F1"/>
    <mergeCell ref="C2:E2"/>
    <mergeCell ref="F2:F3"/>
  </mergeCells>
  <conditionalFormatting sqref="K70:K71">
    <cfRule type="cellIs" dxfId="0" priority="1" operator="greaterThan">
      <formula>0</formula>
    </cfRule>
  </conditionalFormatting>
  <pageMargins left="0.70866141732283472" right="0.47244094488188981"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2019&amp;C19&amp;R&amp;7Dirección Ejecutiva
Sub Dirección de Gestión de Información</oddFooter>
  </headerFooter>
  <rowBreaks count="1" manualBreakCount="1">
    <brk id="6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77A5"/>
  </sheetPr>
  <dimension ref="A1:M59"/>
  <sheetViews>
    <sheetView showGridLines="0" view="pageBreakPreview" zoomScale="145" zoomScaleNormal="100" zoomScaleSheetLayoutView="145" zoomScalePageLayoutView="160" workbookViewId="0">
      <selection activeCell="U69" sqref="T69:U69"/>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 min="10" max="11" width="9.33203125" customWidth="1"/>
  </cols>
  <sheetData>
    <row r="1" spans="1:12" ht="15.75" customHeight="1">
      <c r="A1" s="986" t="s">
        <v>264</v>
      </c>
      <c r="B1" s="989" t="s">
        <v>55</v>
      </c>
      <c r="C1" s="992" t="str">
        <f>+'19. ANEXOI-2'!C1:F1</f>
        <v>ENERGÍA PRODUCIDA JULIO 2019</v>
      </c>
      <c r="D1" s="992"/>
      <c r="E1" s="992"/>
      <c r="F1" s="992"/>
      <c r="G1" s="715" t="s">
        <v>290</v>
      </c>
      <c r="H1" s="203"/>
      <c r="I1" s="203"/>
      <c r="J1" s="203"/>
      <c r="K1" s="203"/>
    </row>
    <row r="2" spans="1:12" ht="11.25" customHeight="1">
      <c r="A2" s="987"/>
      <c r="B2" s="990"/>
      <c r="C2" s="993" t="s">
        <v>291</v>
      </c>
      <c r="D2" s="993"/>
      <c r="E2" s="993"/>
      <c r="F2" s="994" t="str">
        <f>"TOTAL 
"&amp;UPPER('1. Resumen'!Q4)</f>
        <v>TOTAL 
JULIO</v>
      </c>
      <c r="G2" s="716" t="s">
        <v>292</v>
      </c>
      <c r="H2" s="194"/>
      <c r="I2" s="194"/>
      <c r="J2" s="194"/>
      <c r="K2" s="194"/>
      <c r="L2" s="36"/>
    </row>
    <row r="3" spans="1:12" ht="11.25" customHeight="1">
      <c r="A3" s="987"/>
      <c r="B3" s="990"/>
      <c r="C3" s="705" t="s">
        <v>223</v>
      </c>
      <c r="D3" s="705" t="s">
        <v>224</v>
      </c>
      <c r="E3" s="705" t="s">
        <v>293</v>
      </c>
      <c r="F3" s="995"/>
      <c r="G3" s="716">
        <v>2019</v>
      </c>
      <c r="H3" s="196"/>
      <c r="I3" s="195"/>
      <c r="J3" s="195"/>
      <c r="K3" s="195"/>
      <c r="L3" s="36"/>
    </row>
    <row r="4" spans="1:12" ht="11.25" customHeight="1">
      <c r="A4" s="996"/>
      <c r="B4" s="997"/>
      <c r="C4" s="706" t="s">
        <v>294</v>
      </c>
      <c r="D4" s="706" t="s">
        <v>294</v>
      </c>
      <c r="E4" s="706" t="s">
        <v>294</v>
      </c>
      <c r="F4" s="706" t="s">
        <v>294</v>
      </c>
      <c r="G4" s="717" t="s">
        <v>211</v>
      </c>
      <c r="H4" s="196"/>
      <c r="I4" s="196"/>
      <c r="J4" s="196"/>
      <c r="K4" s="196"/>
      <c r="L4" s="8"/>
    </row>
    <row r="5" spans="1:12" s="356" customFormat="1" ht="9" customHeight="1">
      <c r="A5" s="770" t="s">
        <v>257</v>
      </c>
      <c r="B5" s="708" t="s">
        <v>383</v>
      </c>
      <c r="C5" s="709"/>
      <c r="D5" s="709">
        <v>404.10757000000001</v>
      </c>
      <c r="E5" s="709"/>
      <c r="F5" s="709">
        <v>404.10757000000001</v>
      </c>
      <c r="G5" s="776">
        <v>1188.3405775000001</v>
      </c>
      <c r="I5" s="455"/>
      <c r="J5" s="455"/>
      <c r="K5" s="582"/>
      <c r="L5" s="582"/>
    </row>
    <row r="6" spans="1:12" s="356" customFormat="1" ht="9" customHeight="1">
      <c r="A6" s="772" t="s">
        <v>384</v>
      </c>
      <c r="B6" s="569"/>
      <c r="C6" s="570"/>
      <c r="D6" s="570">
        <v>404.10757000000001</v>
      </c>
      <c r="E6" s="570"/>
      <c r="F6" s="570">
        <v>404.10757000000001</v>
      </c>
      <c r="G6" s="777">
        <v>1188.3405775000001</v>
      </c>
      <c r="I6" s="455"/>
      <c r="J6" s="455"/>
      <c r="K6" s="582"/>
      <c r="L6" s="582"/>
    </row>
    <row r="7" spans="1:12" s="356" customFormat="1" ht="9" customHeight="1">
      <c r="A7" s="770" t="s">
        <v>96</v>
      </c>
      <c r="B7" s="708" t="s">
        <v>385</v>
      </c>
      <c r="C7" s="709">
        <v>42822.244964999998</v>
      </c>
      <c r="D7" s="709"/>
      <c r="E7" s="709"/>
      <c r="F7" s="709">
        <v>42822.244964999998</v>
      </c>
      <c r="G7" s="776">
        <v>430563.49610249995</v>
      </c>
      <c r="I7" s="455"/>
      <c r="J7" s="455"/>
      <c r="K7" s="582"/>
      <c r="L7" s="582"/>
    </row>
    <row r="8" spans="1:12" s="356" customFormat="1" ht="9" customHeight="1">
      <c r="A8" s="772" t="s">
        <v>386</v>
      </c>
      <c r="B8" s="569"/>
      <c r="C8" s="570">
        <v>42822.244964999998</v>
      </c>
      <c r="D8" s="570"/>
      <c r="E8" s="570"/>
      <c r="F8" s="570">
        <v>42822.244964999998</v>
      </c>
      <c r="G8" s="777">
        <v>430563.49610249995</v>
      </c>
      <c r="I8" s="455"/>
      <c r="J8" s="455"/>
      <c r="K8" s="582"/>
      <c r="L8" s="582"/>
    </row>
    <row r="9" spans="1:12" s="356" customFormat="1" ht="9" customHeight="1">
      <c r="A9" s="770" t="s">
        <v>526</v>
      </c>
      <c r="B9" s="708" t="s">
        <v>561</v>
      </c>
      <c r="C9" s="709"/>
      <c r="D9" s="709"/>
      <c r="E9" s="709">
        <v>5006.3399399999998</v>
      </c>
      <c r="F9" s="709">
        <v>5006.3399399999998</v>
      </c>
      <c r="G9" s="776">
        <v>17668.460674999998</v>
      </c>
      <c r="I9" s="455"/>
      <c r="J9" s="455"/>
      <c r="K9" s="582"/>
      <c r="L9" s="582"/>
    </row>
    <row r="10" spans="1:12" s="356" customFormat="1" ht="9" customHeight="1">
      <c r="A10" s="772" t="s">
        <v>534</v>
      </c>
      <c r="B10" s="569"/>
      <c r="C10" s="570"/>
      <c r="D10" s="570"/>
      <c r="E10" s="570">
        <v>5006.3399399999998</v>
      </c>
      <c r="F10" s="570">
        <v>5006.3399399999998</v>
      </c>
      <c r="G10" s="777">
        <v>17668.460674999998</v>
      </c>
      <c r="I10" s="455"/>
      <c r="J10" s="455"/>
      <c r="K10" s="582"/>
      <c r="L10" s="582"/>
    </row>
    <row r="11" spans="1:12" s="356" customFormat="1" ht="9" customHeight="1">
      <c r="A11" s="770" t="s">
        <v>467</v>
      </c>
      <c r="B11" s="708" t="s">
        <v>474</v>
      </c>
      <c r="C11" s="709"/>
      <c r="D11" s="709"/>
      <c r="E11" s="709">
        <v>14703.850147499999</v>
      </c>
      <c r="F11" s="709">
        <v>14703.850147499999</v>
      </c>
      <c r="G11" s="776">
        <v>92471.408487499983</v>
      </c>
      <c r="I11" s="455"/>
      <c r="J11" s="455"/>
      <c r="K11" s="582"/>
      <c r="L11" s="582"/>
    </row>
    <row r="12" spans="1:12" s="356" customFormat="1" ht="9" customHeight="1">
      <c r="A12" s="772" t="s">
        <v>469</v>
      </c>
      <c r="B12" s="569"/>
      <c r="C12" s="570"/>
      <c r="D12" s="570"/>
      <c r="E12" s="570">
        <v>14703.850147499999</v>
      </c>
      <c r="F12" s="570">
        <v>14703.850147499999</v>
      </c>
      <c r="G12" s="777">
        <v>92471.408487499983</v>
      </c>
      <c r="I12" s="455"/>
      <c r="J12" s="455"/>
      <c r="K12" s="582"/>
      <c r="L12" s="582"/>
    </row>
    <row r="13" spans="1:12" s="356" customFormat="1" ht="9" customHeight="1">
      <c r="A13" s="770" t="s">
        <v>103</v>
      </c>
      <c r="B13" s="708" t="s">
        <v>387</v>
      </c>
      <c r="C13" s="709"/>
      <c r="D13" s="709">
        <v>20584.662175000001</v>
      </c>
      <c r="E13" s="709"/>
      <c r="F13" s="709">
        <v>20584.662175000001</v>
      </c>
      <c r="G13" s="776">
        <v>140149.63636250002</v>
      </c>
      <c r="I13" s="455"/>
      <c r="J13" s="455"/>
      <c r="K13" s="582"/>
      <c r="L13" s="582"/>
    </row>
    <row r="14" spans="1:12" s="356" customFormat="1" ht="9" customHeight="1">
      <c r="A14" s="772" t="s">
        <v>388</v>
      </c>
      <c r="B14" s="569"/>
      <c r="C14" s="570"/>
      <c r="D14" s="570">
        <v>20584.662175000001</v>
      </c>
      <c r="E14" s="570"/>
      <c r="F14" s="570">
        <v>20584.662175000001</v>
      </c>
      <c r="G14" s="777">
        <v>140149.63636250002</v>
      </c>
      <c r="I14" s="455"/>
      <c r="J14" s="455"/>
      <c r="K14" s="582"/>
      <c r="L14" s="582"/>
    </row>
    <row r="15" spans="1:12" s="356" customFormat="1" ht="9" customHeight="1">
      <c r="A15" s="770" t="s">
        <v>121</v>
      </c>
      <c r="B15" s="708" t="s">
        <v>389</v>
      </c>
      <c r="C15" s="709"/>
      <c r="D15" s="709">
        <v>75.193492500000005</v>
      </c>
      <c r="E15" s="709"/>
      <c r="F15" s="709">
        <v>75.193492500000005</v>
      </c>
      <c r="G15" s="776">
        <v>42515.273519999988</v>
      </c>
      <c r="I15" s="455"/>
      <c r="J15" s="455"/>
      <c r="K15" s="582"/>
      <c r="L15" s="582"/>
    </row>
    <row r="16" spans="1:12" s="356" customFormat="1" ht="9" customHeight="1">
      <c r="A16" s="772" t="s">
        <v>390</v>
      </c>
      <c r="B16" s="569"/>
      <c r="C16" s="570"/>
      <c r="D16" s="570">
        <v>75.193492500000005</v>
      </c>
      <c r="E16" s="570"/>
      <c r="F16" s="570">
        <v>75.193492500000005</v>
      </c>
      <c r="G16" s="777">
        <v>42515.273519999988</v>
      </c>
      <c r="I16" s="455"/>
      <c r="J16" s="455"/>
      <c r="K16" s="582"/>
      <c r="L16" s="582"/>
    </row>
    <row r="17" spans="1:12" s="356" customFormat="1" ht="9" customHeight="1">
      <c r="A17" s="770" t="s">
        <v>114</v>
      </c>
      <c r="B17" s="708" t="s">
        <v>578</v>
      </c>
      <c r="C17" s="709"/>
      <c r="D17" s="709"/>
      <c r="E17" s="709">
        <v>12728.028194999999</v>
      </c>
      <c r="F17" s="709">
        <v>12728.028194999999</v>
      </c>
      <c r="G17" s="776">
        <v>27470.787812499999</v>
      </c>
      <c r="I17" s="455"/>
      <c r="J17" s="455"/>
      <c r="K17" s="582"/>
      <c r="L17" s="582"/>
    </row>
    <row r="18" spans="1:12" s="356" customFormat="1" ht="9" customHeight="1">
      <c r="A18" s="770"/>
      <c r="B18" s="708" t="s">
        <v>70</v>
      </c>
      <c r="C18" s="709"/>
      <c r="D18" s="709"/>
      <c r="E18" s="709">
        <v>3238.8042025</v>
      </c>
      <c r="F18" s="709">
        <v>3238.8042025</v>
      </c>
      <c r="G18" s="776">
        <v>32065.377694999992</v>
      </c>
      <c r="I18" s="455"/>
      <c r="J18" s="455"/>
      <c r="K18" s="582"/>
      <c r="L18" s="582"/>
    </row>
    <row r="19" spans="1:12" s="356" customFormat="1" ht="9" customHeight="1">
      <c r="A19" s="772" t="s">
        <v>391</v>
      </c>
      <c r="B19" s="569"/>
      <c r="C19" s="570"/>
      <c r="D19" s="570"/>
      <c r="E19" s="570">
        <v>15966.832397499998</v>
      </c>
      <c r="F19" s="570">
        <v>15966.832397499998</v>
      </c>
      <c r="G19" s="777">
        <v>59536.165507499987</v>
      </c>
      <c r="I19" s="455"/>
      <c r="J19" s="455"/>
      <c r="K19" s="582"/>
      <c r="L19" s="582"/>
    </row>
    <row r="20" spans="1:12" s="356" customFormat="1" ht="9" customHeight="1">
      <c r="A20" s="770" t="s">
        <v>91</v>
      </c>
      <c r="B20" s="708" t="s">
        <v>392</v>
      </c>
      <c r="C20" s="709">
        <v>19780.168947500002</v>
      </c>
      <c r="D20" s="709"/>
      <c r="E20" s="709"/>
      <c r="F20" s="709">
        <v>19780.168947500002</v>
      </c>
      <c r="G20" s="776">
        <v>166362.46292749999</v>
      </c>
      <c r="I20" s="455"/>
      <c r="J20" s="455"/>
      <c r="K20" s="582"/>
      <c r="L20" s="582"/>
    </row>
    <row r="21" spans="1:12" s="356" customFormat="1" ht="9" customHeight="1">
      <c r="A21" s="770"/>
      <c r="B21" s="708" t="s">
        <v>393</v>
      </c>
      <c r="C21" s="709">
        <v>37560.027422500003</v>
      </c>
      <c r="D21" s="709"/>
      <c r="E21" s="709"/>
      <c r="F21" s="709">
        <v>37560.027422500003</v>
      </c>
      <c r="G21" s="776">
        <v>520127.56750500004</v>
      </c>
      <c r="I21" s="455"/>
      <c r="J21" s="455"/>
      <c r="K21" s="582"/>
      <c r="L21" s="582"/>
    </row>
    <row r="22" spans="1:12" s="356" customFormat="1" ht="9" customHeight="1">
      <c r="A22" s="770"/>
      <c r="B22" s="708" t="s">
        <v>394</v>
      </c>
      <c r="C22" s="709">
        <v>6471.9544599999999</v>
      </c>
      <c r="D22" s="709"/>
      <c r="E22" s="709"/>
      <c r="F22" s="709">
        <v>6471.9544599999999</v>
      </c>
      <c r="G22" s="776">
        <v>88743.622362499969</v>
      </c>
      <c r="I22" s="455"/>
      <c r="J22" s="455"/>
      <c r="K22" s="582"/>
      <c r="L22" s="582"/>
    </row>
    <row r="23" spans="1:12" s="356" customFormat="1" ht="9" customHeight="1">
      <c r="A23" s="770"/>
      <c r="B23" s="708" t="s">
        <v>395</v>
      </c>
      <c r="C23" s="709">
        <v>148.76253500000001</v>
      </c>
      <c r="D23" s="709"/>
      <c r="E23" s="709"/>
      <c r="F23" s="709">
        <v>148.76253500000001</v>
      </c>
      <c r="G23" s="776">
        <v>470.80142500000005</v>
      </c>
      <c r="I23" s="455"/>
      <c r="J23" s="455"/>
      <c r="K23" s="582"/>
      <c r="L23" s="582"/>
    </row>
    <row r="24" spans="1:12" s="356" customFormat="1" ht="9" customHeight="1">
      <c r="A24" s="770"/>
      <c r="B24" s="708" t="s">
        <v>396</v>
      </c>
      <c r="C24" s="709">
        <v>17655.748645</v>
      </c>
      <c r="D24" s="709"/>
      <c r="E24" s="709"/>
      <c r="F24" s="709">
        <v>17655.748645</v>
      </c>
      <c r="G24" s="776">
        <v>149669.29185499996</v>
      </c>
      <c r="I24" s="455"/>
      <c r="J24" s="455"/>
      <c r="K24" s="582"/>
      <c r="L24" s="582"/>
    </row>
    <row r="25" spans="1:12" s="356" customFormat="1" ht="9" customHeight="1">
      <c r="A25" s="770"/>
      <c r="B25" s="708" t="s">
        <v>397</v>
      </c>
      <c r="C25" s="709">
        <v>2258.0695974999999</v>
      </c>
      <c r="D25" s="709"/>
      <c r="E25" s="709"/>
      <c r="F25" s="709">
        <v>2258.0695974999999</v>
      </c>
      <c r="G25" s="776">
        <v>14084.724517500003</v>
      </c>
      <c r="I25" s="455"/>
      <c r="J25" s="455"/>
      <c r="K25" s="582"/>
      <c r="L25" s="582"/>
    </row>
    <row r="26" spans="1:12" s="356" customFormat="1" ht="9" customHeight="1">
      <c r="A26" s="770"/>
      <c r="B26" s="708" t="s">
        <v>398</v>
      </c>
      <c r="C26" s="709">
        <v>4563.84159</v>
      </c>
      <c r="D26" s="709"/>
      <c r="E26" s="709"/>
      <c r="F26" s="709">
        <v>4563.84159</v>
      </c>
      <c r="G26" s="776">
        <v>24363.235530000002</v>
      </c>
      <c r="I26" s="455"/>
      <c r="J26" s="455"/>
      <c r="K26" s="582"/>
      <c r="L26" s="582"/>
    </row>
    <row r="27" spans="1:12" s="356" customFormat="1" ht="8.25" customHeight="1">
      <c r="A27" s="770"/>
      <c r="B27" s="708" t="s">
        <v>399</v>
      </c>
      <c r="C27" s="709">
        <v>2104.4458725</v>
      </c>
      <c r="D27" s="709"/>
      <c r="E27" s="709"/>
      <c r="F27" s="709">
        <v>2104.4458725</v>
      </c>
      <c r="G27" s="776">
        <v>14736.134502499994</v>
      </c>
      <c r="I27" s="455"/>
      <c r="J27" s="455"/>
      <c r="K27" s="582"/>
      <c r="L27" s="582"/>
    </row>
    <row r="28" spans="1:12" s="356" customFormat="1" ht="9" customHeight="1">
      <c r="A28" s="770"/>
      <c r="B28" s="708" t="s">
        <v>400</v>
      </c>
      <c r="C28" s="709">
        <v>861.95133499999997</v>
      </c>
      <c r="D28" s="709"/>
      <c r="E28" s="709"/>
      <c r="F28" s="709">
        <v>861.95133499999997</v>
      </c>
      <c r="G28" s="776">
        <v>9695.4147249999987</v>
      </c>
      <c r="I28" s="455"/>
      <c r="J28" s="455"/>
      <c r="K28" s="582"/>
      <c r="L28" s="582"/>
    </row>
    <row r="29" spans="1:12" s="356" customFormat="1" ht="9" customHeight="1">
      <c r="A29" s="770"/>
      <c r="B29" s="708" t="s">
        <v>401</v>
      </c>
      <c r="C29" s="709">
        <v>311.44670250000001</v>
      </c>
      <c r="D29" s="709"/>
      <c r="E29" s="709"/>
      <c r="F29" s="709">
        <v>311.44670250000001</v>
      </c>
      <c r="G29" s="776">
        <v>2134.4561424999997</v>
      </c>
      <c r="I29" s="455"/>
      <c r="J29" s="455"/>
      <c r="K29" s="582"/>
      <c r="L29" s="582"/>
    </row>
    <row r="30" spans="1:12" s="356" customFormat="1" ht="9" customHeight="1">
      <c r="A30" s="770"/>
      <c r="B30" s="708" t="s">
        <v>402</v>
      </c>
      <c r="C30" s="709">
        <v>243.64980249999999</v>
      </c>
      <c r="D30" s="709"/>
      <c r="E30" s="709"/>
      <c r="F30" s="709">
        <v>243.64980249999999</v>
      </c>
      <c r="G30" s="776">
        <v>1592.3059225000004</v>
      </c>
      <c r="I30" s="455"/>
      <c r="J30" s="455"/>
      <c r="K30" s="582"/>
      <c r="L30" s="582"/>
    </row>
    <row r="31" spans="1:12" s="356" customFormat="1" ht="9" customHeight="1">
      <c r="A31" s="770"/>
      <c r="B31" s="708" t="s">
        <v>403</v>
      </c>
      <c r="C31" s="709">
        <v>63330.363802499996</v>
      </c>
      <c r="D31" s="709"/>
      <c r="E31" s="709"/>
      <c r="F31" s="709">
        <v>63330.363802499996</v>
      </c>
      <c r="G31" s="776">
        <v>473206.16312500002</v>
      </c>
      <c r="I31" s="455"/>
      <c r="J31" s="455"/>
      <c r="K31" s="582"/>
      <c r="L31" s="582"/>
    </row>
    <row r="32" spans="1:12" s="356" customFormat="1" ht="9" customHeight="1">
      <c r="A32" s="772" t="s">
        <v>404</v>
      </c>
      <c r="B32" s="569"/>
      <c r="C32" s="570">
        <v>155290.43071250001</v>
      </c>
      <c r="D32" s="570"/>
      <c r="E32" s="570"/>
      <c r="F32" s="570">
        <v>155290.43071250001</v>
      </c>
      <c r="G32" s="777">
        <v>1465186.1805399999</v>
      </c>
      <c r="I32" s="455"/>
      <c r="J32" s="455"/>
      <c r="K32" s="582"/>
      <c r="L32" s="582"/>
    </row>
    <row r="33" spans="1:13" s="356" customFormat="1" ht="9" customHeight="1">
      <c r="A33" s="770" t="s">
        <v>110</v>
      </c>
      <c r="B33" s="708" t="s">
        <v>243</v>
      </c>
      <c r="C33" s="709"/>
      <c r="D33" s="709"/>
      <c r="E33" s="709">
        <v>2916.0315799999998</v>
      </c>
      <c r="F33" s="709">
        <v>2916.0315799999998</v>
      </c>
      <c r="G33" s="776">
        <v>25744.712372500006</v>
      </c>
      <c r="K33" s="582"/>
      <c r="L33" s="582"/>
    </row>
    <row r="34" spans="1:13" s="356" customFormat="1" ht="9" customHeight="1">
      <c r="A34" s="772" t="s">
        <v>405</v>
      </c>
      <c r="B34" s="569"/>
      <c r="C34" s="570"/>
      <c r="D34" s="570"/>
      <c r="E34" s="570">
        <v>2916.0315799999998</v>
      </c>
      <c r="F34" s="570">
        <v>2916.0315799999998</v>
      </c>
      <c r="G34" s="777">
        <v>25744.712372500006</v>
      </c>
      <c r="K34" s="582"/>
      <c r="L34" s="582"/>
    </row>
    <row r="35" spans="1:13">
      <c r="A35" s="770" t="s">
        <v>101</v>
      </c>
      <c r="B35" s="708" t="s">
        <v>531</v>
      </c>
      <c r="C35" s="708"/>
      <c r="D35" s="708">
        <v>194849.12664500001</v>
      </c>
      <c r="E35" s="708"/>
      <c r="F35" s="708">
        <v>194849.12664500001</v>
      </c>
      <c r="G35" s="778">
        <v>1072975.6974749996</v>
      </c>
    </row>
    <row r="36" spans="1:13">
      <c r="A36" s="772" t="s">
        <v>406</v>
      </c>
      <c r="B36" s="569"/>
      <c r="C36" s="570"/>
      <c r="D36" s="570">
        <v>194849.12664500001</v>
      </c>
      <c r="E36" s="570"/>
      <c r="F36" s="570">
        <v>194849.12664500001</v>
      </c>
      <c r="G36" s="777">
        <v>1072975.6974749996</v>
      </c>
    </row>
    <row r="37" spans="1:13">
      <c r="A37" s="779" t="s">
        <v>106</v>
      </c>
      <c r="B37" s="722" t="s">
        <v>407</v>
      </c>
      <c r="C37" s="723"/>
      <c r="D37" s="723">
        <v>27007.3403225</v>
      </c>
      <c r="E37" s="723"/>
      <c r="F37" s="723">
        <v>27007.3403225</v>
      </c>
      <c r="G37" s="780">
        <v>134084.82418749999</v>
      </c>
    </row>
    <row r="38" spans="1:13">
      <c r="A38" s="781" t="s">
        <v>408</v>
      </c>
      <c r="B38" s="782"/>
      <c r="C38" s="783"/>
      <c r="D38" s="783">
        <v>27007.3403225</v>
      </c>
      <c r="E38" s="783"/>
      <c r="F38" s="783">
        <v>27007.3403225</v>
      </c>
      <c r="G38" s="784">
        <v>134084.82418749999</v>
      </c>
    </row>
    <row r="39" spans="1:13">
      <c r="A39" s="549" t="s">
        <v>504</v>
      </c>
      <c r="B39" s="549"/>
      <c r="C39" s="548">
        <v>1949690.7502774999</v>
      </c>
      <c r="D39" s="548">
        <v>2087038.4284925</v>
      </c>
      <c r="E39" s="548">
        <v>361212.48400250002</v>
      </c>
      <c r="F39" s="548">
        <v>4397941.6627725009</v>
      </c>
      <c r="G39" s="724">
        <v>30746084.826495014</v>
      </c>
    </row>
    <row r="40" spans="1:13">
      <c r="A40" s="549" t="s">
        <v>409</v>
      </c>
      <c r="B40" s="549"/>
      <c r="C40" s="550"/>
      <c r="D40" s="550"/>
      <c r="E40" s="604"/>
      <c r="F40" s="551">
        <f>+'3. Tipo Generación'!D14*1000</f>
        <v>8307.0756200000105</v>
      </c>
      <c r="G40" s="725">
        <f>+'4. Tipo Recurso'!$G$21*1000</f>
        <v>38304.25208000002</v>
      </c>
    </row>
    <row r="41" spans="1:13">
      <c r="A41" s="726" t="s">
        <v>410</v>
      </c>
      <c r="B41" s="549"/>
      <c r="C41" s="550"/>
      <c r="D41" s="550"/>
      <c r="E41" s="604"/>
      <c r="F41" s="551"/>
      <c r="G41" s="725"/>
    </row>
    <row r="42" spans="1:13" ht="6.75" customHeight="1">
      <c r="A42" s="727"/>
      <c r="B42" s="727"/>
      <c r="C42" s="727"/>
      <c r="D42" s="727"/>
      <c r="E42" s="727"/>
      <c r="F42" s="727"/>
      <c r="G42" s="727"/>
    </row>
    <row r="43" spans="1:13" ht="23.25" customHeight="1">
      <c r="A43" s="999" t="s">
        <v>545</v>
      </c>
      <c r="B43" s="999"/>
      <c r="C43" s="999"/>
      <c r="D43" s="999"/>
      <c r="E43" s="999"/>
      <c r="F43" s="999"/>
      <c r="G43" s="999"/>
    </row>
    <row r="44" spans="1:13" ht="17.25" customHeight="1">
      <c r="A44" s="814" t="s">
        <v>582</v>
      </c>
      <c r="B44" s="814"/>
      <c r="C44" s="814"/>
      <c r="D44" s="814"/>
      <c r="E44" s="814"/>
      <c r="F44" s="814"/>
      <c r="G44" s="814"/>
      <c r="H44" s="46"/>
    </row>
    <row r="45" spans="1:13" ht="17.25" customHeight="1">
      <c r="A45" s="814" t="s">
        <v>583</v>
      </c>
      <c r="B45" s="814"/>
      <c r="C45" s="814"/>
      <c r="D45" s="814"/>
      <c r="E45" s="814"/>
      <c r="F45" s="814"/>
      <c r="G45" s="814"/>
      <c r="H45" s="46"/>
    </row>
    <row r="46" spans="1:13" s="445" customFormat="1" ht="17.25" customHeight="1">
      <c r="A46" s="814" t="s">
        <v>584</v>
      </c>
      <c r="B46" s="814"/>
      <c r="C46" s="814"/>
      <c r="D46" s="814"/>
      <c r="E46" s="814"/>
      <c r="F46" s="814"/>
      <c r="G46" s="814"/>
      <c r="H46" s="46"/>
      <c r="I46"/>
      <c r="J46"/>
      <c r="K46"/>
      <c r="L46"/>
      <c r="M46"/>
    </row>
    <row r="47" spans="1:13" ht="17.25" customHeight="1">
      <c r="A47" s="814" t="s">
        <v>585</v>
      </c>
      <c r="B47" s="814"/>
      <c r="C47" s="814"/>
      <c r="D47" s="814"/>
      <c r="E47" s="814"/>
      <c r="F47" s="814"/>
      <c r="G47" s="814"/>
      <c r="H47" s="46"/>
    </row>
    <row r="48" spans="1:13" ht="17.25" customHeight="1">
      <c r="A48" s="814" t="s">
        <v>609</v>
      </c>
      <c r="B48" s="292"/>
      <c r="C48" s="292"/>
      <c r="D48" s="292"/>
      <c r="E48" s="292"/>
      <c r="F48" s="292"/>
      <c r="G48" s="46"/>
      <c r="H48" s="46"/>
    </row>
    <row r="49" spans="1:8" ht="17.25" customHeight="1">
      <c r="A49" s="814" t="s">
        <v>608</v>
      </c>
      <c r="B49" s="292"/>
      <c r="C49" s="292"/>
      <c r="D49" s="292"/>
      <c r="E49" s="292"/>
      <c r="F49" s="292"/>
      <c r="G49" s="46"/>
      <c r="H49" s="46"/>
    </row>
    <row r="50" spans="1:8" ht="22.5" customHeight="1">
      <c r="A50" s="998" t="s">
        <v>750</v>
      </c>
      <c r="B50" s="998"/>
      <c r="C50" s="998"/>
      <c r="D50" s="998"/>
      <c r="E50" s="998"/>
      <c r="F50" s="998"/>
      <c r="G50" s="998"/>
    </row>
    <row r="51" spans="1:8" ht="16.5" customHeight="1">
      <c r="A51" s="814" t="s">
        <v>747</v>
      </c>
      <c r="B51" s="280"/>
      <c r="C51" s="280"/>
      <c r="D51" s="280"/>
      <c r="E51" s="280"/>
      <c r="F51" s="280"/>
    </row>
    <row r="52" spans="1:8">
      <c r="A52" s="356"/>
      <c r="B52" s="280"/>
      <c r="C52" s="280"/>
      <c r="D52" s="280"/>
      <c r="E52" s="280"/>
      <c r="F52" s="280"/>
    </row>
    <row r="53" spans="1:8">
      <c r="A53" s="356"/>
      <c r="B53" s="280"/>
      <c r="C53" s="280"/>
      <c r="D53" s="280"/>
      <c r="E53" s="280"/>
      <c r="F53" s="280"/>
    </row>
    <row r="54" spans="1:8">
      <c r="A54" s="356"/>
      <c r="B54" s="280"/>
      <c r="C54" s="280"/>
      <c r="D54" s="280"/>
      <c r="E54" s="280"/>
      <c r="F54" s="280"/>
    </row>
    <row r="55" spans="1:8">
      <c r="A55" s="356"/>
      <c r="B55" s="280"/>
      <c r="C55" s="280"/>
      <c r="D55" s="280"/>
      <c r="E55" s="280"/>
      <c r="F55" s="280"/>
    </row>
    <row r="56" spans="1:8">
      <c r="A56" s="356"/>
      <c r="B56" s="280"/>
      <c r="C56" s="280"/>
      <c r="D56" s="280"/>
      <c r="E56" s="280"/>
      <c r="F56" s="280"/>
    </row>
    <row r="57" spans="1:8">
      <c r="A57" s="356"/>
    </row>
    <row r="58" spans="1:8">
      <c r="A58" s="356"/>
    </row>
    <row r="59" spans="1:8">
      <c r="A59" s="356"/>
    </row>
  </sheetData>
  <mergeCells count="7">
    <mergeCell ref="A50:G50"/>
    <mergeCell ref="A43:G43"/>
    <mergeCell ref="A1:A4"/>
    <mergeCell ref="B1:B4"/>
    <mergeCell ref="C1:F1"/>
    <mergeCell ref="C2:E2"/>
    <mergeCell ref="F2:F3"/>
  </mergeCells>
  <pageMargins left="0.70866141732283472" right="0.47244094488188981"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77A5"/>
  </sheetPr>
  <dimension ref="A1:P192"/>
  <sheetViews>
    <sheetView showGridLines="0" view="pageBreakPreview" topLeftCell="A39" zoomScale="130" zoomScaleNormal="100" zoomScaleSheetLayoutView="130" zoomScalePageLayoutView="160" workbookViewId="0">
      <selection activeCell="U69" sqref="T69:U69"/>
    </sheetView>
  </sheetViews>
  <sheetFormatPr defaultColWidth="9.33203125" defaultRowHeight="9"/>
  <cols>
    <col min="1" max="1" width="24" style="280" customWidth="1"/>
    <col min="2" max="2" width="22.1640625" style="280" customWidth="1"/>
    <col min="3" max="4" width="17.6640625" style="280" customWidth="1"/>
    <col min="5" max="5" width="15.1640625" style="280" customWidth="1"/>
    <col min="6" max="6" width="12.1640625" style="280" customWidth="1"/>
    <col min="7" max="7" width="9.33203125" style="280"/>
    <col min="8" max="8" width="15.6640625" style="280" customWidth="1"/>
    <col min="9" max="9" width="9.33203125" style="280"/>
    <col min="10" max="11" width="9.33203125" style="280" customWidth="1"/>
    <col min="12" max="16384" width="9.33203125" style="280"/>
  </cols>
  <sheetData>
    <row r="1" spans="1:12" ht="11.25" customHeight="1">
      <c r="A1" s="740" t="s">
        <v>413</v>
      </c>
      <c r="B1" s="741"/>
      <c r="C1" s="741"/>
      <c r="D1" s="741"/>
      <c r="E1" s="741"/>
      <c r="F1" s="741"/>
    </row>
    <row r="2" spans="1:12" s="356" customFormat="1" ht="11.25" customHeight="1">
      <c r="A2" s="1000" t="s">
        <v>264</v>
      </c>
      <c r="B2" s="1003" t="s">
        <v>55</v>
      </c>
      <c r="C2" s="1003" t="s">
        <v>414</v>
      </c>
      <c r="D2" s="1003"/>
      <c r="E2" s="1003"/>
      <c r="F2" s="1006"/>
      <c r="G2" s="472"/>
      <c r="H2" s="472"/>
      <c r="I2" s="472"/>
      <c r="J2" s="472"/>
      <c r="K2" s="472"/>
    </row>
    <row r="3" spans="1:12" s="356" customFormat="1" ht="11.25" customHeight="1">
      <c r="A3" s="1001"/>
      <c r="B3" s="1004"/>
      <c r="C3" s="552" t="str">
        <f>UPPER('1. Resumen'!Q4)&amp;" "&amp;'1. Resumen'!Q5</f>
        <v>JULIO 2019</v>
      </c>
      <c r="D3" s="553" t="str">
        <f>UPPER('1. Resumen'!Q4)&amp;" "&amp;'1. Resumen'!Q5-1</f>
        <v>JULIO 2018</v>
      </c>
      <c r="E3" s="840" t="s">
        <v>598</v>
      </c>
      <c r="F3" s="728" t="s">
        <v>536</v>
      </c>
      <c r="G3" s="473"/>
      <c r="H3" s="473"/>
      <c r="I3" s="473"/>
      <c r="J3" s="473"/>
      <c r="K3" s="473"/>
      <c r="L3" s="472"/>
    </row>
    <row r="4" spans="1:12" s="356" customFormat="1" ht="11.25" customHeight="1">
      <c r="A4" s="1001"/>
      <c r="B4" s="1004"/>
      <c r="C4" s="555">
        <f>+'8. Max Potencia'!D8</f>
        <v>43668.854166666664</v>
      </c>
      <c r="D4" s="555">
        <f>+'8. Max Potencia'!E8</f>
        <v>43294.791666666664</v>
      </c>
      <c r="E4" s="555">
        <v>42928.822916666664</v>
      </c>
      <c r="F4" s="729" t="s">
        <v>411</v>
      </c>
      <c r="G4" s="474"/>
      <c r="H4" s="474"/>
      <c r="I4" s="475"/>
      <c r="J4" s="475"/>
      <c r="K4" s="475"/>
      <c r="L4" s="472"/>
    </row>
    <row r="5" spans="1:12" s="356" customFormat="1" ht="11.25" customHeight="1">
      <c r="A5" s="1002"/>
      <c r="B5" s="1005"/>
      <c r="C5" s="732">
        <f>+'8. Max Potencia'!D9</f>
        <v>43668.854166666664</v>
      </c>
      <c r="D5" s="732">
        <f>+'8. Max Potencia'!E9</f>
        <v>43294.791666666664</v>
      </c>
      <c r="E5" s="732">
        <f>+E4</f>
        <v>42928.822916666664</v>
      </c>
      <c r="F5" s="733" t="s">
        <v>412</v>
      </c>
      <c r="G5" s="474"/>
      <c r="H5" s="474"/>
      <c r="I5" s="474"/>
      <c r="J5" s="474"/>
      <c r="K5" s="474"/>
      <c r="L5" s="476"/>
    </row>
    <row r="6" spans="1:12" s="356" customFormat="1" ht="10.5" customHeight="1">
      <c r="A6" s="792" t="s">
        <v>123</v>
      </c>
      <c r="B6" s="469" t="s">
        <v>87</v>
      </c>
      <c r="C6" s="477">
        <v>0</v>
      </c>
      <c r="D6" s="477">
        <v>0</v>
      </c>
      <c r="E6" s="477">
        <v>2.1127600000000002</v>
      </c>
      <c r="F6" s="797" t="str">
        <f>+IF(D6=0,"",C6/D6-1)</f>
        <v/>
      </c>
      <c r="G6" s="474"/>
      <c r="H6" s="586"/>
      <c r="I6" s="586"/>
      <c r="J6" s="474"/>
      <c r="K6" s="474"/>
      <c r="L6" s="478"/>
    </row>
    <row r="7" spans="1:12" s="356" customFormat="1" ht="10.5" customHeight="1">
      <c r="A7" s="772" t="s">
        <v>295</v>
      </c>
      <c r="B7" s="569"/>
      <c r="C7" s="571">
        <v>0</v>
      </c>
      <c r="D7" s="571">
        <v>0</v>
      </c>
      <c r="E7" s="571">
        <v>2.1127600000000002</v>
      </c>
      <c r="F7" s="773" t="str">
        <f t="shared" ref="F7:F79" si="0">+IF(D7=0,"",C7/D7-1)</f>
        <v/>
      </c>
      <c r="G7" s="474"/>
      <c r="H7" s="586"/>
      <c r="I7" s="586"/>
      <c r="J7" s="474"/>
      <c r="K7" s="474"/>
      <c r="L7" s="479"/>
    </row>
    <row r="8" spans="1:12" s="356" customFormat="1" ht="10.5" customHeight="1">
      <c r="A8" s="792" t="s">
        <v>122</v>
      </c>
      <c r="B8" s="469" t="s">
        <v>64</v>
      </c>
      <c r="C8" s="477">
        <v>3.5552600000000001</v>
      </c>
      <c r="D8" s="477">
        <v>4.2273899999999998</v>
      </c>
      <c r="E8" s="477">
        <v>1.26932</v>
      </c>
      <c r="F8" s="798">
        <f t="shared" si="0"/>
        <v>-0.15899408382004021</v>
      </c>
      <c r="G8" s="474"/>
      <c r="H8" s="586"/>
      <c r="I8" s="586"/>
      <c r="J8" s="474"/>
      <c r="K8" s="474"/>
      <c r="L8" s="480"/>
    </row>
    <row r="9" spans="1:12" s="356" customFormat="1" ht="10.5" customHeight="1">
      <c r="A9" s="772" t="s">
        <v>296</v>
      </c>
      <c r="B9" s="569"/>
      <c r="C9" s="571">
        <v>3.5552600000000001</v>
      </c>
      <c r="D9" s="571">
        <v>4.2273899999999998</v>
      </c>
      <c r="E9" s="571">
        <v>1.26932</v>
      </c>
      <c r="F9" s="773">
        <f t="shared" si="0"/>
        <v>-0.15899408382004021</v>
      </c>
      <c r="G9" s="474"/>
      <c r="H9" s="586"/>
      <c r="I9" s="586"/>
      <c r="J9" s="474"/>
      <c r="K9" s="474"/>
      <c r="L9" s="479"/>
    </row>
    <row r="10" spans="1:12" s="356" customFormat="1" ht="10.5" customHeight="1">
      <c r="A10" s="770" t="s">
        <v>107</v>
      </c>
      <c r="B10" s="708" t="s">
        <v>84</v>
      </c>
      <c r="C10" s="711">
        <v>14.317920000000001</v>
      </c>
      <c r="D10" s="711">
        <v>13.786569999999999</v>
      </c>
      <c r="E10" s="711">
        <v>14.921329999999999</v>
      </c>
      <c r="F10" s="771">
        <f t="shared" si="0"/>
        <v>3.8541130970212389E-2</v>
      </c>
      <c r="G10" s="474"/>
      <c r="H10" s="586"/>
      <c r="I10" s="586"/>
      <c r="J10" s="474"/>
      <c r="K10" s="474"/>
      <c r="L10" s="479"/>
    </row>
    <row r="11" spans="1:12" s="356" customFormat="1" ht="10.5" customHeight="1">
      <c r="A11" s="772" t="s">
        <v>297</v>
      </c>
      <c r="B11" s="569"/>
      <c r="C11" s="571">
        <v>14.317920000000001</v>
      </c>
      <c r="D11" s="571">
        <v>13.786569999999999</v>
      </c>
      <c r="E11" s="571">
        <v>14.921329999999999</v>
      </c>
      <c r="F11" s="773">
        <f t="shared" si="0"/>
        <v>3.8541130970212389E-2</v>
      </c>
      <c r="G11" s="474"/>
      <c r="H11" s="586"/>
      <c r="I11" s="586"/>
      <c r="J11" s="474"/>
      <c r="K11" s="474"/>
      <c r="L11" s="479"/>
    </row>
    <row r="12" spans="1:12" s="356" customFormat="1" ht="10.5" customHeight="1">
      <c r="A12" s="770" t="s">
        <v>495</v>
      </c>
      <c r="B12" s="708" t="s">
        <v>499</v>
      </c>
      <c r="C12" s="711">
        <v>15.855229999999999</v>
      </c>
      <c r="D12" s="711"/>
      <c r="E12" s="711"/>
      <c r="F12" s="771" t="str">
        <f t="shared" si="0"/>
        <v/>
      </c>
      <c r="G12" s="474"/>
      <c r="H12" s="586"/>
      <c r="I12" s="586"/>
      <c r="J12" s="474"/>
      <c r="K12" s="474"/>
      <c r="L12" s="479"/>
    </row>
    <row r="13" spans="1:12" s="356" customFormat="1" ht="10.5" customHeight="1">
      <c r="A13" s="772" t="s">
        <v>496</v>
      </c>
      <c r="B13" s="569"/>
      <c r="C13" s="571">
        <v>15.855229999999999</v>
      </c>
      <c r="D13" s="571"/>
      <c r="E13" s="571"/>
      <c r="F13" s="773" t="str">
        <f t="shared" si="0"/>
        <v/>
      </c>
      <c r="G13" s="474"/>
      <c r="H13" s="586"/>
      <c r="I13" s="586"/>
      <c r="J13" s="474"/>
      <c r="K13" s="474"/>
      <c r="L13" s="479"/>
    </row>
    <row r="14" spans="1:12" s="356" customFormat="1" ht="10.5" customHeight="1">
      <c r="A14" s="770" t="s">
        <v>95</v>
      </c>
      <c r="B14" s="708" t="s">
        <v>298</v>
      </c>
      <c r="C14" s="711">
        <v>57.046239999999997</v>
      </c>
      <c r="D14" s="711">
        <v>180.89832999999999</v>
      </c>
      <c r="E14" s="711">
        <v>216.52627999999999</v>
      </c>
      <c r="F14" s="771">
        <f t="shared" si="0"/>
        <v>-0.68465026736288825</v>
      </c>
      <c r="G14" s="474"/>
      <c r="H14" s="586"/>
      <c r="I14" s="586"/>
      <c r="J14" s="474"/>
      <c r="K14" s="474"/>
      <c r="L14" s="479"/>
    </row>
    <row r="15" spans="1:12" s="356" customFormat="1" ht="10.5" customHeight="1">
      <c r="A15" s="772" t="s">
        <v>299</v>
      </c>
      <c r="B15" s="569"/>
      <c r="C15" s="571">
        <v>57.046239999999997</v>
      </c>
      <c r="D15" s="571">
        <v>180.89832999999999</v>
      </c>
      <c r="E15" s="571">
        <v>216.52627999999999</v>
      </c>
      <c r="F15" s="773">
        <f t="shared" si="0"/>
        <v>-0.68465026736288825</v>
      </c>
      <c r="G15" s="474"/>
      <c r="H15" s="586"/>
      <c r="I15" s="586"/>
      <c r="J15" s="474"/>
      <c r="K15" s="474"/>
      <c r="L15" s="480"/>
    </row>
    <row r="16" spans="1:12" s="356" customFormat="1" ht="10.5" customHeight="1">
      <c r="A16" s="770" t="s">
        <v>734</v>
      </c>
      <c r="B16" s="708" t="s">
        <v>530</v>
      </c>
      <c r="C16" s="711"/>
      <c r="D16" s="711"/>
      <c r="E16" s="711">
        <v>222.12781000000001</v>
      </c>
      <c r="F16" s="771" t="str">
        <f t="shared" ref="F16:F17" si="1">+IF(D16=0,"",C16/D16-1)</f>
        <v/>
      </c>
      <c r="G16" s="474"/>
      <c r="H16" s="586"/>
      <c r="I16" s="586"/>
      <c r="J16" s="474"/>
      <c r="K16" s="474"/>
      <c r="L16" s="480"/>
    </row>
    <row r="17" spans="1:16" s="356" customFormat="1" ht="10.5" customHeight="1">
      <c r="A17" s="772" t="s">
        <v>735</v>
      </c>
      <c r="B17" s="569"/>
      <c r="C17" s="571"/>
      <c r="D17" s="571"/>
      <c r="E17" s="571">
        <v>222.12781000000001</v>
      </c>
      <c r="F17" s="773" t="str">
        <f t="shared" si="1"/>
        <v/>
      </c>
      <c r="G17" s="474"/>
      <c r="H17" s="586"/>
      <c r="I17" s="586"/>
      <c r="J17" s="474"/>
      <c r="K17" s="474"/>
      <c r="L17" s="480"/>
    </row>
    <row r="18" spans="1:16" s="356" customFormat="1" ht="10.5" customHeight="1">
      <c r="A18" s="770" t="s">
        <v>248</v>
      </c>
      <c r="B18" s="708" t="s">
        <v>300</v>
      </c>
      <c r="C18" s="711">
        <v>0</v>
      </c>
      <c r="D18" s="711">
        <v>0</v>
      </c>
      <c r="E18" s="711">
        <v>0</v>
      </c>
      <c r="F18" s="771" t="str">
        <f t="shared" si="0"/>
        <v/>
      </c>
      <c r="G18" s="474"/>
      <c r="H18" s="586"/>
      <c r="I18" s="586"/>
      <c r="J18" s="474"/>
      <c r="K18" s="474"/>
      <c r="L18" s="480"/>
    </row>
    <row r="19" spans="1:16" s="356" customFormat="1" ht="10.5" customHeight="1">
      <c r="A19" s="772" t="s">
        <v>301</v>
      </c>
      <c r="B19" s="569"/>
      <c r="C19" s="571">
        <v>0</v>
      </c>
      <c r="D19" s="571">
        <v>0</v>
      </c>
      <c r="E19" s="571">
        <v>0</v>
      </c>
      <c r="F19" s="773" t="str">
        <f t="shared" si="0"/>
        <v/>
      </c>
      <c r="G19" s="474"/>
      <c r="H19" s="586"/>
      <c r="I19" s="586"/>
      <c r="J19" s="474"/>
      <c r="K19" s="474"/>
      <c r="L19" s="480"/>
    </row>
    <row r="20" spans="1:16" s="356" customFormat="1" ht="10.5" customHeight="1">
      <c r="A20" s="770" t="s">
        <v>94</v>
      </c>
      <c r="B20" s="708" t="s">
        <v>302</v>
      </c>
      <c r="C20" s="711">
        <v>74.674710000000005</v>
      </c>
      <c r="D20" s="711">
        <v>102.62803</v>
      </c>
      <c r="E20" s="711">
        <v>120.30022</v>
      </c>
      <c r="F20" s="771">
        <f t="shared" si="0"/>
        <v>-0.27237510064258263</v>
      </c>
      <c r="G20" s="474"/>
      <c r="H20" s="586"/>
      <c r="I20" s="586"/>
      <c r="J20" s="474"/>
      <c r="K20" s="474"/>
      <c r="L20" s="474"/>
      <c r="M20" s="474"/>
      <c r="N20" s="474"/>
      <c r="O20" s="474"/>
      <c r="P20" s="474"/>
    </row>
    <row r="21" spans="1:16" s="356" customFormat="1" ht="10.5" customHeight="1">
      <c r="A21" s="770"/>
      <c r="B21" s="708" t="s">
        <v>303</v>
      </c>
      <c r="C21" s="711">
        <v>13.3194</v>
      </c>
      <c r="D21" s="711">
        <v>21.881129999999999</v>
      </c>
      <c r="E21" s="711">
        <v>15.359109999999999</v>
      </c>
      <c r="F21" s="771">
        <f t="shared" si="0"/>
        <v>-0.39128372254997801</v>
      </c>
      <c r="G21" s="474"/>
      <c r="H21" s="586"/>
      <c r="I21" s="586"/>
      <c r="J21" s="474"/>
      <c r="K21" s="474"/>
      <c r="L21" s="474"/>
      <c r="M21" s="474"/>
      <c r="N21" s="474"/>
      <c r="O21" s="474"/>
      <c r="P21" s="474"/>
    </row>
    <row r="22" spans="1:16" s="356" customFormat="1" ht="10.5" customHeight="1">
      <c r="A22" s="772" t="s">
        <v>304</v>
      </c>
      <c r="B22" s="569"/>
      <c r="C22" s="571">
        <v>87.994110000000006</v>
      </c>
      <c r="D22" s="571">
        <v>124.50915999999999</v>
      </c>
      <c r="E22" s="571">
        <v>135.65932999999998</v>
      </c>
      <c r="F22" s="773">
        <f t="shared" si="0"/>
        <v>-0.29327199701612305</v>
      </c>
      <c r="G22" s="474"/>
      <c r="H22" s="586"/>
      <c r="I22" s="586"/>
      <c r="J22" s="474"/>
      <c r="K22" s="474"/>
      <c r="L22" s="479"/>
    </row>
    <row r="23" spans="1:16" s="356" customFormat="1" ht="10.5" customHeight="1">
      <c r="A23" s="770" t="s">
        <v>736</v>
      </c>
      <c r="B23" s="708" t="s">
        <v>86</v>
      </c>
      <c r="C23" s="711"/>
      <c r="D23" s="711"/>
      <c r="E23" s="711">
        <v>3.0007999999999999</v>
      </c>
      <c r="F23" s="771" t="str">
        <f t="shared" ref="F23:F24" si="2">+IF(D23=0,"",C23/D23-1)</f>
        <v/>
      </c>
      <c r="G23" s="474"/>
      <c r="H23" s="586"/>
      <c r="I23" s="586"/>
      <c r="J23" s="474"/>
      <c r="K23" s="474"/>
      <c r="L23" s="479"/>
    </row>
    <row r="24" spans="1:16" s="356" customFormat="1" ht="10.5" customHeight="1">
      <c r="A24" s="772" t="s">
        <v>737</v>
      </c>
      <c r="B24" s="569"/>
      <c r="C24" s="571"/>
      <c r="D24" s="571"/>
      <c r="E24" s="571">
        <v>3.0007999999999999</v>
      </c>
      <c r="F24" s="773" t="str">
        <f t="shared" si="2"/>
        <v/>
      </c>
      <c r="G24" s="474"/>
      <c r="H24" s="586"/>
      <c r="I24" s="586"/>
      <c r="J24" s="474"/>
      <c r="K24" s="474"/>
      <c r="L24" s="479"/>
    </row>
    <row r="25" spans="1:16" s="356" customFormat="1" ht="10.5" customHeight="1">
      <c r="A25" s="770" t="s">
        <v>92</v>
      </c>
      <c r="B25" s="708" t="s">
        <v>305</v>
      </c>
      <c r="C25" s="711">
        <v>1.6822599999999999</v>
      </c>
      <c r="D25" s="711">
        <v>1.6986400000000001</v>
      </c>
      <c r="E25" s="711">
        <v>1.6877800000000001</v>
      </c>
      <c r="F25" s="771"/>
      <c r="G25" s="474"/>
      <c r="H25" s="586"/>
      <c r="I25" s="586"/>
      <c r="J25" s="474"/>
      <c r="K25" s="474"/>
      <c r="L25" s="479"/>
    </row>
    <row r="26" spans="1:16" s="356" customFormat="1" ht="10.5" customHeight="1">
      <c r="A26" s="770"/>
      <c r="B26" s="708" t="s">
        <v>306</v>
      </c>
      <c r="C26" s="711">
        <v>0.57115000000000005</v>
      </c>
      <c r="D26" s="711">
        <v>0.57237000000000005</v>
      </c>
      <c r="E26" s="711">
        <v>0.58209</v>
      </c>
      <c r="F26" s="771"/>
      <c r="G26" s="474"/>
      <c r="H26" s="586"/>
      <c r="I26" s="586"/>
      <c r="J26" s="474"/>
      <c r="K26" s="474"/>
      <c r="L26" s="479"/>
    </row>
    <row r="27" spans="1:16" s="356" customFormat="1" ht="10.5" customHeight="1">
      <c r="A27" s="770"/>
      <c r="B27" s="708" t="s">
        <v>307</v>
      </c>
      <c r="C27" s="711">
        <v>4.56515</v>
      </c>
      <c r="D27" s="711">
        <v>4.5564099999999996</v>
      </c>
      <c r="E27" s="711">
        <v>4.5319000000000003</v>
      </c>
      <c r="F27" s="771">
        <f t="shared" si="0"/>
        <v>1.9181768102520813E-3</v>
      </c>
      <c r="G27" s="474"/>
      <c r="H27" s="586"/>
      <c r="I27" s="586"/>
      <c r="J27" s="474"/>
      <c r="K27" s="474"/>
      <c r="L27" s="479"/>
    </row>
    <row r="28" spans="1:16" s="356" customFormat="1" ht="10.5" customHeight="1">
      <c r="A28" s="770"/>
      <c r="B28" s="708" t="s">
        <v>308</v>
      </c>
      <c r="C28" s="711">
        <v>13.99952</v>
      </c>
      <c r="D28" s="711">
        <v>13.77017</v>
      </c>
      <c r="E28" s="711">
        <v>10.116330000000001</v>
      </c>
      <c r="F28" s="771">
        <f t="shared" si="0"/>
        <v>1.6655567796185489E-2</v>
      </c>
      <c r="G28" s="474"/>
      <c r="H28" s="586"/>
      <c r="I28" s="586"/>
      <c r="J28" s="474"/>
      <c r="K28" s="474"/>
      <c r="L28" s="479"/>
    </row>
    <row r="29" spans="1:16" s="356" customFormat="1" ht="10.5" customHeight="1">
      <c r="A29" s="770"/>
      <c r="B29" s="708" t="s">
        <v>309</v>
      </c>
      <c r="C29" s="711">
        <v>120.85605000000001</v>
      </c>
      <c r="D29" s="711">
        <v>129.68941999999998</v>
      </c>
      <c r="E29" s="711">
        <v>119.57226999999999</v>
      </c>
      <c r="F29" s="771">
        <f t="shared" si="0"/>
        <v>-6.8111724148353647E-2</v>
      </c>
      <c r="G29" s="474"/>
      <c r="H29" s="586"/>
      <c r="I29" s="586"/>
      <c r="J29" s="474"/>
      <c r="K29" s="474"/>
      <c r="L29" s="481"/>
    </row>
    <row r="30" spans="1:16" s="356" customFormat="1" ht="10.5" customHeight="1">
      <c r="A30" s="770"/>
      <c r="B30" s="708" t="s">
        <v>310</v>
      </c>
      <c r="C30" s="711">
        <v>8.7896199999999993</v>
      </c>
      <c r="D30" s="711">
        <v>8.6110399999999991</v>
      </c>
      <c r="E30" s="711">
        <v>8.0250800000000009</v>
      </c>
      <c r="F30" s="771">
        <f t="shared" si="0"/>
        <v>2.0738493840465333E-2</v>
      </c>
      <c r="G30" s="474"/>
      <c r="H30" s="586"/>
      <c r="I30" s="586"/>
      <c r="J30" s="474"/>
      <c r="K30" s="474"/>
      <c r="L30" s="479"/>
    </row>
    <row r="31" spans="1:16" s="356" customFormat="1" ht="10.5" customHeight="1">
      <c r="A31" s="770"/>
      <c r="B31" s="708" t="s">
        <v>311</v>
      </c>
      <c r="C31" s="711">
        <v>0</v>
      </c>
      <c r="D31" s="711">
        <v>0</v>
      </c>
      <c r="E31" s="711">
        <v>4.8040000000000003</v>
      </c>
      <c r="F31" s="771" t="str">
        <f t="shared" si="0"/>
        <v/>
      </c>
      <c r="G31" s="474"/>
      <c r="H31" s="586"/>
      <c r="I31" s="586"/>
      <c r="J31" s="474"/>
      <c r="K31" s="474"/>
      <c r="L31" s="479"/>
    </row>
    <row r="32" spans="1:16" s="356" customFormat="1" ht="10.5" customHeight="1">
      <c r="A32" s="770"/>
      <c r="B32" s="708" t="s">
        <v>312</v>
      </c>
      <c r="C32" s="711">
        <v>0</v>
      </c>
      <c r="D32" s="711">
        <v>0</v>
      </c>
      <c r="E32" s="711">
        <v>9.9841300000000004</v>
      </c>
      <c r="F32" s="771" t="str">
        <f t="shared" si="0"/>
        <v/>
      </c>
      <c r="G32" s="474"/>
      <c r="H32" s="586"/>
      <c r="I32" s="586"/>
      <c r="J32" s="474"/>
      <c r="K32" s="474"/>
      <c r="L32" s="479"/>
    </row>
    <row r="33" spans="1:12" s="356" customFormat="1" ht="10.5" customHeight="1">
      <c r="A33" s="770"/>
      <c r="B33" s="708" t="s">
        <v>313</v>
      </c>
      <c r="C33" s="711">
        <v>0</v>
      </c>
      <c r="D33" s="711">
        <v>0</v>
      </c>
      <c r="E33" s="711">
        <v>73.827930000000009</v>
      </c>
      <c r="F33" s="771" t="str">
        <f t="shared" si="0"/>
        <v/>
      </c>
      <c r="G33" s="474"/>
      <c r="H33" s="586"/>
      <c r="I33" s="586"/>
      <c r="J33" s="474"/>
      <c r="K33" s="474"/>
      <c r="L33" s="481"/>
    </row>
    <row r="34" spans="1:12" s="356" customFormat="1" ht="10.5" customHeight="1">
      <c r="A34" s="772" t="s">
        <v>314</v>
      </c>
      <c r="B34" s="569"/>
      <c r="C34" s="571">
        <v>150.46375</v>
      </c>
      <c r="D34" s="571">
        <v>158.89804999999998</v>
      </c>
      <c r="E34" s="571">
        <v>233.13150999999999</v>
      </c>
      <c r="F34" s="773">
        <f t="shared" si="0"/>
        <v>-5.3079946544340673E-2</v>
      </c>
      <c r="G34" s="474"/>
      <c r="H34" s="586"/>
      <c r="I34" s="586"/>
      <c r="J34" s="474"/>
      <c r="K34" s="474"/>
      <c r="L34" s="479"/>
    </row>
    <row r="35" spans="1:12" s="356" customFormat="1" ht="10.5" customHeight="1">
      <c r="A35" s="770" t="s">
        <v>115</v>
      </c>
      <c r="B35" s="708" t="s">
        <v>71</v>
      </c>
      <c r="C35" s="711">
        <v>4.9809799999999997</v>
      </c>
      <c r="D35" s="711">
        <v>2.1800000000000002</v>
      </c>
      <c r="E35" s="711">
        <v>1.81</v>
      </c>
      <c r="F35" s="771">
        <f t="shared" si="0"/>
        <v>1.2848532110091742</v>
      </c>
      <c r="G35" s="474"/>
      <c r="H35" s="586"/>
      <c r="I35" s="586"/>
      <c r="J35" s="474"/>
      <c r="K35" s="474"/>
      <c r="L35" s="479"/>
    </row>
    <row r="36" spans="1:12" s="356" customFormat="1" ht="10.5" customHeight="1">
      <c r="A36" s="772" t="s">
        <v>315</v>
      </c>
      <c r="B36" s="569"/>
      <c r="C36" s="571">
        <v>4.9809799999999997</v>
      </c>
      <c r="D36" s="571">
        <v>2.1800000000000002</v>
      </c>
      <c r="E36" s="571">
        <v>1.81</v>
      </c>
      <c r="F36" s="773">
        <f t="shared" si="0"/>
        <v>1.2848532110091742</v>
      </c>
      <c r="G36" s="474"/>
      <c r="H36" s="586"/>
      <c r="I36" s="586"/>
      <c r="J36" s="474"/>
      <c r="K36" s="474"/>
      <c r="L36" s="479"/>
    </row>
    <row r="37" spans="1:12" s="356" customFormat="1" ht="10.5" customHeight="1">
      <c r="A37" s="770" t="s">
        <v>93</v>
      </c>
      <c r="B37" s="708" t="s">
        <v>316</v>
      </c>
      <c r="C37" s="711">
        <v>126.30718999999999</v>
      </c>
      <c r="D37" s="711">
        <v>115.89467</v>
      </c>
      <c r="E37" s="711">
        <v>95.912599999999998</v>
      </c>
      <c r="F37" s="771">
        <f t="shared" si="0"/>
        <v>8.9844683970367045E-2</v>
      </c>
      <c r="G37" s="474"/>
      <c r="H37" s="586"/>
      <c r="I37" s="586"/>
      <c r="J37" s="474"/>
      <c r="K37" s="474"/>
      <c r="L37" s="479"/>
    </row>
    <row r="38" spans="1:12" s="356" customFormat="1" ht="10.5" customHeight="1">
      <c r="A38" s="772" t="s">
        <v>317</v>
      </c>
      <c r="B38" s="569"/>
      <c r="C38" s="571">
        <v>126.30718999999999</v>
      </c>
      <c r="D38" s="571">
        <v>115.89467</v>
      </c>
      <c r="E38" s="571">
        <v>95.912599999999998</v>
      </c>
      <c r="F38" s="773">
        <f t="shared" si="0"/>
        <v>8.9844683970367045E-2</v>
      </c>
      <c r="G38" s="474"/>
      <c r="H38" s="586"/>
      <c r="I38" s="586"/>
      <c r="J38" s="474"/>
      <c r="K38" s="474"/>
      <c r="L38" s="479"/>
    </row>
    <row r="39" spans="1:12" s="356" customFormat="1" ht="10.5" customHeight="1">
      <c r="A39" s="770" t="s">
        <v>102</v>
      </c>
      <c r="B39" s="708" t="s">
        <v>318</v>
      </c>
      <c r="C39" s="711">
        <v>16.073999999999998</v>
      </c>
      <c r="D39" s="711">
        <v>16.356000000000002</v>
      </c>
      <c r="E39" s="711">
        <v>16.8</v>
      </c>
      <c r="F39" s="771">
        <f t="shared" si="0"/>
        <v>-1.7241379310345084E-2</v>
      </c>
      <c r="G39" s="474"/>
      <c r="H39" s="586"/>
      <c r="I39" s="586"/>
      <c r="J39" s="474"/>
      <c r="K39" s="474"/>
      <c r="L39" s="479"/>
    </row>
    <row r="40" spans="1:12" s="356" customFormat="1" ht="10.5" customHeight="1">
      <c r="A40" s="770"/>
      <c r="B40" s="708" t="s">
        <v>319</v>
      </c>
      <c r="C40" s="711">
        <v>9.7859999999999996</v>
      </c>
      <c r="D40" s="711">
        <v>9.4979999999999993</v>
      </c>
      <c r="E40" s="711">
        <v>10.164</v>
      </c>
      <c r="F40" s="771">
        <f t="shared" si="0"/>
        <v>3.032217308907148E-2</v>
      </c>
      <c r="G40" s="474"/>
      <c r="H40" s="586"/>
      <c r="I40" s="586"/>
      <c r="J40" s="474"/>
      <c r="K40" s="474"/>
      <c r="L40" s="479"/>
    </row>
    <row r="41" spans="1:12" s="356" customFormat="1" ht="10.5" customHeight="1">
      <c r="A41" s="770"/>
      <c r="B41" s="708" t="s">
        <v>320</v>
      </c>
      <c r="C41" s="711">
        <v>0</v>
      </c>
      <c r="D41" s="711">
        <v>21.059179999999998</v>
      </c>
      <c r="E41" s="711">
        <v>21.442909999999998</v>
      </c>
      <c r="F41" s="771">
        <f t="shared" si="0"/>
        <v>-1</v>
      </c>
      <c r="G41" s="474"/>
      <c r="H41" s="586"/>
      <c r="I41" s="586"/>
      <c r="J41" s="474"/>
      <c r="K41" s="474"/>
      <c r="L41" s="479"/>
    </row>
    <row r="42" spans="1:12" s="356" customFormat="1" ht="10.5" customHeight="1">
      <c r="A42" s="772" t="s">
        <v>321</v>
      </c>
      <c r="B42" s="569"/>
      <c r="C42" s="571">
        <v>25.86</v>
      </c>
      <c r="D42" s="571">
        <v>46.913179999999997</v>
      </c>
      <c r="E42" s="571">
        <v>48.406909999999996</v>
      </c>
      <c r="F42" s="773">
        <f t="shared" si="0"/>
        <v>-0.44876898133957233</v>
      </c>
      <c r="G42" s="474"/>
      <c r="H42" s="586"/>
      <c r="I42" s="586"/>
      <c r="J42" s="474"/>
      <c r="K42" s="474"/>
      <c r="L42" s="479"/>
    </row>
    <row r="43" spans="1:12" s="356" customFormat="1" ht="20.25" customHeight="1">
      <c r="A43" s="785" t="s">
        <v>755</v>
      </c>
      <c r="B43" s="708" t="s">
        <v>76</v>
      </c>
      <c r="C43" s="711">
        <v>1.728E-2</v>
      </c>
      <c r="D43" s="711">
        <v>0.30986999999999998</v>
      </c>
      <c r="E43" s="711">
        <v>0.58531</v>
      </c>
      <c r="F43" s="771">
        <f t="shared" si="0"/>
        <v>-0.94423467905896019</v>
      </c>
      <c r="G43" s="474"/>
      <c r="H43" s="586"/>
      <c r="I43" s="586"/>
      <c r="J43" s="474"/>
      <c r="K43" s="474"/>
      <c r="L43" s="479"/>
    </row>
    <row r="44" spans="1:12" s="356" customFormat="1" ht="20.25" customHeight="1">
      <c r="A44" s="885" t="s">
        <v>759</v>
      </c>
      <c r="B44" s="569"/>
      <c r="C44" s="571">
        <v>1.728E-2</v>
      </c>
      <c r="D44" s="571">
        <v>0.30986999999999998</v>
      </c>
      <c r="E44" s="571">
        <v>0.58531</v>
      </c>
      <c r="F44" s="773">
        <f t="shared" si="0"/>
        <v>-0.94423467905896019</v>
      </c>
      <c r="G44" s="474"/>
      <c r="H44" s="586"/>
      <c r="I44" s="586"/>
      <c r="J44" s="474"/>
      <c r="K44" s="474"/>
      <c r="L44" s="479"/>
    </row>
    <row r="45" spans="1:12" s="356" customFormat="1" ht="10.5" customHeight="1">
      <c r="A45" s="770" t="s">
        <v>116</v>
      </c>
      <c r="B45" s="708" t="s">
        <v>74</v>
      </c>
      <c r="C45" s="711">
        <v>1.8469500000000001</v>
      </c>
      <c r="D45" s="711">
        <v>2.46305</v>
      </c>
      <c r="E45" s="711">
        <v>3.7462499999999999</v>
      </c>
      <c r="F45" s="771">
        <f t="shared" si="0"/>
        <v>-0.2501370252329429</v>
      </c>
      <c r="G45" s="474"/>
      <c r="H45" s="586"/>
      <c r="I45" s="586"/>
      <c r="J45" s="474"/>
      <c r="K45" s="474"/>
      <c r="L45" s="479"/>
    </row>
    <row r="46" spans="1:12" s="356" customFormat="1" ht="10.5" customHeight="1">
      <c r="A46" s="772" t="s">
        <v>322</v>
      </c>
      <c r="B46" s="569"/>
      <c r="C46" s="571">
        <v>1.8469500000000001</v>
      </c>
      <c r="D46" s="571">
        <v>2.46305</v>
      </c>
      <c r="E46" s="571">
        <v>3.7462499999999999</v>
      </c>
      <c r="F46" s="773">
        <f t="shared" si="0"/>
        <v>-0.2501370252329429</v>
      </c>
      <c r="G46" s="474"/>
      <c r="H46" s="586"/>
      <c r="I46" s="586"/>
      <c r="J46" s="474"/>
      <c r="K46" s="474"/>
      <c r="L46" s="482"/>
    </row>
    <row r="47" spans="1:12" s="356" customFormat="1" ht="10.5" customHeight="1">
      <c r="A47" s="770" t="s">
        <v>500</v>
      </c>
      <c r="B47" s="708" t="s">
        <v>562</v>
      </c>
      <c r="C47" s="711">
        <v>6.9106399999999999</v>
      </c>
      <c r="D47" s="711"/>
      <c r="E47" s="711"/>
      <c r="F47" s="771" t="str">
        <f t="shared" si="0"/>
        <v/>
      </c>
      <c r="G47" s="474"/>
      <c r="H47" s="586"/>
      <c r="I47" s="586"/>
      <c r="J47" s="474"/>
      <c r="K47" s="474"/>
      <c r="L47" s="479"/>
    </row>
    <row r="48" spans="1:12" s="356" customFormat="1" ht="10.5" customHeight="1">
      <c r="A48" s="772" t="s">
        <v>501</v>
      </c>
      <c r="B48" s="569"/>
      <c r="C48" s="571">
        <v>6.9106399999999999</v>
      </c>
      <c r="D48" s="571"/>
      <c r="E48" s="571"/>
      <c r="F48" s="773" t="str">
        <f t="shared" si="0"/>
        <v/>
      </c>
      <c r="G48" s="474"/>
      <c r="H48" s="586"/>
      <c r="I48" s="586"/>
      <c r="J48" s="474"/>
      <c r="K48" s="474"/>
      <c r="L48" s="479"/>
    </row>
    <row r="49" spans="1:12" s="356" customFormat="1" ht="10.5" customHeight="1">
      <c r="A49" s="770" t="s">
        <v>90</v>
      </c>
      <c r="B49" s="708" t="s">
        <v>323</v>
      </c>
      <c r="C49" s="711">
        <v>645.56399999999996</v>
      </c>
      <c r="D49" s="711">
        <v>640.31999999999994</v>
      </c>
      <c r="E49" s="711">
        <v>650.86320000000012</v>
      </c>
      <c r="F49" s="771">
        <f t="shared" si="0"/>
        <v>8.1896551724138789E-3</v>
      </c>
      <c r="G49" s="474"/>
      <c r="H49" s="586"/>
      <c r="I49" s="586"/>
      <c r="J49" s="474"/>
      <c r="K49" s="474"/>
      <c r="L49" s="479"/>
    </row>
    <row r="50" spans="1:12" s="356" customFormat="1" ht="10.5" customHeight="1">
      <c r="A50" s="770"/>
      <c r="B50" s="708" t="s">
        <v>324</v>
      </c>
      <c r="C50" s="711">
        <v>211.21727999999999</v>
      </c>
      <c r="D50" s="711">
        <v>211.30559999999997</v>
      </c>
      <c r="E50" s="711">
        <v>212.32128</v>
      </c>
      <c r="F50" s="771">
        <f t="shared" si="0"/>
        <v>-4.1797283176581157E-4</v>
      </c>
      <c r="G50" s="474"/>
      <c r="H50" s="586"/>
      <c r="I50" s="586"/>
      <c r="J50" s="474"/>
      <c r="K50" s="474"/>
      <c r="L50" s="479"/>
    </row>
    <row r="51" spans="1:12" s="356" customFormat="1" ht="10.5" customHeight="1">
      <c r="A51" s="770"/>
      <c r="B51" s="708" t="s">
        <v>325</v>
      </c>
      <c r="C51" s="711">
        <v>0</v>
      </c>
      <c r="D51" s="711">
        <v>0</v>
      </c>
      <c r="E51" s="711">
        <v>0</v>
      </c>
      <c r="F51" s="771" t="str">
        <f t="shared" si="0"/>
        <v/>
      </c>
      <c r="G51" s="474"/>
      <c r="H51" s="586"/>
      <c r="I51" s="586"/>
      <c r="J51" s="474"/>
      <c r="K51" s="474"/>
      <c r="L51" s="479"/>
    </row>
    <row r="52" spans="1:12" s="356" customFormat="1" ht="10.5" customHeight="1">
      <c r="A52" s="772" t="s">
        <v>326</v>
      </c>
      <c r="B52" s="569"/>
      <c r="C52" s="571">
        <v>856.78127999999992</v>
      </c>
      <c r="D52" s="571">
        <v>851.62559999999985</v>
      </c>
      <c r="E52" s="571">
        <v>863.18448000000012</v>
      </c>
      <c r="F52" s="773">
        <f t="shared" si="0"/>
        <v>6.0539279232565413E-3</v>
      </c>
      <c r="G52" s="474"/>
      <c r="H52" s="586"/>
      <c r="I52" s="586"/>
      <c r="J52" s="474"/>
      <c r="K52" s="474"/>
      <c r="L52" s="479"/>
    </row>
    <row r="53" spans="1:12" s="356" customFormat="1" ht="10.5" customHeight="1">
      <c r="A53" s="770" t="s">
        <v>249</v>
      </c>
      <c r="B53" s="708" t="s">
        <v>327</v>
      </c>
      <c r="C53" s="711">
        <v>0</v>
      </c>
      <c r="D53" s="711">
        <v>229.51554999999999</v>
      </c>
      <c r="E53" s="711">
        <v>142.97247999999999</v>
      </c>
      <c r="F53" s="771">
        <f t="shared" si="0"/>
        <v>-1</v>
      </c>
      <c r="G53" s="474"/>
      <c r="H53" s="586"/>
      <c r="I53" s="586"/>
      <c r="J53" s="474"/>
      <c r="K53" s="474"/>
      <c r="L53" s="479"/>
    </row>
    <row r="54" spans="1:12" s="356" customFormat="1" ht="10.5" customHeight="1">
      <c r="A54" s="770"/>
      <c r="B54" s="708" t="s">
        <v>328</v>
      </c>
      <c r="C54" s="711">
        <v>6.4285699999999997</v>
      </c>
      <c r="D54" s="711">
        <v>6.43424</v>
      </c>
      <c r="E54" s="711">
        <v>6.4561799999999998</v>
      </c>
      <c r="F54" s="771">
        <f t="shared" si="0"/>
        <v>-8.8122295717918409E-4</v>
      </c>
      <c r="G54" s="474"/>
      <c r="H54" s="586"/>
      <c r="I54" s="586"/>
      <c r="J54" s="474"/>
      <c r="K54" s="474"/>
      <c r="L54" s="479"/>
    </row>
    <row r="55" spans="1:12" s="356" customFormat="1" ht="10.5" customHeight="1">
      <c r="A55" s="772" t="s">
        <v>329</v>
      </c>
      <c r="B55" s="569"/>
      <c r="C55" s="571">
        <v>6.4285699999999997</v>
      </c>
      <c r="D55" s="571">
        <v>235.94978999999998</v>
      </c>
      <c r="E55" s="571">
        <v>149.42865999999998</v>
      </c>
      <c r="F55" s="773">
        <f t="shared" si="0"/>
        <v>-0.97275450001460051</v>
      </c>
      <c r="G55" s="474"/>
      <c r="H55" s="586"/>
      <c r="I55" s="586"/>
      <c r="J55" s="474"/>
      <c r="K55" s="474"/>
    </row>
    <row r="56" spans="1:12" s="356" customFormat="1" ht="10.5" customHeight="1">
      <c r="A56" s="770" t="s">
        <v>250</v>
      </c>
      <c r="B56" s="708" t="s">
        <v>330</v>
      </c>
      <c r="C56" s="711">
        <v>59.373419999999996</v>
      </c>
      <c r="D56" s="711">
        <v>93.694500000000005</v>
      </c>
      <c r="E56" s="711">
        <v>93.816519999999997</v>
      </c>
      <c r="F56" s="771">
        <f t="shared" si="0"/>
        <v>-0.36630837455773824</v>
      </c>
      <c r="G56" s="474"/>
      <c r="H56" s="586"/>
      <c r="I56" s="586"/>
      <c r="J56" s="474"/>
      <c r="K56" s="474"/>
    </row>
    <row r="57" spans="1:12" s="356" customFormat="1" ht="10.5" customHeight="1">
      <c r="A57" s="772" t="s">
        <v>331</v>
      </c>
      <c r="B57" s="569"/>
      <c r="C57" s="571">
        <v>59.373419999999996</v>
      </c>
      <c r="D57" s="571">
        <v>93.694500000000005</v>
      </c>
      <c r="E57" s="571">
        <v>93.816519999999997</v>
      </c>
      <c r="F57" s="773">
        <f t="shared" si="0"/>
        <v>-0.36630837455773824</v>
      </c>
      <c r="G57" s="474"/>
      <c r="H57" s="586"/>
      <c r="I57" s="586"/>
      <c r="J57" s="474"/>
      <c r="K57" s="474"/>
    </row>
    <row r="58" spans="1:12" s="356" customFormat="1" ht="10.5" customHeight="1">
      <c r="A58" s="785" t="s">
        <v>756</v>
      </c>
      <c r="B58" s="708" t="s">
        <v>61</v>
      </c>
      <c r="C58" s="711">
        <v>3.6287400000000001</v>
      </c>
      <c r="D58" s="711">
        <v>4.4636800000000001</v>
      </c>
      <c r="E58" s="711">
        <v>5.17</v>
      </c>
      <c r="F58" s="771">
        <f t="shared" si="0"/>
        <v>-0.18705193920711161</v>
      </c>
      <c r="G58" s="474"/>
      <c r="H58" s="586"/>
      <c r="I58" s="586"/>
      <c r="J58" s="474"/>
      <c r="K58" s="474"/>
    </row>
    <row r="59" spans="1:12" s="356" customFormat="1" ht="10.5" customHeight="1">
      <c r="A59" s="770"/>
      <c r="B59" s="708" t="s">
        <v>58</v>
      </c>
      <c r="C59" s="711">
        <v>5.10914</v>
      </c>
      <c r="D59" s="711">
        <v>7.1642799999999998</v>
      </c>
      <c r="E59" s="711">
        <v>7.43696</v>
      </c>
      <c r="F59" s="771">
        <f t="shared" si="0"/>
        <v>-0.28685925173220472</v>
      </c>
      <c r="G59" s="474"/>
      <c r="H59" s="586"/>
      <c r="I59" s="586"/>
      <c r="J59" s="474"/>
      <c r="K59" s="474"/>
    </row>
    <row r="60" spans="1:12" s="356" customFormat="1" ht="10.5" customHeight="1">
      <c r="A60" s="770"/>
      <c r="B60" s="708" t="s">
        <v>66</v>
      </c>
      <c r="C60" s="711">
        <v>20.00085</v>
      </c>
      <c r="D60" s="711">
        <v>19.981480000000001</v>
      </c>
      <c r="E60" s="711"/>
      <c r="F60" s="771">
        <f t="shared" si="0"/>
        <v>9.6939766223513857E-4</v>
      </c>
      <c r="G60" s="474"/>
      <c r="H60" s="586"/>
      <c r="I60" s="586"/>
      <c r="J60" s="474"/>
      <c r="K60" s="474"/>
    </row>
    <row r="61" spans="1:12" s="356" customFormat="1" ht="10.5" customHeight="1">
      <c r="A61" s="770"/>
      <c r="B61" s="708" t="s">
        <v>65</v>
      </c>
      <c r="C61" s="711">
        <v>2.25996</v>
      </c>
      <c r="D61" s="711">
        <v>4.0438000000000001</v>
      </c>
      <c r="E61" s="711">
        <v>1.98065</v>
      </c>
      <c r="F61" s="771">
        <f t="shared" si="0"/>
        <v>-0.44112963054552645</v>
      </c>
      <c r="G61" s="474"/>
      <c r="H61" s="586"/>
      <c r="I61" s="586"/>
      <c r="J61" s="474"/>
      <c r="K61" s="474"/>
    </row>
    <row r="62" spans="1:12" s="356" customFormat="1" ht="10.5" customHeight="1">
      <c r="A62" s="770"/>
      <c r="B62" s="708" t="s">
        <v>69</v>
      </c>
      <c r="C62" s="711">
        <v>2.6063399999999999</v>
      </c>
      <c r="D62" s="711">
        <v>4.8136400000000004</v>
      </c>
      <c r="E62" s="711">
        <v>2.2770299999999999</v>
      </c>
      <c r="F62" s="771">
        <f t="shared" si="0"/>
        <v>-0.45855111724183784</v>
      </c>
      <c r="G62" s="474"/>
      <c r="H62" s="586"/>
      <c r="I62" s="586"/>
      <c r="J62" s="474"/>
      <c r="K62" s="474"/>
    </row>
    <row r="63" spans="1:12" s="356" customFormat="1" ht="10.5" customHeight="1">
      <c r="A63" s="770"/>
      <c r="B63" s="708" t="s">
        <v>68</v>
      </c>
      <c r="C63" s="711">
        <v>1.1566799999999999</v>
      </c>
      <c r="D63" s="711">
        <v>1.2998400000000001</v>
      </c>
      <c r="E63" s="711">
        <v>1.5784499999999999</v>
      </c>
      <c r="F63" s="771">
        <f t="shared" si="0"/>
        <v>-0.11013663220088643</v>
      </c>
      <c r="G63" s="474"/>
      <c r="H63" s="586"/>
      <c r="I63" s="586"/>
      <c r="J63" s="474"/>
      <c r="K63" s="474"/>
    </row>
    <row r="64" spans="1:12" s="356" customFormat="1" ht="12.75" customHeight="1">
      <c r="A64" s="885" t="s">
        <v>760</v>
      </c>
      <c r="B64" s="569"/>
      <c r="C64" s="571">
        <v>34.761710000000001</v>
      </c>
      <c r="D64" s="571">
        <v>41.766719999999999</v>
      </c>
      <c r="E64" s="571">
        <v>18.443090000000002</v>
      </c>
      <c r="F64" s="773">
        <f t="shared" si="0"/>
        <v>-0.16771750331364299</v>
      </c>
      <c r="G64" s="474"/>
      <c r="H64" s="586"/>
      <c r="I64" s="586"/>
      <c r="J64" s="474"/>
      <c r="K64" s="474"/>
    </row>
    <row r="65" spans="1:11" s="356" customFormat="1" ht="10.5" customHeight="1">
      <c r="A65" s="770" t="s">
        <v>89</v>
      </c>
      <c r="B65" s="708" t="s">
        <v>579</v>
      </c>
      <c r="C65" s="711">
        <v>71.969340000000003</v>
      </c>
      <c r="D65" s="711"/>
      <c r="E65" s="711"/>
      <c r="F65" s="771" t="str">
        <f t="shared" si="0"/>
        <v/>
      </c>
      <c r="G65" s="474"/>
      <c r="H65" s="586"/>
      <c r="I65" s="586"/>
      <c r="J65" s="474"/>
      <c r="K65" s="474"/>
    </row>
    <row r="66" spans="1:11" s="356" customFormat="1" ht="10.5" customHeight="1">
      <c r="A66" s="770"/>
      <c r="B66" s="708" t="s">
        <v>332</v>
      </c>
      <c r="C66" s="711">
        <v>27.228859999999997</v>
      </c>
      <c r="D66" s="711">
        <v>29.256</v>
      </c>
      <c r="E66" s="711">
        <v>30.14968</v>
      </c>
      <c r="F66" s="771">
        <f t="shared" si="0"/>
        <v>-6.9289718348373053E-2</v>
      </c>
      <c r="G66" s="474"/>
      <c r="H66" s="585"/>
      <c r="I66" s="586"/>
      <c r="J66" s="474"/>
      <c r="K66" s="474"/>
    </row>
    <row r="67" spans="1:11" s="356" customFormat="1" ht="10.5" customHeight="1">
      <c r="A67" s="770"/>
      <c r="B67" s="708" t="s">
        <v>333</v>
      </c>
      <c r="C67" s="711">
        <v>149.65631000000002</v>
      </c>
      <c r="D67" s="711">
        <v>179.44051999999999</v>
      </c>
      <c r="E67" s="711">
        <v>218.93121000000002</v>
      </c>
      <c r="F67" s="771">
        <f t="shared" si="0"/>
        <v>-0.16598374770648217</v>
      </c>
      <c r="G67" s="474"/>
      <c r="H67" s="585"/>
      <c r="I67" s="586"/>
      <c r="J67" s="474"/>
      <c r="K67" s="474"/>
    </row>
    <row r="68" spans="1:11" s="356" customFormat="1" ht="10.5" customHeight="1">
      <c r="A68" s="770"/>
      <c r="B68" s="708" t="s">
        <v>334</v>
      </c>
      <c r="C68" s="711">
        <v>88.808790000000002</v>
      </c>
      <c r="D68" s="711">
        <v>78.130660000000006</v>
      </c>
      <c r="E68" s="711">
        <v>91.062849999999997</v>
      </c>
      <c r="F68" s="771">
        <f t="shared" si="0"/>
        <v>0.1366701625200657</v>
      </c>
      <c r="G68" s="483"/>
      <c r="H68" s="585"/>
      <c r="I68" s="586"/>
      <c r="J68" s="474"/>
      <c r="K68" s="474"/>
    </row>
    <row r="69" spans="1:11" s="356" customFormat="1" ht="10.5" customHeight="1">
      <c r="A69" s="770"/>
      <c r="B69" s="708" t="s">
        <v>335</v>
      </c>
      <c r="C69" s="711">
        <v>67.080860000000001</v>
      </c>
      <c r="D69" s="711">
        <v>54.203440000000001</v>
      </c>
      <c r="E69" s="711">
        <v>49.580370000000002</v>
      </c>
      <c r="F69" s="771">
        <f t="shared" si="0"/>
        <v>0.23757569630267006</v>
      </c>
      <c r="G69" s="483"/>
      <c r="H69" s="585"/>
      <c r="I69" s="586"/>
      <c r="J69" s="474"/>
      <c r="K69" s="474"/>
    </row>
    <row r="70" spans="1:11" s="356" customFormat="1" ht="10.5" customHeight="1">
      <c r="A70" s="770"/>
      <c r="B70" s="708" t="s">
        <v>336</v>
      </c>
      <c r="C70" s="711">
        <v>120.79652</v>
      </c>
      <c r="D70" s="711">
        <v>0</v>
      </c>
      <c r="E70" s="711">
        <v>0</v>
      </c>
      <c r="F70" s="771" t="str">
        <f t="shared" si="0"/>
        <v/>
      </c>
      <c r="G70" s="483"/>
      <c r="H70" s="585"/>
      <c r="I70" s="586"/>
      <c r="J70" s="474"/>
      <c r="K70" s="474"/>
    </row>
    <row r="71" spans="1:11" s="356" customFormat="1" ht="10.5" customHeight="1">
      <c r="A71" s="770"/>
      <c r="B71" s="708" t="s">
        <v>337</v>
      </c>
      <c r="C71" s="711">
        <v>190.66872000000001</v>
      </c>
      <c r="D71" s="711">
        <v>0</v>
      </c>
      <c r="E71" s="711">
        <v>135.84263000000001</v>
      </c>
      <c r="F71" s="771" t="str">
        <f t="shared" si="0"/>
        <v/>
      </c>
      <c r="G71" s="483"/>
      <c r="H71" s="586"/>
      <c r="I71" s="586"/>
      <c r="J71" s="474"/>
      <c r="K71" s="474"/>
    </row>
    <row r="72" spans="1:11" s="356" customFormat="1" ht="10.5" customHeight="1">
      <c r="A72" s="770"/>
      <c r="B72" s="708" t="s">
        <v>338</v>
      </c>
      <c r="C72" s="711">
        <v>452.80091000000004</v>
      </c>
      <c r="D72" s="711">
        <v>460.45155</v>
      </c>
      <c r="E72" s="711">
        <v>373.03115000000003</v>
      </c>
      <c r="F72" s="771">
        <f t="shared" si="0"/>
        <v>-1.6615515790966429E-2</v>
      </c>
      <c r="G72" s="483"/>
      <c r="H72" s="586"/>
      <c r="I72" s="586"/>
      <c r="J72" s="474"/>
      <c r="K72" s="474"/>
    </row>
    <row r="73" spans="1:11" s="356" customFormat="1" ht="10.5" customHeight="1">
      <c r="A73" s="770"/>
      <c r="B73" s="708" t="s">
        <v>490</v>
      </c>
      <c r="C73" s="711">
        <v>0.66925999999999997</v>
      </c>
      <c r="D73" s="711">
        <v>0</v>
      </c>
      <c r="E73" s="711"/>
      <c r="F73" s="771" t="str">
        <f t="shared" si="0"/>
        <v/>
      </c>
      <c r="G73" s="474"/>
      <c r="H73" s="586"/>
      <c r="I73" s="586"/>
      <c r="J73" s="474"/>
      <c r="K73" s="474"/>
    </row>
    <row r="74" spans="1:11" s="356" customFormat="1" ht="10.5" customHeight="1">
      <c r="A74" s="772" t="s">
        <v>339</v>
      </c>
      <c r="B74" s="569"/>
      <c r="C74" s="571">
        <v>1169.67957</v>
      </c>
      <c r="D74" s="571">
        <v>801.48217</v>
      </c>
      <c r="E74" s="571">
        <v>898.59789000000001</v>
      </c>
      <c r="F74" s="773">
        <f t="shared" si="0"/>
        <v>0.45939562198869632</v>
      </c>
      <c r="G74" s="474"/>
      <c r="H74" s="586"/>
      <c r="I74" s="586"/>
      <c r="J74" s="474"/>
      <c r="K74" s="474"/>
    </row>
    <row r="75" spans="1:11" s="356" customFormat="1" ht="10.5" customHeight="1">
      <c r="A75" s="770" t="s">
        <v>97</v>
      </c>
      <c r="B75" s="708" t="s">
        <v>340</v>
      </c>
      <c r="C75" s="711">
        <v>0</v>
      </c>
      <c r="D75" s="711">
        <v>0</v>
      </c>
      <c r="E75" s="711">
        <v>0</v>
      </c>
      <c r="F75" s="771" t="str">
        <f t="shared" si="0"/>
        <v/>
      </c>
      <c r="G75" s="474"/>
      <c r="H75" s="586"/>
      <c r="I75" s="586"/>
      <c r="J75" s="474"/>
      <c r="K75" s="474"/>
    </row>
    <row r="76" spans="1:11" s="356" customFormat="1" ht="10.5" customHeight="1">
      <c r="A76" s="770"/>
      <c r="B76" s="708" t="s">
        <v>341</v>
      </c>
      <c r="C76" s="711">
        <v>91.333510000000004</v>
      </c>
      <c r="D76" s="711">
        <v>0</v>
      </c>
      <c r="E76" s="711">
        <v>0</v>
      </c>
      <c r="F76" s="771" t="str">
        <f t="shared" si="0"/>
        <v/>
      </c>
      <c r="G76" s="484"/>
      <c r="H76" s="586"/>
      <c r="I76" s="586"/>
      <c r="J76" s="474"/>
      <c r="K76" s="474"/>
    </row>
    <row r="77" spans="1:11" s="356" customFormat="1" ht="10.5" customHeight="1">
      <c r="A77" s="770"/>
      <c r="B77" s="708" t="s">
        <v>342</v>
      </c>
      <c r="C77" s="711">
        <v>0</v>
      </c>
      <c r="D77" s="711">
        <v>80.24427</v>
      </c>
      <c r="E77" s="711">
        <v>130.45782</v>
      </c>
      <c r="F77" s="771">
        <f t="shared" si="0"/>
        <v>-1</v>
      </c>
      <c r="G77" s="484"/>
      <c r="H77" s="578"/>
      <c r="I77" s="586"/>
      <c r="J77" s="474"/>
      <c r="K77" s="474"/>
    </row>
    <row r="78" spans="1:11" s="356" customFormat="1" ht="10.5" customHeight="1">
      <c r="A78" s="772" t="s">
        <v>343</v>
      </c>
      <c r="B78" s="569"/>
      <c r="C78" s="571">
        <v>91.333510000000004</v>
      </c>
      <c r="D78" s="571">
        <v>80.24427</v>
      </c>
      <c r="E78" s="571">
        <v>130.45782</v>
      </c>
      <c r="F78" s="773">
        <f t="shared" si="0"/>
        <v>0.13819354328975764</v>
      </c>
      <c r="G78" s="484"/>
      <c r="H78" s="578"/>
      <c r="I78" s="586"/>
      <c r="J78" s="474"/>
      <c r="K78" s="474"/>
    </row>
    <row r="79" spans="1:11" s="356" customFormat="1" ht="10.5" customHeight="1">
      <c r="A79" s="779" t="s">
        <v>99</v>
      </c>
      <c r="B79" s="722" t="s">
        <v>522</v>
      </c>
      <c r="C79" s="736">
        <v>0</v>
      </c>
      <c r="D79" s="736">
        <v>0</v>
      </c>
      <c r="E79" s="736"/>
      <c r="F79" s="799" t="str">
        <f t="shared" si="0"/>
        <v/>
      </c>
      <c r="H79" s="578"/>
      <c r="I79" s="586"/>
      <c r="J79" s="474"/>
      <c r="K79" s="474"/>
    </row>
    <row r="80" spans="1:11" s="356" customFormat="1" ht="10.5" customHeight="1">
      <c r="A80" s="770"/>
      <c r="B80" s="708" t="s">
        <v>521</v>
      </c>
      <c r="C80" s="711">
        <v>129.72591</v>
      </c>
      <c r="D80" s="711">
        <v>91.487089999999995</v>
      </c>
      <c r="E80" s="711"/>
      <c r="F80" s="771">
        <f t="shared" ref="F80:F81" si="3">+IF(D80=0,"",C80/D80-1)</f>
        <v>0.41796957363055265</v>
      </c>
      <c r="J80" s="474"/>
      <c r="K80" s="474"/>
    </row>
    <row r="81" spans="1:11" s="356" customFormat="1" ht="10.5" customHeight="1">
      <c r="A81" s="772" t="s">
        <v>344</v>
      </c>
      <c r="B81" s="569"/>
      <c r="C81" s="571">
        <v>129.72591</v>
      </c>
      <c r="D81" s="571">
        <v>91.487089999999995</v>
      </c>
      <c r="E81" s="571"/>
      <c r="F81" s="773">
        <f t="shared" si="3"/>
        <v>0.41796957363055265</v>
      </c>
      <c r="J81" s="474"/>
      <c r="K81" s="474"/>
    </row>
    <row r="82" spans="1:11" s="356" customFormat="1" ht="10.5" customHeight="1">
      <c r="I82" s="474"/>
      <c r="J82" s="474"/>
      <c r="K82" s="474"/>
    </row>
    <row r="83" spans="1:11" s="356" customFormat="1" ht="10.5" customHeight="1"/>
    <row r="84" spans="1:11" s="356" customFormat="1" ht="10.5" customHeight="1"/>
    <row r="85" spans="1:11" s="356" customFormat="1" ht="10.5" customHeight="1"/>
    <row r="86" spans="1:11" s="356" customFormat="1" ht="10.5" customHeight="1"/>
    <row r="87" spans="1:11" s="356" customFormat="1" ht="10.5" customHeight="1"/>
    <row r="88" spans="1:11" s="356" customFormat="1" ht="10.5" customHeight="1"/>
    <row r="89" spans="1:11" s="356" customFormat="1" ht="10.5" customHeight="1"/>
    <row r="90" spans="1:11" s="356" customFormat="1" ht="10.5" customHeight="1"/>
    <row r="91" spans="1:11" s="356" customFormat="1" ht="10.5" customHeight="1"/>
    <row r="92" spans="1:11" s="356" customFormat="1" ht="10.5" customHeight="1"/>
    <row r="93" spans="1:11" s="356" customFormat="1" ht="10.5" customHeight="1"/>
    <row r="94" spans="1:11" s="356" customFormat="1" ht="10.5" customHeight="1"/>
    <row r="95" spans="1:11" s="356" customFormat="1" ht="10.5" customHeight="1"/>
    <row r="96" spans="1:11" s="356" customFormat="1" ht="10.5" customHeight="1"/>
    <row r="97" s="356" customFormat="1" ht="10.5" customHeight="1"/>
    <row r="98" s="356" customFormat="1" ht="10.5" customHeight="1"/>
    <row r="99" s="356" customFormat="1" ht="10.5" customHeight="1"/>
    <row r="100" s="356" customFormat="1" ht="10.5" customHeight="1"/>
    <row r="101" s="356" customFormat="1" ht="10.5" customHeight="1"/>
    <row r="102" s="356" customFormat="1" ht="10.5" customHeight="1"/>
    <row r="103" s="356" customFormat="1" ht="10.5" customHeight="1"/>
    <row r="104" s="356" customFormat="1" ht="10.5" customHeight="1"/>
    <row r="105" s="356" customFormat="1" ht="10.5" customHeight="1"/>
    <row r="106" s="356" customFormat="1" ht="10.5" customHeight="1"/>
    <row r="107" s="356" customFormat="1" ht="10.5" customHeight="1"/>
    <row r="108" s="356" customFormat="1" ht="10.5" customHeight="1"/>
    <row r="109" s="356" customFormat="1" ht="10.5" customHeight="1"/>
    <row r="110" s="356" customFormat="1" ht="10.5" customHeight="1"/>
    <row r="111" s="356" customFormat="1" ht="10.5" customHeight="1"/>
    <row r="112" s="356" customFormat="1" ht="10.5" customHeight="1"/>
    <row r="113" s="356" customFormat="1" ht="10.5" customHeight="1"/>
    <row r="114" s="356" customFormat="1" ht="10.5" customHeight="1"/>
    <row r="115" s="356" customFormat="1" ht="10.5" customHeight="1"/>
    <row r="116" s="356" customFormat="1" ht="10.5" customHeight="1"/>
    <row r="117" s="356" customFormat="1" ht="10.5" customHeight="1"/>
    <row r="118" s="356" customFormat="1" ht="10.5" customHeight="1"/>
    <row r="119" s="356" customFormat="1" ht="10.5" customHeight="1"/>
    <row r="120" s="356" customFormat="1" ht="10.5" customHeight="1"/>
    <row r="121" s="356" customFormat="1" ht="10.5" customHeight="1"/>
    <row r="122" s="356" customFormat="1" ht="10.5" customHeight="1"/>
    <row r="123" s="356" customFormat="1" ht="10.5" customHeight="1"/>
    <row r="124" s="356" customFormat="1" ht="10.5" customHeight="1"/>
    <row r="125" s="356" customFormat="1" ht="10.5" customHeight="1"/>
    <row r="126" s="356" customFormat="1" ht="10.5" customHeight="1"/>
    <row r="127" s="356" customFormat="1" ht="10.5" customHeight="1"/>
    <row r="128" s="356" customFormat="1" ht="10.5" customHeight="1"/>
    <row r="129" s="356" customFormat="1" ht="10.5" customHeight="1"/>
    <row r="130" s="356" customFormat="1" ht="10.5" customHeight="1"/>
    <row r="131" s="356" customFormat="1" ht="10.5" customHeight="1"/>
    <row r="132" s="356" customFormat="1" ht="10.5" customHeight="1"/>
    <row r="133" s="356" customFormat="1" ht="10.5" customHeight="1"/>
    <row r="134" s="356" customFormat="1" ht="10.5" customHeight="1"/>
    <row r="135" s="356" customFormat="1" ht="10.5" customHeight="1"/>
    <row r="136" s="356" customFormat="1" ht="10.5" customHeight="1"/>
    <row r="137" s="356" customFormat="1" ht="10.5" customHeight="1"/>
    <row r="138" s="356" customFormat="1" ht="10.5" customHeight="1"/>
    <row r="139" s="356" customFormat="1" ht="10.5" customHeight="1"/>
    <row r="140" s="356" customFormat="1" ht="10.5" customHeight="1"/>
    <row r="141" s="356" customFormat="1" ht="10.5" customHeight="1"/>
    <row r="142" s="356" customFormat="1" ht="10.5" customHeight="1"/>
    <row r="143" s="356" customFormat="1" ht="10.5" customHeight="1"/>
    <row r="144" s="356" customFormat="1" ht="10.5" customHeight="1"/>
    <row r="145" s="356" customFormat="1" ht="10.5" customHeight="1"/>
    <row r="146" s="356" customFormat="1" ht="10.5" customHeight="1"/>
    <row r="147" s="356" customFormat="1" ht="10.5" customHeight="1"/>
    <row r="148" s="356" customFormat="1" ht="10.5" customHeight="1"/>
    <row r="149" s="356" customFormat="1" ht="10.5" customHeight="1"/>
    <row r="150" s="356" customFormat="1" ht="10.5" customHeight="1"/>
    <row r="151" s="356" customFormat="1" ht="10.5" customHeight="1"/>
    <row r="152" s="356" customFormat="1" ht="10.5" customHeight="1"/>
    <row r="153" s="356" customFormat="1" ht="10.5" customHeight="1"/>
    <row r="154" s="356" customFormat="1" ht="10.5" customHeight="1"/>
    <row r="155" s="356" customFormat="1" ht="10.5" customHeight="1"/>
    <row r="156" s="356" customFormat="1" ht="10.5" customHeight="1"/>
    <row r="157" s="356" customFormat="1" ht="10.5" customHeight="1"/>
    <row r="158" s="356" customFormat="1" ht="10.5" customHeight="1"/>
    <row r="159" s="356" customFormat="1" ht="10.5" customHeight="1"/>
    <row r="160" s="356" customFormat="1" ht="10.5" customHeight="1"/>
    <row r="161" s="356" customFormat="1" ht="10.5" customHeight="1"/>
    <row r="162" s="356" customFormat="1" ht="10.5" customHeight="1"/>
    <row r="163" s="356" customFormat="1" ht="10.5" customHeight="1"/>
    <row r="164" s="356" customFormat="1" ht="10.5" customHeight="1"/>
    <row r="165" s="356" customFormat="1" ht="10.5" customHeight="1"/>
    <row r="166" s="356" customFormat="1" ht="10.5" customHeight="1"/>
    <row r="167" s="356" customFormat="1" ht="10.5" customHeight="1"/>
    <row r="168" s="356" customFormat="1" ht="10.5" customHeight="1"/>
    <row r="169" s="356" customFormat="1" ht="10.5" customHeight="1"/>
    <row r="170" s="356" customFormat="1" ht="10.5" customHeight="1"/>
    <row r="171" s="356" customFormat="1" ht="10.5" customHeight="1"/>
    <row r="172" s="356" customFormat="1" ht="8.25"/>
    <row r="173" s="356" customFormat="1" ht="8.25"/>
    <row r="174" s="356" customFormat="1" ht="8.25"/>
    <row r="175" s="356" customFormat="1" ht="8.25"/>
    <row r="176" s="356" customFormat="1" ht="8.25"/>
    <row r="177" s="356" customFormat="1" ht="8.25"/>
    <row r="178" s="356" customFormat="1" ht="8.25"/>
    <row r="179" s="356" customFormat="1" ht="8.25"/>
    <row r="180" s="356" customFormat="1" ht="8.25"/>
    <row r="181" s="356" customFormat="1" ht="8.25"/>
    <row r="182" s="356" customFormat="1" ht="8.25"/>
    <row r="183" s="356" customFormat="1" ht="8.25"/>
    <row r="184" s="356" customFormat="1" ht="8.25"/>
    <row r="185" s="356" customFormat="1" ht="8.25"/>
    <row r="186" s="356" customFormat="1" ht="8.25"/>
    <row r="187" s="356" customFormat="1" ht="8.25"/>
    <row r="188" s="356" customFormat="1" ht="8.25"/>
    <row r="189" s="356" customFormat="1" ht="8.25"/>
    <row r="190" s="356" customFormat="1" ht="8.25"/>
    <row r="191" s="356" customFormat="1" ht="8.25"/>
    <row r="192" s="356" customFormat="1" ht="8.25"/>
  </sheetData>
  <mergeCells count="3">
    <mergeCell ref="A2:A5"/>
    <mergeCell ref="B2:B5"/>
    <mergeCell ref="C2:F2"/>
  </mergeCells>
  <pageMargins left="0.70866141732283472" right="0.70866141732283472" top="1.4173228346456694" bottom="0.62992125984251968" header="0.31496062992125984" footer="0.31496062992125984"/>
  <pageSetup paperSize="9" scale="87" orientation="portrait" r:id="rId1"/>
  <headerFooter>
    <oddHeader>&amp;R&amp;7Informe de la Operación Mensual-Julio 2019
INFSGI-MES-07-2019
08/08/2019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77A5"/>
  </sheetPr>
  <dimension ref="A1:K115"/>
  <sheetViews>
    <sheetView showGridLines="0" view="pageBreakPreview" zoomScale="120" zoomScaleNormal="100" zoomScaleSheetLayoutView="120" zoomScalePageLayoutView="160" workbookViewId="0">
      <selection activeCell="U69" sqref="T69:U69"/>
    </sheetView>
  </sheetViews>
  <sheetFormatPr defaultColWidth="9.33203125" defaultRowHeight="9"/>
  <cols>
    <col min="1" max="1" width="28.6640625" style="280" customWidth="1"/>
    <col min="2" max="2" width="22.1640625" style="280" customWidth="1"/>
    <col min="3" max="4" width="17.6640625" style="280" customWidth="1"/>
    <col min="5" max="5" width="15.1640625" style="280" customWidth="1"/>
    <col min="6" max="6" width="13.33203125" style="280" customWidth="1"/>
    <col min="7" max="7" width="6.33203125" style="280" customWidth="1"/>
    <col min="8" max="16384" width="9.33203125" style="280"/>
  </cols>
  <sheetData>
    <row r="1" spans="1:11" s="356" customFormat="1" ht="11.25" customHeight="1">
      <c r="A1" s="1007" t="s">
        <v>264</v>
      </c>
      <c r="B1" s="1009" t="s">
        <v>55</v>
      </c>
      <c r="C1" s="1009" t="s">
        <v>414</v>
      </c>
      <c r="D1" s="1009"/>
      <c r="E1" s="1009"/>
      <c r="F1" s="1011"/>
      <c r="G1" s="472"/>
    </row>
    <row r="2" spans="1:11" s="356" customFormat="1" ht="11.25" customHeight="1">
      <c r="A2" s="1001"/>
      <c r="B2" s="1004"/>
      <c r="C2" s="552" t="str">
        <f>+'21. ANEXOII-1'!C3</f>
        <v>JULIO 2019</v>
      </c>
      <c r="D2" s="553" t="str">
        <f>+'21. ANEXOII-1'!D3</f>
        <v>JULIO 2018</v>
      </c>
      <c r="E2" s="554" t="s">
        <v>598</v>
      </c>
      <c r="F2" s="728" t="s">
        <v>536</v>
      </c>
      <c r="G2" s="473"/>
      <c r="H2" s="472"/>
    </row>
    <row r="3" spans="1:11" s="356" customFormat="1" ht="11.25" customHeight="1">
      <c r="A3" s="1001"/>
      <c r="B3" s="1004"/>
      <c r="C3" s="555">
        <f>+'8. Max Potencia'!D8</f>
        <v>43668.854166666664</v>
      </c>
      <c r="D3" s="555">
        <f>+'8. Max Potencia'!E8</f>
        <v>43294.791666666664</v>
      </c>
      <c r="E3" s="555">
        <f>+'21. ANEXOII-1'!E4</f>
        <v>42928.822916666664</v>
      </c>
      <c r="F3" s="729" t="s">
        <v>411</v>
      </c>
      <c r="G3" s="474"/>
      <c r="H3" s="472"/>
    </row>
    <row r="4" spans="1:11" s="356" customFormat="1" ht="11.25" customHeight="1">
      <c r="A4" s="1008"/>
      <c r="B4" s="1010"/>
      <c r="C4" s="556">
        <f>+'8. Max Potencia'!D9</f>
        <v>43668.854166666664</v>
      </c>
      <c r="D4" s="556">
        <f>+'8. Max Potencia'!E9</f>
        <v>43294.791666666664</v>
      </c>
      <c r="E4" s="556">
        <f>+'21. ANEXOII-1'!E5</f>
        <v>42928.822916666664</v>
      </c>
      <c r="F4" s="730" t="s">
        <v>412</v>
      </c>
      <c r="G4" s="474"/>
      <c r="H4" s="476"/>
    </row>
    <row r="5" spans="1:11" s="356" customFormat="1" ht="10.5" customHeight="1">
      <c r="A5" s="770" t="s">
        <v>98</v>
      </c>
      <c r="B5" s="708" t="s">
        <v>78</v>
      </c>
      <c r="C5" s="711">
        <v>45.289520000000003</v>
      </c>
      <c r="D5" s="711">
        <v>16.720659999999999</v>
      </c>
      <c r="E5" s="711">
        <v>21.615210000000001</v>
      </c>
      <c r="F5" s="771">
        <f t="shared" ref="F5:F37" si="0">+IF(D5=0,"",C5/D5-1)</f>
        <v>1.708596431002126</v>
      </c>
      <c r="J5" s="598"/>
      <c r="K5" s="598"/>
    </row>
    <row r="6" spans="1:11" s="356" customFormat="1" ht="10.5" customHeight="1">
      <c r="A6" s="770"/>
      <c r="B6" s="708" t="s">
        <v>80</v>
      </c>
      <c r="C6" s="711">
        <v>15.79379</v>
      </c>
      <c r="D6" s="711">
        <v>8.54312</v>
      </c>
      <c r="E6" s="711">
        <v>18.66703</v>
      </c>
      <c r="F6" s="771">
        <f t="shared" si="0"/>
        <v>0.84871452115854629</v>
      </c>
      <c r="J6" s="598"/>
      <c r="K6" s="598"/>
    </row>
    <row r="7" spans="1:11" s="356" customFormat="1" ht="10.5" customHeight="1">
      <c r="A7" s="772" t="s">
        <v>345</v>
      </c>
      <c r="B7" s="569"/>
      <c r="C7" s="571">
        <v>61.083310000000004</v>
      </c>
      <c r="D7" s="571">
        <v>25.263779999999997</v>
      </c>
      <c r="E7" s="571">
        <v>40.282240000000002</v>
      </c>
      <c r="F7" s="773">
        <f t="shared" si="0"/>
        <v>1.41782148197934</v>
      </c>
      <c r="J7" s="598"/>
      <c r="K7" s="598"/>
    </row>
    <row r="8" spans="1:11" s="356" customFormat="1" ht="10.5" customHeight="1">
      <c r="A8" s="770" t="s">
        <v>88</v>
      </c>
      <c r="B8" s="708" t="s">
        <v>346</v>
      </c>
      <c r="C8" s="711">
        <v>30.131360000000001</v>
      </c>
      <c r="D8" s="711">
        <v>60.123930000000001</v>
      </c>
      <c r="E8" s="711">
        <v>98.749420000000001</v>
      </c>
      <c r="F8" s="771">
        <f t="shared" si="0"/>
        <v>-0.4988458006653923</v>
      </c>
    </row>
    <row r="9" spans="1:11" s="356" customFormat="1" ht="10.5" customHeight="1">
      <c r="A9" s="770"/>
      <c r="B9" s="708" t="s">
        <v>347</v>
      </c>
      <c r="C9" s="711">
        <v>71.345159999999993</v>
      </c>
      <c r="D9" s="711">
        <v>90.486230000000006</v>
      </c>
      <c r="E9" s="711">
        <v>60.094000000000001</v>
      </c>
      <c r="F9" s="771">
        <f t="shared" si="0"/>
        <v>-0.2115357220651144</v>
      </c>
    </row>
    <row r="10" spans="1:11" s="356" customFormat="1" ht="10.5" customHeight="1">
      <c r="A10" s="770"/>
      <c r="B10" s="708" t="s">
        <v>348</v>
      </c>
      <c r="C10" s="711">
        <v>748.13227000000006</v>
      </c>
      <c r="D10" s="711">
        <v>744.07650000000001</v>
      </c>
      <c r="E10" s="711">
        <v>788.07396999999992</v>
      </c>
      <c r="F10" s="771">
        <f t="shared" si="0"/>
        <v>5.4507433039479025E-3</v>
      </c>
    </row>
    <row r="11" spans="1:11" s="356" customFormat="1" ht="10.5" customHeight="1">
      <c r="A11" s="770"/>
      <c r="B11" s="708" t="s">
        <v>349</v>
      </c>
      <c r="C11" s="711">
        <v>67.94538</v>
      </c>
      <c r="D11" s="711">
        <v>105.42171999999999</v>
      </c>
      <c r="E11" s="711">
        <v>102.00134</v>
      </c>
      <c r="F11" s="771">
        <f t="shared" si="0"/>
        <v>-0.35548974158266433</v>
      </c>
      <c r="J11" s="598"/>
      <c r="K11" s="598"/>
    </row>
    <row r="12" spans="1:11" s="356" customFormat="1" ht="10.5" customHeight="1">
      <c r="A12" s="770"/>
      <c r="B12" s="708" t="s">
        <v>599</v>
      </c>
      <c r="C12" s="711"/>
      <c r="D12" s="711"/>
      <c r="E12" s="711">
        <v>32.591320000000003</v>
      </c>
      <c r="F12" s="771" t="str">
        <f t="shared" si="0"/>
        <v/>
      </c>
      <c r="J12" s="598"/>
      <c r="K12" s="598"/>
    </row>
    <row r="13" spans="1:11" s="356" customFormat="1" ht="10.5" customHeight="1">
      <c r="A13" s="770"/>
      <c r="B13" s="708" t="s">
        <v>350</v>
      </c>
      <c r="C13" s="711">
        <v>0</v>
      </c>
      <c r="D13" s="711">
        <v>0</v>
      </c>
      <c r="E13" s="711">
        <v>131.03205</v>
      </c>
      <c r="F13" s="771" t="str">
        <f t="shared" si="0"/>
        <v/>
      </c>
      <c r="J13" s="598"/>
      <c r="K13" s="598"/>
    </row>
    <row r="14" spans="1:11" s="356" customFormat="1" ht="10.5" customHeight="1">
      <c r="A14" s="770"/>
      <c r="B14" s="708" t="s">
        <v>351</v>
      </c>
      <c r="C14" s="711">
        <v>0</v>
      </c>
      <c r="D14" s="711">
        <v>0</v>
      </c>
      <c r="E14" s="711">
        <v>0</v>
      </c>
      <c r="F14" s="771" t="str">
        <f t="shared" si="0"/>
        <v/>
      </c>
      <c r="J14" s="598"/>
      <c r="K14" s="598"/>
    </row>
    <row r="15" spans="1:11" s="356" customFormat="1" ht="10.5" customHeight="1">
      <c r="A15" s="770"/>
      <c r="B15" s="708" t="s">
        <v>352</v>
      </c>
      <c r="C15" s="711">
        <v>0</v>
      </c>
      <c r="D15" s="711">
        <v>0</v>
      </c>
      <c r="E15" s="711">
        <v>0</v>
      </c>
      <c r="F15" s="771" t="str">
        <f t="shared" si="0"/>
        <v/>
      </c>
      <c r="J15" s="598"/>
      <c r="K15" s="598"/>
    </row>
    <row r="16" spans="1:11" s="356" customFormat="1" ht="10.5" customHeight="1">
      <c r="A16" s="770"/>
      <c r="B16" s="708" t="s">
        <v>523</v>
      </c>
      <c r="C16" s="711">
        <v>0</v>
      </c>
      <c r="D16" s="711">
        <v>0</v>
      </c>
      <c r="E16" s="711"/>
      <c r="F16" s="771" t="str">
        <f t="shared" si="0"/>
        <v/>
      </c>
      <c r="J16" s="598"/>
      <c r="K16" s="598"/>
    </row>
    <row r="17" spans="1:11" s="356" customFormat="1" ht="10.5" customHeight="1">
      <c r="A17" s="772" t="s">
        <v>353</v>
      </c>
      <c r="B17" s="569"/>
      <c r="C17" s="571">
        <v>917.55417</v>
      </c>
      <c r="D17" s="571">
        <v>1000.1083800000001</v>
      </c>
      <c r="E17" s="571">
        <v>1212.5420999999999</v>
      </c>
      <c r="F17" s="773">
        <f t="shared" si="0"/>
        <v>-8.2545263744315478E-2</v>
      </c>
      <c r="J17" s="598"/>
      <c r="K17" s="598"/>
    </row>
    <row r="18" spans="1:11" s="356" customFormat="1" ht="10.5" customHeight="1">
      <c r="A18" s="770" t="s">
        <v>252</v>
      </c>
      <c r="B18" s="708" t="s">
        <v>354</v>
      </c>
      <c r="C18" s="711">
        <v>545.92955000000006</v>
      </c>
      <c r="D18" s="711">
        <v>275.32452999999998</v>
      </c>
      <c r="E18" s="711">
        <v>553.68991000000005</v>
      </c>
      <c r="F18" s="771">
        <f t="shared" si="0"/>
        <v>0.98285837444269886</v>
      </c>
      <c r="J18" s="598"/>
      <c r="K18" s="598"/>
    </row>
    <row r="19" spans="1:11" s="356" customFormat="1" ht="10.5" customHeight="1">
      <c r="A19" s="772" t="s">
        <v>355</v>
      </c>
      <c r="B19" s="569"/>
      <c r="C19" s="571">
        <v>545.92955000000006</v>
      </c>
      <c r="D19" s="571">
        <v>275.32452999999998</v>
      </c>
      <c r="E19" s="571">
        <v>553.68991000000005</v>
      </c>
      <c r="F19" s="773">
        <f t="shared" si="0"/>
        <v>0.98285837444269886</v>
      </c>
      <c r="J19" s="598"/>
      <c r="K19" s="598"/>
    </row>
    <row r="20" spans="1:11" s="356" customFormat="1" ht="10.5" customHeight="1">
      <c r="A20" s="770" t="s">
        <v>109</v>
      </c>
      <c r="B20" s="708" t="s">
        <v>67</v>
      </c>
      <c r="C20" s="711">
        <v>7.1529999999999996</v>
      </c>
      <c r="D20" s="711">
        <v>5.2402199999999999</v>
      </c>
      <c r="E20" s="711">
        <v>9.1251700000000007</v>
      </c>
      <c r="F20" s="771">
        <f t="shared" si="0"/>
        <v>0.36501902591875912</v>
      </c>
      <c r="J20" s="598"/>
      <c r="K20" s="598"/>
    </row>
    <row r="21" spans="1:11" s="356" customFormat="1" ht="10.5" customHeight="1">
      <c r="A21" s="770"/>
      <c r="B21" s="708" t="s">
        <v>489</v>
      </c>
      <c r="C21" s="711">
        <v>4.1207000000000003</v>
      </c>
      <c r="D21" s="711"/>
      <c r="E21" s="711"/>
      <c r="F21" s="771" t="str">
        <f t="shared" si="0"/>
        <v/>
      </c>
      <c r="J21" s="598"/>
      <c r="K21" s="598"/>
    </row>
    <row r="22" spans="1:11" s="356" customFormat="1" ht="10.5" customHeight="1">
      <c r="A22" s="770"/>
      <c r="B22" s="708" t="s">
        <v>487</v>
      </c>
      <c r="C22" s="711">
        <v>5.5244999999999997</v>
      </c>
      <c r="D22" s="711"/>
      <c r="E22" s="711"/>
      <c r="F22" s="771" t="str">
        <f t="shared" si="0"/>
        <v/>
      </c>
      <c r="J22" s="598"/>
      <c r="K22" s="598"/>
    </row>
    <row r="23" spans="1:11" s="356" customFormat="1" ht="10.5" customHeight="1">
      <c r="A23" s="770"/>
      <c r="B23" s="708" t="s">
        <v>488</v>
      </c>
      <c r="C23" s="711">
        <v>5.5652399999999993</v>
      </c>
      <c r="D23" s="711"/>
      <c r="E23" s="711"/>
      <c r="F23" s="771" t="str">
        <f t="shared" si="0"/>
        <v/>
      </c>
      <c r="J23" s="598"/>
      <c r="K23" s="598"/>
    </row>
    <row r="24" spans="1:11" s="356" customFormat="1" ht="10.5" customHeight="1">
      <c r="A24" s="772" t="s">
        <v>356</v>
      </c>
      <c r="B24" s="569"/>
      <c r="C24" s="571">
        <v>22.363440000000001</v>
      </c>
      <c r="D24" s="571">
        <v>5.2402199999999999</v>
      </c>
      <c r="E24" s="571">
        <v>9.1251700000000007</v>
      </c>
      <c r="F24" s="773">
        <f t="shared" si="0"/>
        <v>3.2676528848025468</v>
      </c>
      <c r="J24" s="598"/>
      <c r="K24" s="598"/>
    </row>
    <row r="25" spans="1:11" s="356" customFormat="1" ht="10.5" customHeight="1">
      <c r="A25" s="770" t="s">
        <v>112</v>
      </c>
      <c r="B25" s="708" t="s">
        <v>245</v>
      </c>
      <c r="C25" s="711">
        <v>0</v>
      </c>
      <c r="D25" s="711">
        <v>0</v>
      </c>
      <c r="E25" s="711">
        <v>0</v>
      </c>
      <c r="F25" s="771" t="str">
        <f t="shared" si="0"/>
        <v/>
      </c>
      <c r="J25" s="598"/>
      <c r="K25" s="598"/>
    </row>
    <row r="26" spans="1:11" s="356" customFormat="1" ht="10.5" customHeight="1">
      <c r="A26" s="772" t="s">
        <v>357</v>
      </c>
      <c r="B26" s="569"/>
      <c r="C26" s="571">
        <v>0</v>
      </c>
      <c r="D26" s="571">
        <v>0</v>
      </c>
      <c r="E26" s="571">
        <v>0</v>
      </c>
      <c r="F26" s="773" t="str">
        <f t="shared" si="0"/>
        <v/>
      </c>
      <c r="J26" s="598"/>
      <c r="K26" s="598"/>
    </row>
    <row r="27" spans="1:11" s="356" customFormat="1" ht="10.5" customHeight="1">
      <c r="A27" s="770" t="s">
        <v>113</v>
      </c>
      <c r="B27" s="708" t="s">
        <v>83</v>
      </c>
      <c r="C27" s="711">
        <v>0</v>
      </c>
      <c r="D27" s="711">
        <v>0</v>
      </c>
      <c r="E27" s="711">
        <v>0</v>
      </c>
      <c r="F27" s="771" t="str">
        <f t="shared" si="0"/>
        <v/>
      </c>
      <c r="J27" s="598"/>
      <c r="K27" s="598"/>
    </row>
    <row r="28" spans="1:11" s="356" customFormat="1" ht="10.5" customHeight="1">
      <c r="A28" s="772" t="s">
        <v>358</v>
      </c>
      <c r="B28" s="569"/>
      <c r="C28" s="571">
        <v>0</v>
      </c>
      <c r="D28" s="571">
        <v>0</v>
      </c>
      <c r="E28" s="571">
        <v>0</v>
      </c>
      <c r="F28" s="773" t="str">
        <f t="shared" si="0"/>
        <v/>
      </c>
      <c r="J28" s="598"/>
      <c r="K28" s="598"/>
    </row>
    <row r="29" spans="1:11" s="356" customFormat="1" ht="10.5" customHeight="1">
      <c r="A29" s="770" t="s">
        <v>117</v>
      </c>
      <c r="B29" s="708" t="s">
        <v>75</v>
      </c>
      <c r="C29" s="711">
        <v>3.6</v>
      </c>
      <c r="D29" s="711">
        <v>3.2</v>
      </c>
      <c r="E29" s="711">
        <v>3.6</v>
      </c>
      <c r="F29" s="771">
        <f t="shared" si="0"/>
        <v>0.125</v>
      </c>
      <c r="J29" s="598"/>
      <c r="K29" s="598"/>
    </row>
    <row r="30" spans="1:11" s="356" customFormat="1" ht="10.5" customHeight="1">
      <c r="A30" s="772" t="s">
        <v>359</v>
      </c>
      <c r="B30" s="569"/>
      <c r="C30" s="571">
        <v>3.6</v>
      </c>
      <c r="D30" s="571">
        <v>3.2</v>
      </c>
      <c r="E30" s="571">
        <v>3.6</v>
      </c>
      <c r="F30" s="773">
        <f t="shared" si="0"/>
        <v>0.125</v>
      </c>
      <c r="J30" s="598"/>
      <c r="K30" s="598"/>
    </row>
    <row r="31" spans="1:11" s="356" customFormat="1" ht="10.5" customHeight="1">
      <c r="A31" s="770" t="s">
        <v>104</v>
      </c>
      <c r="B31" s="708" t="s">
        <v>360</v>
      </c>
      <c r="C31" s="711">
        <v>18.527999999999999</v>
      </c>
      <c r="D31" s="711">
        <v>17.027999999999999</v>
      </c>
      <c r="E31" s="711">
        <v>16.532</v>
      </c>
      <c r="F31" s="771">
        <f t="shared" si="0"/>
        <v>8.8090204369274172E-2</v>
      </c>
      <c r="J31" s="598"/>
      <c r="K31" s="598"/>
    </row>
    <row r="32" spans="1:11" s="356" customFormat="1" ht="10.5" customHeight="1">
      <c r="A32" s="772" t="s">
        <v>361</v>
      </c>
      <c r="B32" s="569"/>
      <c r="C32" s="571">
        <v>18.527999999999999</v>
      </c>
      <c r="D32" s="571">
        <v>17.027999999999999</v>
      </c>
      <c r="E32" s="571">
        <v>16.532</v>
      </c>
      <c r="F32" s="773">
        <f t="shared" si="0"/>
        <v>8.8090204369274172E-2</v>
      </c>
      <c r="J32" s="598"/>
      <c r="K32" s="598"/>
    </row>
    <row r="33" spans="1:11" s="356" customFormat="1" ht="21" customHeight="1">
      <c r="A33" s="774" t="s">
        <v>507</v>
      </c>
      <c r="B33" s="734" t="s">
        <v>362</v>
      </c>
      <c r="C33" s="735">
        <v>13.182869999999999</v>
      </c>
      <c r="D33" s="735">
        <v>17.331960000000002</v>
      </c>
      <c r="E33" s="735">
        <v>15.346770000000001</v>
      </c>
      <c r="F33" s="775">
        <f t="shared" si="0"/>
        <v>-0.23938954394078926</v>
      </c>
      <c r="J33" s="598"/>
      <c r="K33" s="598"/>
    </row>
    <row r="34" spans="1:11" s="356" customFormat="1" ht="10.5" customHeight="1">
      <c r="A34" s="772" t="s">
        <v>502</v>
      </c>
      <c r="B34" s="569"/>
      <c r="C34" s="571">
        <v>13.182869999999999</v>
      </c>
      <c r="D34" s="571">
        <v>17.331960000000002</v>
      </c>
      <c r="E34" s="571">
        <v>15.346770000000001</v>
      </c>
      <c r="F34" s="773">
        <f t="shared" si="0"/>
        <v>-0.23938954394078926</v>
      </c>
      <c r="J34" s="598"/>
      <c r="K34" s="598"/>
    </row>
    <row r="35" spans="1:11" s="356" customFormat="1" ht="10.5" customHeight="1">
      <c r="A35" s="770" t="s">
        <v>253</v>
      </c>
      <c r="B35" s="708" t="s">
        <v>60</v>
      </c>
      <c r="C35" s="711">
        <v>14.84337</v>
      </c>
      <c r="D35" s="711">
        <v>15.15048</v>
      </c>
      <c r="E35" s="711">
        <v>0</v>
      </c>
      <c r="F35" s="771">
        <f t="shared" si="0"/>
        <v>-2.0270644890458933E-2</v>
      </c>
      <c r="J35" s="598"/>
      <c r="K35" s="598"/>
    </row>
    <row r="36" spans="1:11" s="356" customFormat="1" ht="10.5" customHeight="1">
      <c r="A36" s="772" t="s">
        <v>363</v>
      </c>
      <c r="B36" s="569"/>
      <c r="C36" s="571">
        <v>14.84337</v>
      </c>
      <c r="D36" s="571">
        <v>15.15048</v>
      </c>
      <c r="E36" s="571">
        <v>0</v>
      </c>
      <c r="F36" s="773">
        <f t="shared" si="0"/>
        <v>-2.0270644890458933E-2</v>
      </c>
      <c r="J36" s="598"/>
      <c r="K36" s="598"/>
    </row>
    <row r="37" spans="1:11" s="356" customFormat="1" ht="12.75" customHeight="1">
      <c r="A37" s="770" t="s">
        <v>486</v>
      </c>
      <c r="B37" s="708" t="s">
        <v>563</v>
      </c>
      <c r="C37" s="711">
        <v>0</v>
      </c>
      <c r="D37" s="711"/>
      <c r="E37" s="711"/>
      <c r="F37" s="771" t="str">
        <f t="shared" si="0"/>
        <v/>
      </c>
      <c r="J37" s="598"/>
      <c r="K37" s="598"/>
    </row>
    <row r="38" spans="1:11" s="356" customFormat="1" ht="10.5" customHeight="1">
      <c r="A38" s="772" t="s">
        <v>491</v>
      </c>
      <c r="B38" s="569"/>
      <c r="C38" s="571">
        <v>0</v>
      </c>
      <c r="D38" s="571"/>
      <c r="E38" s="571"/>
      <c r="F38" s="773" t="str">
        <f t="shared" ref="F38:F71" si="1">+IF(D38=0,"",C38/D38-1)</f>
        <v/>
      </c>
      <c r="J38" s="598"/>
      <c r="K38" s="598"/>
    </row>
    <row r="39" spans="1:11" s="356" customFormat="1" ht="10.5" customHeight="1">
      <c r="A39" s="770" t="s">
        <v>525</v>
      </c>
      <c r="B39" s="708" t="s">
        <v>532</v>
      </c>
      <c r="C39" s="711">
        <v>65.870020000000011</v>
      </c>
      <c r="D39" s="711">
        <v>60.503439999999998</v>
      </c>
      <c r="E39" s="711">
        <v>50.859630000000003</v>
      </c>
      <c r="F39" s="771">
        <f t="shared" si="1"/>
        <v>8.8698758285479462E-2</v>
      </c>
      <c r="J39" s="598"/>
      <c r="K39" s="598"/>
    </row>
    <row r="40" spans="1:11" s="356" customFormat="1" ht="10.5" customHeight="1">
      <c r="A40" s="772" t="s">
        <v>533</v>
      </c>
      <c r="B40" s="569"/>
      <c r="C40" s="571">
        <v>65.870020000000011</v>
      </c>
      <c r="D40" s="571">
        <v>60.503439999999998</v>
      </c>
      <c r="E40" s="571">
        <v>50.859630000000003</v>
      </c>
      <c r="F40" s="773">
        <f t="shared" si="1"/>
        <v>8.8698758285479462E-2</v>
      </c>
      <c r="J40" s="598"/>
      <c r="K40" s="598"/>
    </row>
    <row r="41" spans="1:11" s="356" customFormat="1" ht="10.5" customHeight="1">
      <c r="A41" s="770" t="s">
        <v>119</v>
      </c>
      <c r="B41" s="708" t="s">
        <v>364</v>
      </c>
      <c r="C41" s="711">
        <v>0</v>
      </c>
      <c r="D41" s="711">
        <v>0</v>
      </c>
      <c r="E41" s="711">
        <v>0</v>
      </c>
      <c r="F41" s="771" t="str">
        <f t="shared" si="1"/>
        <v/>
      </c>
      <c r="J41" s="598"/>
      <c r="K41" s="598"/>
    </row>
    <row r="42" spans="1:11" s="356" customFormat="1" ht="10.5" customHeight="1">
      <c r="A42" s="770"/>
      <c r="B42" s="708" t="s">
        <v>365</v>
      </c>
      <c r="C42" s="711">
        <v>0</v>
      </c>
      <c r="D42" s="711">
        <v>0</v>
      </c>
      <c r="E42" s="711">
        <v>0</v>
      </c>
      <c r="F42" s="771" t="str">
        <f t="shared" si="1"/>
        <v/>
      </c>
      <c r="J42" s="598"/>
      <c r="K42" s="598"/>
    </row>
    <row r="43" spans="1:11" s="356" customFormat="1" ht="10.5" customHeight="1">
      <c r="A43" s="772" t="s">
        <v>366</v>
      </c>
      <c r="B43" s="569"/>
      <c r="C43" s="571">
        <v>0</v>
      </c>
      <c r="D43" s="571">
        <v>0</v>
      </c>
      <c r="E43" s="571">
        <v>0</v>
      </c>
      <c r="F43" s="773" t="str">
        <f t="shared" si="1"/>
        <v/>
      </c>
      <c r="J43" s="598"/>
      <c r="K43" s="598"/>
    </row>
    <row r="44" spans="1:11" s="356" customFormat="1" ht="10.5" customHeight="1">
      <c r="A44" s="770" t="s">
        <v>483</v>
      </c>
      <c r="B44" s="708" t="s">
        <v>367</v>
      </c>
      <c r="C44" s="711">
        <v>748.61750000000006</v>
      </c>
      <c r="D44" s="711">
        <v>677.27194000000009</v>
      </c>
      <c r="E44" s="711">
        <v>386.40255999999999</v>
      </c>
      <c r="F44" s="771">
        <f t="shared" si="1"/>
        <v>0.10534256003578113</v>
      </c>
      <c r="J44" s="598"/>
      <c r="K44" s="598"/>
    </row>
    <row r="45" spans="1:11" s="356" customFormat="1" ht="10.5" customHeight="1">
      <c r="A45" s="770"/>
      <c r="B45" s="708" t="s">
        <v>368</v>
      </c>
      <c r="C45" s="711">
        <v>0</v>
      </c>
      <c r="D45" s="711">
        <v>0</v>
      </c>
      <c r="E45" s="711">
        <v>0</v>
      </c>
      <c r="F45" s="771" t="str">
        <f t="shared" si="1"/>
        <v/>
      </c>
      <c r="J45" s="598"/>
      <c r="K45" s="598"/>
    </row>
    <row r="46" spans="1:11" s="356" customFormat="1" ht="10.5" customHeight="1">
      <c r="A46" s="770"/>
      <c r="B46" s="708" t="s">
        <v>530</v>
      </c>
      <c r="C46" s="711">
        <v>300.40413999999998</v>
      </c>
      <c r="D46" s="711">
        <v>516.64779999999996</v>
      </c>
      <c r="E46" s="711"/>
      <c r="F46" s="771">
        <f t="shared" si="1"/>
        <v>-0.41855140000596147</v>
      </c>
      <c r="J46" s="598"/>
      <c r="K46" s="598"/>
    </row>
    <row r="47" spans="1:11" s="356" customFormat="1" ht="10.5" customHeight="1">
      <c r="A47" s="770"/>
      <c r="B47" s="708" t="s">
        <v>369</v>
      </c>
      <c r="C47" s="711">
        <v>3.8484600000000002</v>
      </c>
      <c r="D47" s="711">
        <v>4.26417</v>
      </c>
      <c r="E47" s="711"/>
      <c r="F47" s="771">
        <f t="shared" si="1"/>
        <v>-9.7489077593060247E-2</v>
      </c>
      <c r="J47" s="598"/>
      <c r="K47" s="598"/>
    </row>
    <row r="48" spans="1:11" s="356" customFormat="1" ht="10.5" customHeight="1">
      <c r="A48" s="772" t="s">
        <v>370</v>
      </c>
      <c r="B48" s="569"/>
      <c r="C48" s="571">
        <v>1052.8700999999999</v>
      </c>
      <c r="D48" s="571">
        <v>1198.18391</v>
      </c>
      <c r="E48" s="571">
        <v>386.40255999999999</v>
      </c>
      <c r="F48" s="773">
        <f t="shared" si="1"/>
        <v>-0.12127838538576274</v>
      </c>
      <c r="J48" s="598"/>
      <c r="K48" s="598"/>
    </row>
    <row r="49" spans="1:11" s="356" customFormat="1" ht="10.5" customHeight="1">
      <c r="A49" s="770" t="s">
        <v>118</v>
      </c>
      <c r="B49" s="708" t="s">
        <v>73</v>
      </c>
      <c r="C49" s="711">
        <v>1.7833999999999999</v>
      </c>
      <c r="D49" s="711">
        <v>1.857</v>
      </c>
      <c r="E49" s="711">
        <v>3.3959999999999999</v>
      </c>
      <c r="F49" s="771">
        <f t="shared" si="1"/>
        <v>-3.9633817985998965E-2</v>
      </c>
      <c r="J49" s="598"/>
      <c r="K49" s="598"/>
    </row>
    <row r="50" spans="1:11" s="356" customFormat="1" ht="10.5" customHeight="1">
      <c r="A50" s="772" t="s">
        <v>371</v>
      </c>
      <c r="B50" s="569"/>
      <c r="C50" s="571">
        <v>1.7833999999999999</v>
      </c>
      <c r="D50" s="571">
        <v>1.857</v>
      </c>
      <c r="E50" s="571">
        <v>3.3959999999999999</v>
      </c>
      <c r="F50" s="773">
        <f t="shared" si="1"/>
        <v>-3.9633817985998965E-2</v>
      </c>
      <c r="J50" s="598"/>
      <c r="K50" s="598"/>
    </row>
    <row r="51" spans="1:11" s="356" customFormat="1" ht="10.5" customHeight="1">
      <c r="A51" s="770" t="s">
        <v>111</v>
      </c>
      <c r="B51" s="708" t="s">
        <v>82</v>
      </c>
      <c r="C51" s="711">
        <v>0</v>
      </c>
      <c r="D51" s="711">
        <v>0</v>
      </c>
      <c r="E51" s="711">
        <v>0</v>
      </c>
      <c r="F51" s="771" t="str">
        <f t="shared" si="1"/>
        <v/>
      </c>
      <c r="J51" s="598"/>
      <c r="K51" s="598"/>
    </row>
    <row r="52" spans="1:11" s="356" customFormat="1" ht="10.5" customHeight="1">
      <c r="A52" s="772" t="s">
        <v>372</v>
      </c>
      <c r="B52" s="569"/>
      <c r="C52" s="571">
        <v>0</v>
      </c>
      <c r="D52" s="571">
        <v>0</v>
      </c>
      <c r="E52" s="571">
        <v>0</v>
      </c>
      <c r="F52" s="773" t="str">
        <f t="shared" si="1"/>
        <v/>
      </c>
      <c r="J52" s="598"/>
      <c r="K52" s="598"/>
    </row>
    <row r="53" spans="1:11" s="356" customFormat="1" ht="10.5" customHeight="1">
      <c r="A53" s="770" t="s">
        <v>254</v>
      </c>
      <c r="B53" s="708" t="s">
        <v>72</v>
      </c>
      <c r="C53" s="711">
        <v>4.7795199999999998</v>
      </c>
      <c r="D53" s="711">
        <v>4.2064300000000001</v>
      </c>
      <c r="E53" s="711">
        <v>4.4266899999999998</v>
      </c>
      <c r="F53" s="771">
        <f t="shared" si="1"/>
        <v>0.13624142087233104</v>
      </c>
      <c r="J53" s="598"/>
      <c r="K53" s="598"/>
    </row>
    <row r="54" spans="1:11" s="356" customFormat="1" ht="10.5" customHeight="1">
      <c r="A54" s="770"/>
      <c r="B54" s="708" t="s">
        <v>373</v>
      </c>
      <c r="C54" s="711">
        <v>73.312610000000006</v>
      </c>
      <c r="D54" s="711">
        <v>74.134309999999999</v>
      </c>
      <c r="E54" s="711">
        <v>91.051299999999998</v>
      </c>
      <c r="F54" s="771">
        <f t="shared" si="1"/>
        <v>-1.1083936708927267E-2</v>
      </c>
      <c r="J54" s="598"/>
      <c r="K54" s="598"/>
    </row>
    <row r="55" spans="1:11" s="356" customFormat="1" ht="10.5" customHeight="1">
      <c r="A55" s="770"/>
      <c r="B55" s="708" t="s">
        <v>374</v>
      </c>
      <c r="C55" s="711">
        <v>61.033029999999997</v>
      </c>
      <c r="D55" s="711">
        <v>59.151530000000001</v>
      </c>
      <c r="E55" s="711">
        <v>91.924590000000009</v>
      </c>
      <c r="F55" s="771">
        <f t="shared" si="1"/>
        <v>3.1808137507178591E-2</v>
      </c>
      <c r="J55" s="598"/>
      <c r="K55" s="598"/>
    </row>
    <row r="56" spans="1:11" s="356" customFormat="1" ht="10.5" customHeight="1">
      <c r="A56" s="770"/>
      <c r="B56" s="708" t="s">
        <v>63</v>
      </c>
      <c r="C56" s="711">
        <v>8.4718</v>
      </c>
      <c r="D56" s="711">
        <v>0</v>
      </c>
      <c r="E56" s="711">
        <v>0</v>
      </c>
      <c r="F56" s="771" t="str">
        <f t="shared" si="1"/>
        <v/>
      </c>
      <c r="J56" s="598"/>
      <c r="K56" s="598"/>
    </row>
    <row r="57" spans="1:11" s="356" customFormat="1" ht="10.5" customHeight="1">
      <c r="A57" s="772" t="s">
        <v>375</v>
      </c>
      <c r="B57" s="569"/>
      <c r="C57" s="571">
        <v>147.59696</v>
      </c>
      <c r="D57" s="571">
        <v>137.49226999999999</v>
      </c>
      <c r="E57" s="571">
        <v>187.40258</v>
      </c>
      <c r="F57" s="773">
        <f t="shared" si="1"/>
        <v>7.3492786176270197E-2</v>
      </c>
      <c r="J57" s="598"/>
      <c r="K57" s="598"/>
    </row>
    <row r="58" spans="1:11" s="356" customFormat="1" ht="10.5" customHeight="1">
      <c r="A58" s="770" t="s">
        <v>255</v>
      </c>
      <c r="B58" s="708" t="s">
        <v>79</v>
      </c>
      <c r="C58" s="711">
        <v>30.807130000000001</v>
      </c>
      <c r="D58" s="711">
        <v>15.02704</v>
      </c>
      <c r="E58" s="711">
        <v>19.93937</v>
      </c>
      <c r="F58" s="771">
        <f t="shared" si="1"/>
        <v>1.0501129963053271</v>
      </c>
      <c r="J58" s="598"/>
      <c r="K58" s="598"/>
    </row>
    <row r="59" spans="1:11" s="356" customFormat="1" ht="10.5" customHeight="1">
      <c r="A59" s="772" t="s">
        <v>376</v>
      </c>
      <c r="B59" s="569"/>
      <c r="C59" s="571">
        <v>30.807130000000001</v>
      </c>
      <c r="D59" s="571">
        <v>15.02704</v>
      </c>
      <c r="E59" s="571">
        <v>19.93937</v>
      </c>
      <c r="F59" s="773">
        <f t="shared" si="1"/>
        <v>1.0501129963053271</v>
      </c>
      <c r="J59" s="598"/>
      <c r="K59" s="598"/>
    </row>
    <row r="60" spans="1:11" s="356" customFormat="1" ht="10.5" customHeight="1">
      <c r="A60" s="770" t="s">
        <v>100</v>
      </c>
      <c r="B60" s="708" t="s">
        <v>77</v>
      </c>
      <c r="C60" s="711">
        <v>87.321700000000007</v>
      </c>
      <c r="D60" s="711">
        <v>53.820979999999999</v>
      </c>
      <c r="E60" s="711">
        <v>55.829160000000002</v>
      </c>
      <c r="F60" s="771">
        <f t="shared" si="1"/>
        <v>0.62244723154427906</v>
      </c>
      <c r="J60" s="598"/>
      <c r="K60" s="598"/>
    </row>
    <row r="61" spans="1:11" s="356" customFormat="1" ht="10.5" customHeight="1">
      <c r="A61" s="772" t="s">
        <v>377</v>
      </c>
      <c r="B61" s="569"/>
      <c r="C61" s="571">
        <v>87.321700000000007</v>
      </c>
      <c r="D61" s="571">
        <v>53.820979999999999</v>
      </c>
      <c r="E61" s="571">
        <v>55.829160000000002</v>
      </c>
      <c r="F61" s="773">
        <f t="shared" si="1"/>
        <v>0.62244723154427906</v>
      </c>
      <c r="J61" s="598"/>
      <c r="K61" s="598"/>
    </row>
    <row r="62" spans="1:11" s="356" customFormat="1" ht="10.5" customHeight="1">
      <c r="A62" s="770" t="s">
        <v>108</v>
      </c>
      <c r="B62" s="708" t="s">
        <v>244</v>
      </c>
      <c r="C62" s="711">
        <v>0</v>
      </c>
      <c r="D62" s="711">
        <v>0</v>
      </c>
      <c r="E62" s="711">
        <v>0</v>
      </c>
      <c r="F62" s="771" t="str">
        <f t="shared" si="1"/>
        <v/>
      </c>
      <c r="J62" s="598"/>
      <c r="K62" s="598"/>
    </row>
    <row r="63" spans="1:11" s="356" customFormat="1" ht="10.5" customHeight="1">
      <c r="A63" s="772" t="s">
        <v>378</v>
      </c>
      <c r="B63" s="569"/>
      <c r="C63" s="571">
        <v>0</v>
      </c>
      <c r="D63" s="571">
        <v>0</v>
      </c>
      <c r="E63" s="571">
        <v>0</v>
      </c>
      <c r="F63" s="773" t="str">
        <f t="shared" si="1"/>
        <v/>
      </c>
      <c r="J63" s="598"/>
      <c r="K63" s="598"/>
    </row>
    <row r="64" spans="1:11" s="356" customFormat="1" ht="10.5" customHeight="1">
      <c r="A64" s="770" t="s">
        <v>484</v>
      </c>
      <c r="B64" s="708" t="s">
        <v>86</v>
      </c>
      <c r="C64" s="711">
        <v>2.9972000000000003</v>
      </c>
      <c r="D64" s="711">
        <v>0</v>
      </c>
      <c r="E64" s="711"/>
      <c r="F64" s="771" t="str">
        <f t="shared" si="1"/>
        <v/>
      </c>
      <c r="J64" s="598"/>
      <c r="K64" s="598"/>
    </row>
    <row r="65" spans="1:11" s="356" customFormat="1" ht="10.5" customHeight="1">
      <c r="A65" s="770"/>
      <c r="B65" s="708" t="s">
        <v>85</v>
      </c>
      <c r="C65" s="711">
        <v>2.4050099999999999</v>
      </c>
      <c r="D65" s="711">
        <v>4.3132000000000001</v>
      </c>
      <c r="E65" s="711">
        <v>2.8588</v>
      </c>
      <c r="F65" s="771">
        <f t="shared" si="1"/>
        <v>-0.44240702958360389</v>
      </c>
      <c r="J65" s="598"/>
      <c r="K65" s="598"/>
    </row>
    <row r="66" spans="1:11" s="356" customFormat="1" ht="10.5" customHeight="1">
      <c r="A66" s="770"/>
      <c r="B66" s="708" t="s">
        <v>524</v>
      </c>
      <c r="C66" s="711">
        <v>2.39059</v>
      </c>
      <c r="D66" s="711">
        <v>0</v>
      </c>
      <c r="E66" s="711"/>
      <c r="F66" s="771" t="str">
        <f t="shared" si="1"/>
        <v/>
      </c>
      <c r="J66" s="598"/>
      <c r="K66" s="598"/>
    </row>
    <row r="67" spans="1:11" s="356" customFormat="1" ht="10.5" customHeight="1">
      <c r="A67" s="772" t="s">
        <v>379</v>
      </c>
      <c r="B67" s="569"/>
      <c r="C67" s="571">
        <v>7.7927999999999997</v>
      </c>
      <c r="D67" s="571">
        <v>4.3132000000000001</v>
      </c>
      <c r="E67" s="571">
        <v>2.8588</v>
      </c>
      <c r="F67" s="773">
        <f t="shared" si="1"/>
        <v>0.80673282017991266</v>
      </c>
      <c r="J67" s="598"/>
      <c r="K67" s="598"/>
    </row>
    <row r="68" spans="1:11" s="356" customFormat="1" ht="10.5" customHeight="1">
      <c r="A68" s="770" t="s">
        <v>256</v>
      </c>
      <c r="B68" s="708" t="s">
        <v>380</v>
      </c>
      <c r="C68" s="711">
        <v>0</v>
      </c>
      <c r="D68" s="711">
        <v>0</v>
      </c>
      <c r="E68" s="711">
        <v>0</v>
      </c>
      <c r="F68" s="771" t="str">
        <f t="shared" si="1"/>
        <v/>
      </c>
      <c r="J68" s="598"/>
      <c r="K68" s="598"/>
    </row>
    <row r="69" spans="1:11" s="356" customFormat="1" ht="9" customHeight="1">
      <c r="A69" s="772" t="s">
        <v>381</v>
      </c>
      <c r="B69" s="569"/>
      <c r="C69" s="571">
        <v>0</v>
      </c>
      <c r="D69" s="571">
        <v>0</v>
      </c>
      <c r="E69" s="571">
        <v>0</v>
      </c>
      <c r="F69" s="773" t="str">
        <f t="shared" si="1"/>
        <v/>
      </c>
      <c r="J69" s="598"/>
      <c r="K69" s="598"/>
    </row>
    <row r="70" spans="1:11" s="356" customFormat="1" ht="10.5" customHeight="1">
      <c r="A70" s="770" t="s">
        <v>575</v>
      </c>
      <c r="B70" s="708" t="s">
        <v>577</v>
      </c>
      <c r="C70" s="711">
        <v>12.18479</v>
      </c>
      <c r="D70" s="711"/>
      <c r="E70" s="711">
        <v>0</v>
      </c>
      <c r="F70" s="771" t="str">
        <f t="shared" si="1"/>
        <v/>
      </c>
      <c r="J70" s="598"/>
      <c r="K70" s="598"/>
    </row>
    <row r="71" spans="1:11" s="356" customFormat="1" ht="10.5" customHeight="1">
      <c r="A71" s="772" t="s">
        <v>576</v>
      </c>
      <c r="B71" s="569"/>
      <c r="C71" s="571">
        <v>12.18479</v>
      </c>
      <c r="D71" s="571"/>
      <c r="E71" s="571">
        <v>0</v>
      </c>
      <c r="F71" s="773" t="str">
        <f t="shared" si="1"/>
        <v/>
      </c>
      <c r="J71" s="598"/>
      <c r="K71" s="598"/>
    </row>
    <row r="72" spans="1:11" s="356" customFormat="1" ht="10.5" customHeight="1">
      <c r="A72" s="710"/>
      <c r="B72" s="708"/>
      <c r="C72" s="711"/>
      <c r="D72" s="711"/>
      <c r="E72" s="711"/>
      <c r="F72" s="731"/>
    </row>
    <row r="73" spans="1:11" s="356" customFormat="1" ht="10.5" customHeight="1"/>
    <row r="74" spans="1:11" s="356" customFormat="1" ht="10.5" customHeight="1"/>
    <row r="75" spans="1:11" s="356" customFormat="1" ht="10.5" customHeight="1"/>
    <row r="76" spans="1:11" s="356" customFormat="1" ht="10.5" customHeight="1"/>
    <row r="77" spans="1:11" s="356" customFormat="1" ht="10.5" customHeight="1"/>
    <row r="78" spans="1:11" s="356" customFormat="1" ht="10.5" customHeight="1"/>
    <row r="79" spans="1:11" s="356" customFormat="1" ht="10.5" customHeight="1"/>
    <row r="80" spans="1:11" s="356" customFormat="1" ht="10.5" customHeight="1"/>
    <row r="81" s="356" customFormat="1" ht="10.5" customHeight="1"/>
    <row r="82" s="356" customFormat="1" ht="10.5" customHeight="1"/>
    <row r="83" s="356" customFormat="1" ht="8.25"/>
    <row r="84" s="356" customFormat="1" ht="8.25"/>
    <row r="85" s="356" customFormat="1" ht="8.25"/>
    <row r="86" s="356" customFormat="1" ht="8.25"/>
    <row r="87" s="356" customFormat="1" ht="8.25"/>
    <row r="88" s="356" customFormat="1" ht="8.25"/>
    <row r="89" s="356" customFormat="1" ht="8.25"/>
    <row r="90" s="356" customFormat="1" ht="8.25"/>
    <row r="91" s="356" customFormat="1" ht="8.25"/>
    <row r="92" s="356" customFormat="1" ht="8.25"/>
    <row r="93" s="356" customFormat="1" ht="8.25"/>
    <row r="94" s="356" customFormat="1" ht="8.25"/>
    <row r="95" s="356" customFormat="1" ht="8.25"/>
    <row r="96" s="356" customFormat="1" ht="8.25"/>
    <row r="97" s="356" customFormat="1" ht="8.25"/>
    <row r="98" s="356" customFormat="1" ht="8.25"/>
    <row r="99" s="356" customFormat="1" ht="8.25"/>
    <row r="100" s="356" customFormat="1" ht="8.25"/>
    <row r="101" s="356" customFormat="1" ht="8.25"/>
    <row r="102" s="356" customFormat="1" ht="8.25"/>
    <row r="103" s="356" customFormat="1" ht="8.25"/>
    <row r="104" s="356" customFormat="1" ht="8.25"/>
    <row r="105" s="356" customFormat="1" ht="8.25"/>
    <row r="106" s="356" customFormat="1" ht="8.25"/>
    <row r="107" s="356" customFormat="1" ht="8.25"/>
    <row r="108" s="356" customFormat="1" ht="8.25"/>
    <row r="109" s="356" customFormat="1" ht="8.25"/>
    <row r="110" s="356" customFormat="1" ht="8.25"/>
    <row r="111" s="356" customFormat="1" ht="8.25"/>
    <row r="112" s="356" customFormat="1" ht="8.25"/>
    <row r="113" s="356" customFormat="1" ht="8.25"/>
    <row r="114" s="356" customFormat="1" ht="8.25"/>
    <row r="115" s="356" customFormat="1" ht="8.25"/>
  </sheetData>
  <mergeCells count="3">
    <mergeCell ref="A1:A4"/>
    <mergeCell ref="B1:B4"/>
    <mergeCell ref="C1:F1"/>
  </mergeCells>
  <pageMargins left="0.70866141732283472" right="0.70866141732283472" top="1.4173228346456694" bottom="0.62992125984251968" header="0.31496062992125984" footer="0.31496062992125984"/>
  <pageSetup paperSize="9" scale="94" orientation="portrait" r:id="rId1"/>
  <headerFooter>
    <oddHeader>&amp;R&amp;7Informe de la Operación Mensual-Julio 2019
INFSGI-MES-07-2019
08/08/2019
Versión: 01</oddHeader>
    <oddFooter>&amp;L&amp;7COES, 2019&amp;C22&amp;R&amp;7Dirección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77A5"/>
  </sheetPr>
  <dimension ref="A1:G60"/>
  <sheetViews>
    <sheetView showGridLines="0" view="pageBreakPreview" topLeftCell="A13" zoomScale="130" zoomScaleNormal="100" zoomScaleSheetLayoutView="130" zoomScalePageLayoutView="130" workbookViewId="0">
      <selection activeCell="U69" sqref="T69:U69"/>
    </sheetView>
  </sheetViews>
  <sheetFormatPr defaultColWidth="9.33203125" defaultRowHeight="9"/>
  <cols>
    <col min="1" max="1" width="27" style="280" customWidth="1"/>
    <col min="2" max="2" width="19.5" style="280" customWidth="1"/>
    <col min="3" max="3" width="16.5" style="280" customWidth="1"/>
    <col min="4" max="4" width="17.6640625" style="280" customWidth="1"/>
    <col min="5" max="5" width="15.1640625" style="280" customWidth="1"/>
    <col min="6" max="6" width="12.83203125" style="280" customWidth="1"/>
    <col min="7" max="16384" width="9.33203125" style="280"/>
  </cols>
  <sheetData>
    <row r="1" spans="1:6" s="356" customFormat="1" ht="11.25" customHeight="1">
      <c r="A1" s="1007" t="s">
        <v>264</v>
      </c>
      <c r="B1" s="1009" t="s">
        <v>55</v>
      </c>
      <c r="C1" s="1009" t="s">
        <v>414</v>
      </c>
      <c r="D1" s="1009"/>
      <c r="E1" s="1009"/>
      <c r="F1" s="1011"/>
    </row>
    <row r="2" spans="1:6" s="356" customFormat="1" ht="11.25" customHeight="1">
      <c r="A2" s="1001"/>
      <c r="B2" s="1004"/>
      <c r="C2" s="552" t="str">
        <f>+'22. ANEXOII-2'!C2</f>
        <v>JULIO 2019</v>
      </c>
      <c r="D2" s="553" t="str">
        <f>+'22. ANEXOII-2'!D2</f>
        <v>JULIO 2018</v>
      </c>
      <c r="E2" s="554" t="s">
        <v>598</v>
      </c>
      <c r="F2" s="728" t="s">
        <v>536</v>
      </c>
    </row>
    <row r="3" spans="1:6" s="356" customFormat="1" ht="11.25" customHeight="1">
      <c r="A3" s="1001"/>
      <c r="B3" s="1004"/>
      <c r="C3" s="555">
        <f>+'8. Max Potencia'!D8</f>
        <v>43668.854166666664</v>
      </c>
      <c r="D3" s="555">
        <f>+'8. Max Potencia'!E8</f>
        <v>43294.791666666664</v>
      </c>
      <c r="E3" s="555">
        <f>+'22. ANEXOII-2'!E3</f>
        <v>42928.822916666664</v>
      </c>
      <c r="F3" s="729" t="s">
        <v>411</v>
      </c>
    </row>
    <row r="4" spans="1:6" s="356" customFormat="1" ht="11.25" customHeight="1">
      <c r="A4" s="1008"/>
      <c r="B4" s="1010"/>
      <c r="C4" s="556">
        <f>+'8. Max Potencia'!D9</f>
        <v>43668.854166666664</v>
      </c>
      <c r="D4" s="556">
        <f>+'8. Max Potencia'!E9</f>
        <v>43294.791666666664</v>
      </c>
      <c r="E4" s="556">
        <f>+'22. ANEXOII-2'!E4</f>
        <v>42928.822916666664</v>
      </c>
      <c r="F4" s="730" t="s">
        <v>412</v>
      </c>
    </row>
    <row r="5" spans="1:6" s="356" customFormat="1" ht="10.5" customHeight="1">
      <c r="A5" s="770" t="s">
        <v>105</v>
      </c>
      <c r="B5" s="708" t="s">
        <v>62</v>
      </c>
      <c r="C5" s="711">
        <v>4.5350599999999996</v>
      </c>
      <c r="D5" s="711">
        <v>5.1794700000000002</v>
      </c>
      <c r="E5" s="711">
        <v>8.1204599999999996</v>
      </c>
      <c r="F5" s="771">
        <f t="shared" ref="F5:F42" si="0">+IF(D5=0,"",C5/D5-1)</f>
        <v>-0.1244162047468178</v>
      </c>
    </row>
    <row r="6" spans="1:6" s="356" customFormat="1" ht="10.5" customHeight="1">
      <c r="A6" s="772" t="s">
        <v>382</v>
      </c>
      <c r="B6" s="569"/>
      <c r="C6" s="571">
        <v>4.5350599999999996</v>
      </c>
      <c r="D6" s="571">
        <v>5.1794700000000002</v>
      </c>
      <c r="E6" s="571">
        <v>8.1204599999999996</v>
      </c>
      <c r="F6" s="773">
        <f t="shared" si="0"/>
        <v>-0.1244162047468178</v>
      </c>
    </row>
    <row r="7" spans="1:6" s="356" customFormat="1" ht="10.5" customHeight="1">
      <c r="A7" s="770" t="s">
        <v>257</v>
      </c>
      <c r="B7" s="708" t="s">
        <v>383</v>
      </c>
      <c r="C7" s="711">
        <v>0</v>
      </c>
      <c r="D7" s="711">
        <v>0</v>
      </c>
      <c r="E7" s="711">
        <v>299.68656999999996</v>
      </c>
      <c r="F7" s="771" t="str">
        <f t="shared" si="0"/>
        <v/>
      </c>
    </row>
    <row r="8" spans="1:6" s="356" customFormat="1" ht="10.5" customHeight="1">
      <c r="A8" s="772" t="s">
        <v>384</v>
      </c>
      <c r="B8" s="569"/>
      <c r="C8" s="571">
        <v>0</v>
      </c>
      <c r="D8" s="571">
        <v>0</v>
      </c>
      <c r="E8" s="571">
        <v>299.68656999999996</v>
      </c>
      <c r="F8" s="773" t="str">
        <f t="shared" si="0"/>
        <v/>
      </c>
    </row>
    <row r="9" spans="1:6" s="356" customFormat="1" ht="10.5" customHeight="1">
      <c r="A9" s="779" t="s">
        <v>96</v>
      </c>
      <c r="B9" s="722" t="s">
        <v>385</v>
      </c>
      <c r="C9" s="736">
        <v>99.512879999999996</v>
      </c>
      <c r="D9" s="736">
        <v>76.185190000000006</v>
      </c>
      <c r="E9" s="736">
        <v>67.215320000000006</v>
      </c>
      <c r="F9" s="799">
        <f t="shared" si="0"/>
        <v>0.30619717559278903</v>
      </c>
    </row>
    <row r="10" spans="1:6" s="356" customFormat="1" ht="10.5" customHeight="1">
      <c r="A10" s="772" t="s">
        <v>386</v>
      </c>
      <c r="B10" s="569"/>
      <c r="C10" s="571"/>
      <c r="D10" s="571"/>
      <c r="E10" s="571">
        <v>0</v>
      </c>
      <c r="F10" s="773" t="str">
        <f t="shared" si="0"/>
        <v/>
      </c>
    </row>
    <row r="11" spans="1:6" s="356" customFormat="1" ht="10.5" customHeight="1">
      <c r="A11" s="779" t="s">
        <v>526</v>
      </c>
      <c r="B11" s="722" t="s">
        <v>561</v>
      </c>
      <c r="C11" s="736">
        <v>99.512879999999996</v>
      </c>
      <c r="D11" s="736">
        <v>76.185190000000006</v>
      </c>
      <c r="E11" s="736">
        <v>67.215320000000006</v>
      </c>
      <c r="F11" s="799">
        <f t="shared" si="0"/>
        <v>0.30619717559278903</v>
      </c>
    </row>
    <row r="12" spans="1:6" s="356" customFormat="1" ht="10.5" customHeight="1">
      <c r="A12" s="772" t="s">
        <v>534</v>
      </c>
      <c r="B12" s="569"/>
      <c r="C12" s="571">
        <v>6.8680000000000003</v>
      </c>
      <c r="D12" s="571"/>
      <c r="E12" s="571"/>
      <c r="F12" s="773" t="str">
        <f t="shared" si="0"/>
        <v/>
      </c>
    </row>
    <row r="13" spans="1:6" s="356" customFormat="1" ht="10.5" customHeight="1">
      <c r="A13" s="779" t="s">
        <v>467</v>
      </c>
      <c r="B13" s="722" t="s">
        <v>474</v>
      </c>
      <c r="C13" s="736">
        <v>6.8680000000000003</v>
      </c>
      <c r="D13" s="736"/>
      <c r="E13" s="736"/>
      <c r="F13" s="799" t="str">
        <f t="shared" si="0"/>
        <v/>
      </c>
    </row>
    <row r="14" spans="1:6" s="356" customFormat="1" ht="10.5" customHeight="1">
      <c r="A14" s="772" t="s">
        <v>469</v>
      </c>
      <c r="B14" s="569"/>
      <c r="C14" s="571">
        <v>20.00085</v>
      </c>
      <c r="D14" s="571">
        <v>19.981480000000001</v>
      </c>
      <c r="E14" s="571"/>
      <c r="F14" s="773">
        <f t="shared" si="0"/>
        <v>9.6939766223513857E-4</v>
      </c>
    </row>
    <row r="15" spans="1:6" s="356" customFormat="1" ht="10.5" customHeight="1">
      <c r="A15" s="779" t="s">
        <v>103</v>
      </c>
      <c r="B15" s="722" t="s">
        <v>387</v>
      </c>
      <c r="C15" s="736">
        <v>7.48794</v>
      </c>
      <c r="D15" s="736">
        <v>11.733280000000001</v>
      </c>
      <c r="E15" s="736">
        <v>7.7262299999999993</v>
      </c>
      <c r="F15" s="799">
        <f t="shared" si="0"/>
        <v>-0.36182039463815752</v>
      </c>
    </row>
    <row r="16" spans="1:6" s="356" customFormat="1" ht="10.5" customHeight="1">
      <c r="A16" s="772" t="s">
        <v>388</v>
      </c>
      <c r="B16" s="569"/>
      <c r="C16" s="571">
        <v>28.627479999999998</v>
      </c>
      <c r="D16" s="571">
        <v>28.065159999999999</v>
      </c>
      <c r="E16" s="571">
        <v>28.249939999999999</v>
      </c>
      <c r="F16" s="773">
        <f t="shared" si="0"/>
        <v>2.0036229973390496E-2</v>
      </c>
    </row>
    <row r="17" spans="1:6" s="356" customFormat="1" ht="10.5" customHeight="1">
      <c r="A17" s="779" t="s">
        <v>121</v>
      </c>
      <c r="B17" s="722" t="s">
        <v>389</v>
      </c>
      <c r="C17" s="736">
        <v>28.627479999999998</v>
      </c>
      <c r="D17" s="736">
        <v>28.065159999999999</v>
      </c>
      <c r="E17" s="736">
        <v>28.249939999999999</v>
      </c>
      <c r="F17" s="799">
        <f t="shared" si="0"/>
        <v>2.0036229973390496E-2</v>
      </c>
    </row>
    <row r="18" spans="1:6" s="356" customFormat="1" ht="10.5" customHeight="1">
      <c r="A18" s="772" t="s">
        <v>390</v>
      </c>
      <c r="B18" s="569"/>
      <c r="C18" s="571">
        <v>0</v>
      </c>
      <c r="D18" s="571">
        <v>0</v>
      </c>
      <c r="E18" s="571">
        <v>0</v>
      </c>
      <c r="F18" s="773" t="str">
        <f t="shared" si="0"/>
        <v/>
      </c>
    </row>
    <row r="19" spans="1:6" s="356" customFormat="1" ht="10.5" customHeight="1">
      <c r="A19" s="779" t="s">
        <v>114</v>
      </c>
      <c r="B19" s="722" t="s">
        <v>578</v>
      </c>
      <c r="C19" s="736">
        <v>0</v>
      </c>
      <c r="D19" s="736">
        <v>0</v>
      </c>
      <c r="E19" s="736">
        <v>0</v>
      </c>
      <c r="F19" s="799" t="str">
        <f t="shared" si="0"/>
        <v/>
      </c>
    </row>
    <row r="20" spans="1:6" s="356" customFormat="1" ht="10.5" customHeight="1">
      <c r="A20" s="779"/>
      <c r="B20" s="722" t="s">
        <v>70</v>
      </c>
      <c r="C20" s="736">
        <v>17.549710000000001</v>
      </c>
      <c r="D20" s="736"/>
      <c r="E20" s="736">
        <v>0</v>
      </c>
      <c r="F20" s="799" t="str">
        <f t="shared" si="0"/>
        <v/>
      </c>
    </row>
    <row r="21" spans="1:6" s="356" customFormat="1" ht="10.5" customHeight="1">
      <c r="A21" s="772" t="s">
        <v>391</v>
      </c>
      <c r="B21" s="569"/>
      <c r="C21" s="571">
        <v>6.0938600000000003</v>
      </c>
      <c r="D21" s="571">
        <v>4.2768300000000004</v>
      </c>
      <c r="E21" s="571">
        <v>8.9406099999999995</v>
      </c>
      <c r="F21" s="773">
        <f t="shared" si="0"/>
        <v>0.42485438981675672</v>
      </c>
    </row>
    <row r="22" spans="1:6" s="356" customFormat="1" ht="10.5" customHeight="1">
      <c r="A22" s="779" t="s">
        <v>91</v>
      </c>
      <c r="B22" s="722" t="s">
        <v>392</v>
      </c>
      <c r="C22" s="736">
        <v>23.64357</v>
      </c>
      <c r="D22" s="736">
        <v>4.2768300000000004</v>
      </c>
      <c r="E22" s="736">
        <v>8.9406099999999995</v>
      </c>
      <c r="F22" s="799">
        <f t="shared" si="0"/>
        <v>4.5282931517034806</v>
      </c>
    </row>
    <row r="23" spans="1:6" s="356" customFormat="1" ht="10.5" customHeight="1">
      <c r="A23" s="779"/>
      <c r="B23" s="722" t="s">
        <v>393</v>
      </c>
      <c r="C23" s="736">
        <v>25.227650000000001</v>
      </c>
      <c r="D23" s="736">
        <v>26.742939999999997</v>
      </c>
      <c r="E23" s="736">
        <v>40.836280000000002</v>
      </c>
      <c r="F23" s="799">
        <f t="shared" si="0"/>
        <v>-5.6661309489532408E-2</v>
      </c>
    </row>
    <row r="24" spans="1:6" s="356" customFormat="1" ht="10.5" customHeight="1">
      <c r="A24" s="779"/>
      <c r="B24" s="722" t="s">
        <v>394</v>
      </c>
      <c r="C24" s="736">
        <v>50.109699999999997</v>
      </c>
      <c r="D24" s="736">
        <v>84.394719999999992</v>
      </c>
      <c r="E24" s="736">
        <v>36.099069999999998</v>
      </c>
      <c r="F24" s="799">
        <f t="shared" si="0"/>
        <v>-0.40624603055736186</v>
      </c>
    </row>
    <row r="25" spans="1:6" s="356" customFormat="1" ht="10.5" customHeight="1">
      <c r="A25" s="779"/>
      <c r="B25" s="722" t="s">
        <v>395</v>
      </c>
      <c r="C25" s="736">
        <v>16.724540000000001</v>
      </c>
      <c r="D25" s="736">
        <v>0</v>
      </c>
      <c r="E25" s="736">
        <v>15.05608</v>
      </c>
      <c r="F25" s="799" t="str">
        <f t="shared" si="0"/>
        <v/>
      </c>
    </row>
    <row r="26" spans="1:6" s="356" customFormat="1" ht="10.5" customHeight="1">
      <c r="A26" s="779"/>
      <c r="B26" s="722" t="s">
        <v>396</v>
      </c>
      <c r="C26" s="736">
        <v>0.2117</v>
      </c>
      <c r="D26" s="736">
        <v>0.18</v>
      </c>
      <c r="E26" s="736">
        <v>0</v>
      </c>
      <c r="F26" s="799">
        <f t="shared" si="0"/>
        <v>0.17611111111111111</v>
      </c>
    </row>
    <row r="27" spans="1:6" s="356" customFormat="1" ht="10.5" customHeight="1">
      <c r="A27" s="779"/>
      <c r="B27" s="722" t="s">
        <v>397</v>
      </c>
      <c r="C27" s="736">
        <v>32.896340000000002</v>
      </c>
      <c r="D27" s="736">
        <v>22.949870000000001</v>
      </c>
      <c r="E27" s="736">
        <v>20.692640000000001</v>
      </c>
      <c r="F27" s="799">
        <f t="shared" si="0"/>
        <v>0.43339984060911907</v>
      </c>
    </row>
    <row r="28" spans="1:6" s="356" customFormat="1" ht="10.5" customHeight="1">
      <c r="A28" s="779"/>
      <c r="B28" s="722" t="s">
        <v>398</v>
      </c>
      <c r="C28" s="736">
        <v>3.0323199999999999</v>
      </c>
      <c r="D28" s="736">
        <v>2.9966400000000002</v>
      </c>
      <c r="E28" s="736">
        <v>2.9</v>
      </c>
      <c r="F28" s="799">
        <f t="shared" si="0"/>
        <v>1.1906668802391884E-2</v>
      </c>
    </row>
    <row r="29" spans="1:6" s="356" customFormat="1" ht="10.5" customHeight="1">
      <c r="A29" s="779"/>
      <c r="B29" s="722" t="s">
        <v>399</v>
      </c>
      <c r="C29" s="736">
        <v>7.0225200000000001</v>
      </c>
      <c r="D29" s="736">
        <v>6.1300799999999995</v>
      </c>
      <c r="E29" s="736">
        <v>5.5277999999999992</v>
      </c>
      <c r="F29" s="799">
        <f t="shared" si="0"/>
        <v>0.14558374442095379</v>
      </c>
    </row>
    <row r="30" spans="1:6" s="356" customFormat="1" ht="10.5" customHeight="1">
      <c r="A30" s="779"/>
      <c r="B30" s="722" t="s">
        <v>400</v>
      </c>
      <c r="C30" s="736">
        <v>3.2359299999999998</v>
      </c>
      <c r="D30" s="736">
        <v>1.9351400000000001</v>
      </c>
      <c r="E30" s="736">
        <v>4.8715700000000002</v>
      </c>
      <c r="F30" s="799">
        <f t="shared" si="0"/>
        <v>0.67219425984683268</v>
      </c>
    </row>
    <row r="31" spans="1:6" s="356" customFormat="1" ht="10.5" customHeight="1">
      <c r="A31" s="779"/>
      <c r="B31" s="722" t="s">
        <v>401</v>
      </c>
      <c r="C31" s="736">
        <v>1.1404300000000001</v>
      </c>
      <c r="D31" s="736">
        <v>1.50193</v>
      </c>
      <c r="E31" s="736">
        <v>2.27902</v>
      </c>
      <c r="F31" s="799"/>
    </row>
    <row r="32" spans="1:6" s="356" customFormat="1" ht="10.5" customHeight="1">
      <c r="A32" s="779"/>
      <c r="B32" s="722" t="s">
        <v>402</v>
      </c>
      <c r="C32" s="736">
        <v>0.41205999999999998</v>
      </c>
      <c r="D32" s="736">
        <v>0.41125</v>
      </c>
      <c r="E32" s="736">
        <v>0.41</v>
      </c>
      <c r="F32" s="799"/>
    </row>
    <row r="33" spans="1:7" s="356" customFormat="1" ht="10.5" customHeight="1">
      <c r="A33" s="779"/>
      <c r="B33" s="722" t="s">
        <v>403</v>
      </c>
      <c r="C33" s="736">
        <v>0.31918000000000002</v>
      </c>
      <c r="D33" s="736">
        <v>0.32163000000000003</v>
      </c>
      <c r="E33" s="736">
        <v>0.27950000000000003</v>
      </c>
      <c r="F33" s="799">
        <f t="shared" si="0"/>
        <v>-7.6174486210863757E-3</v>
      </c>
    </row>
    <row r="34" spans="1:7" s="356" customFormat="1" ht="10.5" customHeight="1">
      <c r="A34" s="772" t="s">
        <v>404</v>
      </c>
      <c r="B34" s="569"/>
      <c r="C34" s="571">
        <v>85.428699999999992</v>
      </c>
      <c r="D34" s="571">
        <v>101.00725000000001</v>
      </c>
      <c r="E34" s="571">
        <v>78.856069999999988</v>
      </c>
      <c r="F34" s="773">
        <f t="shared" si="0"/>
        <v>-0.15423199819814937</v>
      </c>
    </row>
    <row r="35" spans="1:7" s="356" customFormat="1" ht="10.5" customHeight="1">
      <c r="A35" s="779" t="s">
        <v>110</v>
      </c>
      <c r="B35" s="722" t="s">
        <v>243</v>
      </c>
      <c r="C35" s="736">
        <v>225.76106999999996</v>
      </c>
      <c r="D35" s="736">
        <v>248.57144999999997</v>
      </c>
      <c r="E35" s="736">
        <v>207.80803</v>
      </c>
      <c r="F35" s="799">
        <f t="shared" si="0"/>
        <v>-9.1765888640871762E-2</v>
      </c>
    </row>
    <row r="36" spans="1:7" s="356" customFormat="1" ht="10.5" customHeight="1">
      <c r="A36" s="772" t="s">
        <v>405</v>
      </c>
      <c r="B36" s="569"/>
      <c r="C36" s="571">
        <v>0</v>
      </c>
      <c r="D36" s="571">
        <v>0</v>
      </c>
      <c r="E36" s="571">
        <v>0</v>
      </c>
      <c r="F36" s="773" t="str">
        <f t="shared" si="0"/>
        <v/>
      </c>
    </row>
    <row r="37" spans="1:7" s="356" customFormat="1" ht="10.5" customHeight="1">
      <c r="A37" s="779" t="s">
        <v>101</v>
      </c>
      <c r="B37" s="722" t="s">
        <v>531</v>
      </c>
      <c r="C37" s="736">
        <v>0</v>
      </c>
      <c r="D37" s="736">
        <v>0</v>
      </c>
      <c r="E37" s="736">
        <v>0</v>
      </c>
      <c r="F37" s="799" t="str">
        <f t="shared" si="0"/>
        <v/>
      </c>
    </row>
    <row r="38" spans="1:7" s="356" customFormat="1" ht="10.5" customHeight="1">
      <c r="A38" s="772" t="s">
        <v>406</v>
      </c>
      <c r="B38" s="569"/>
      <c r="C38" s="571">
        <v>287.88475</v>
      </c>
      <c r="D38" s="571">
        <v>294.18524000000002</v>
      </c>
      <c r="E38" s="571">
        <v>0</v>
      </c>
      <c r="F38" s="773">
        <f t="shared" si="0"/>
        <v>-2.1416744089540418E-2</v>
      </c>
    </row>
    <row r="39" spans="1:7" s="356" customFormat="1" ht="10.5" customHeight="1">
      <c r="A39" s="779" t="s">
        <v>106</v>
      </c>
      <c r="B39" s="722" t="s">
        <v>407</v>
      </c>
      <c r="C39" s="736">
        <v>287.88475</v>
      </c>
      <c r="D39" s="736">
        <v>294.18524000000002</v>
      </c>
      <c r="E39" s="736">
        <v>0</v>
      </c>
      <c r="F39" s="799">
        <f t="shared" si="0"/>
        <v>-2.1416744089540418E-2</v>
      </c>
    </row>
    <row r="40" spans="1:7" s="356" customFormat="1" ht="10.5" customHeight="1">
      <c r="A40" s="772" t="s">
        <v>408</v>
      </c>
      <c r="B40" s="569"/>
      <c r="C40" s="571">
        <v>167.28831</v>
      </c>
      <c r="D40" s="571">
        <v>86.796319999999994</v>
      </c>
      <c r="E40" s="571">
        <v>0</v>
      </c>
      <c r="F40" s="773">
        <f t="shared" si="0"/>
        <v>0.92736639064882032</v>
      </c>
    </row>
    <row r="41" spans="1:7" s="356" customFormat="1" ht="10.5" hidden="1" customHeight="1">
      <c r="A41" s="779"/>
      <c r="B41" s="722"/>
      <c r="C41" s="736">
        <v>167.28831</v>
      </c>
      <c r="D41" s="736">
        <v>86.796319999999994</v>
      </c>
      <c r="E41" s="736">
        <v>0</v>
      </c>
      <c r="F41" s="799">
        <f t="shared" si="0"/>
        <v>0.92736639064882032</v>
      </c>
    </row>
    <row r="42" spans="1:7" ht="6.75" customHeight="1">
      <c r="A42" s="779"/>
      <c r="B42" s="722"/>
      <c r="C42" s="736"/>
      <c r="D42" s="736"/>
      <c r="E42" s="736"/>
      <c r="F42" s="799" t="str">
        <f t="shared" si="0"/>
        <v/>
      </c>
    </row>
    <row r="43" spans="1:7" s="444" customFormat="1" ht="12" customHeight="1">
      <c r="A43" s="549" t="s">
        <v>470</v>
      </c>
      <c r="B43" s="563"/>
      <c r="C43" s="699">
        <v>6692.1372100000062</v>
      </c>
      <c r="D43" s="548">
        <v>6421.0112600000039</v>
      </c>
      <c r="E43" s="548">
        <v>6312.8559900000009</v>
      </c>
      <c r="F43" s="737">
        <f>+IF(D43=0,"",C43/D43-1)</f>
        <v>4.2224805255987485E-2</v>
      </c>
    </row>
    <row r="44" spans="1:7" s="444" customFormat="1" ht="12" customHeight="1">
      <c r="A44" s="563" t="s">
        <v>409</v>
      </c>
      <c r="B44" s="549"/>
      <c r="C44" s="548">
        <v>0</v>
      </c>
      <c r="D44" s="548">
        <v>0</v>
      </c>
      <c r="E44" s="551">
        <v>0</v>
      </c>
      <c r="F44" s="738">
        <v>0</v>
      </c>
    </row>
    <row r="45" spans="1:7" s="444" customFormat="1" ht="12" customHeight="1">
      <c r="A45" s="739" t="s">
        <v>410</v>
      </c>
      <c r="B45" s="739"/>
      <c r="C45" s="548">
        <v>0</v>
      </c>
      <c r="D45" s="548">
        <v>0</v>
      </c>
      <c r="E45" s="551">
        <v>0</v>
      </c>
      <c r="F45" s="738">
        <v>0</v>
      </c>
    </row>
    <row r="46" spans="1:7" ht="12" customHeight="1">
      <c r="A46" s="708"/>
      <c r="B46" s="712"/>
      <c r="C46" s="712"/>
      <c r="D46" s="712"/>
      <c r="E46" s="712"/>
      <c r="F46" s="712"/>
    </row>
    <row r="47" spans="1:7" ht="27.75" customHeight="1">
      <c r="A47" s="999" t="s">
        <v>549</v>
      </c>
      <c r="B47" s="999"/>
      <c r="C47" s="999"/>
      <c r="D47" s="999"/>
      <c r="E47" s="999"/>
      <c r="F47" s="999"/>
      <c r="G47" s="712"/>
    </row>
    <row r="48" spans="1:7" ht="15" customHeight="1">
      <c r="A48" s="814" t="s">
        <v>582</v>
      </c>
    </row>
    <row r="49" spans="1:6" ht="15" customHeight="1">
      <c r="A49" s="814" t="s">
        <v>583</v>
      </c>
    </row>
    <row r="50" spans="1:6" ht="15" customHeight="1">
      <c r="A50" s="814" t="s">
        <v>584</v>
      </c>
    </row>
    <row r="51" spans="1:6" ht="15" customHeight="1">
      <c r="A51" s="814" t="s">
        <v>585</v>
      </c>
    </row>
    <row r="52" spans="1:6" ht="15" customHeight="1">
      <c r="A52" s="814" t="s">
        <v>609</v>
      </c>
    </row>
    <row r="53" spans="1:6" ht="15" customHeight="1">
      <c r="A53" s="814" t="s">
        <v>608</v>
      </c>
    </row>
    <row r="54" spans="1:6" ht="24" customHeight="1">
      <c r="A54" s="998" t="s">
        <v>750</v>
      </c>
      <c r="B54" s="998"/>
      <c r="C54" s="998"/>
      <c r="D54" s="998"/>
      <c r="E54" s="998"/>
      <c r="F54" s="998"/>
    </row>
    <row r="55" spans="1:6" ht="15.75" customHeight="1">
      <c r="A55" s="814" t="s">
        <v>747</v>
      </c>
    </row>
    <row r="56" spans="1:6" ht="12" customHeight="1">
      <c r="A56" s="356"/>
    </row>
    <row r="57" spans="1:6" ht="12" customHeight="1">
      <c r="A57" s="356"/>
    </row>
    <row r="58" spans="1:6" ht="12" customHeight="1">
      <c r="A58" s="356"/>
    </row>
    <row r="59" spans="1:6" ht="12" customHeight="1">
      <c r="A59" s="356"/>
    </row>
    <row r="60" spans="1:6" ht="12" customHeight="1">
      <c r="A60" s="356"/>
    </row>
  </sheetData>
  <mergeCells count="5">
    <mergeCell ref="A1:A4"/>
    <mergeCell ref="B1:B4"/>
    <mergeCell ref="C1:F1"/>
    <mergeCell ref="A47:F47"/>
    <mergeCell ref="A54:F54"/>
  </mergeCells>
  <pageMargins left="0.70866141732283472" right="0.7086614173228347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77A5"/>
  </sheetPr>
  <dimension ref="A1:M65"/>
  <sheetViews>
    <sheetView showGridLines="0" view="pageBreakPreview" topLeftCell="A10" zoomScale="145" zoomScaleNormal="100" zoomScaleSheetLayoutView="145" zoomScalePageLayoutView="145" workbookViewId="0">
      <selection activeCell="U69" sqref="T69:U69"/>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9" t="s">
        <v>422</v>
      </c>
      <c r="B3" s="287"/>
    </row>
    <row r="4" spans="1:13" ht="11.25" customHeight="1">
      <c r="B4" s="287"/>
    </row>
    <row r="5" spans="1:13" ht="11.25" customHeight="1">
      <c r="A5" s="288" t="s">
        <v>482</v>
      </c>
      <c r="C5" s="701">
        <f>+H33</f>
        <v>6692.1372099999999</v>
      </c>
    </row>
    <row r="6" spans="1:13" ht="11.25" customHeight="1">
      <c r="A6" s="288" t="s">
        <v>423</v>
      </c>
      <c r="C6" s="600" t="str">
        <f>+A33</f>
        <v>22/07/2019</v>
      </c>
    </row>
    <row r="7" spans="1:13" ht="11.25" customHeight="1">
      <c r="A7" s="288" t="s">
        <v>424</v>
      </c>
      <c r="C7" s="601" t="str">
        <f>+G33</f>
        <v>20:30</v>
      </c>
    </row>
    <row r="8" spans="1:13" ht="11.25" customHeight="1"/>
    <row r="9" spans="1:13" ht="14.25" customHeight="1">
      <c r="A9" s="1012" t="s">
        <v>415</v>
      </c>
      <c r="B9" s="1013" t="s">
        <v>416</v>
      </c>
      <c r="C9" s="1013"/>
      <c r="D9" s="1013"/>
      <c r="E9" s="1013"/>
      <c r="F9" s="1013"/>
      <c r="G9" s="1013" t="s">
        <v>417</v>
      </c>
      <c r="H9" s="1013"/>
      <c r="I9" s="1013"/>
      <c r="J9" s="1013"/>
      <c r="K9" s="1013"/>
    </row>
    <row r="10" spans="1:13" ht="26.25" customHeight="1">
      <c r="A10" s="1012"/>
      <c r="B10" s="557" t="s">
        <v>418</v>
      </c>
      <c r="C10" s="557" t="s">
        <v>202</v>
      </c>
      <c r="D10" s="557" t="s">
        <v>409</v>
      </c>
      <c r="E10" s="557" t="s">
        <v>410</v>
      </c>
      <c r="F10" s="558" t="s">
        <v>421</v>
      </c>
      <c r="G10" s="557" t="s">
        <v>418</v>
      </c>
      <c r="H10" s="557" t="s">
        <v>202</v>
      </c>
      <c r="I10" s="557" t="s">
        <v>409</v>
      </c>
      <c r="J10" s="557" t="s">
        <v>410</v>
      </c>
      <c r="K10" s="558" t="s">
        <v>421</v>
      </c>
      <c r="L10" s="36"/>
      <c r="M10" s="46"/>
    </row>
    <row r="11" spans="1:13" ht="11.25" customHeight="1">
      <c r="A11" s="1012"/>
      <c r="B11" s="557" t="s">
        <v>419</v>
      </c>
      <c r="C11" s="557" t="s">
        <v>420</v>
      </c>
      <c r="D11" s="557" t="s">
        <v>420</v>
      </c>
      <c r="E11" s="557" t="s">
        <v>420</v>
      </c>
      <c r="F11" s="557" t="s">
        <v>420</v>
      </c>
      <c r="G11" s="557" t="s">
        <v>419</v>
      </c>
      <c r="H11" s="557" t="s">
        <v>420</v>
      </c>
      <c r="I11" s="557" t="s">
        <v>420</v>
      </c>
      <c r="J11" s="557" t="s">
        <v>420</v>
      </c>
      <c r="K11" s="557" t="s">
        <v>420</v>
      </c>
      <c r="L11" s="36"/>
      <c r="M11" s="46"/>
    </row>
    <row r="12" spans="1:13" ht="11.25" customHeight="1">
      <c r="A12" s="365" t="s">
        <v>688</v>
      </c>
      <c r="B12" s="605" t="s">
        <v>485</v>
      </c>
      <c r="C12" s="284">
        <v>6427.9188199999999</v>
      </c>
      <c r="D12" s="284">
        <v>0</v>
      </c>
      <c r="E12" s="284">
        <v>0</v>
      </c>
      <c r="F12" s="284">
        <v>6427.9188199999999</v>
      </c>
      <c r="G12" s="605" t="s">
        <v>595</v>
      </c>
      <c r="H12" s="284">
        <v>6630.9959699999999</v>
      </c>
      <c r="I12" s="284">
        <v>0</v>
      </c>
      <c r="J12" s="284">
        <v>0</v>
      </c>
      <c r="K12" s="284">
        <v>6630.9959699999999</v>
      </c>
      <c r="L12" s="205"/>
      <c r="M12" s="46"/>
    </row>
    <row r="13" spans="1:13" ht="11.25" customHeight="1">
      <c r="A13" s="365" t="s">
        <v>689</v>
      </c>
      <c r="B13" s="606" t="s">
        <v>690</v>
      </c>
      <c r="C13" s="285">
        <v>6452.8649999999998</v>
      </c>
      <c r="D13" s="285">
        <v>0</v>
      </c>
      <c r="E13" s="285">
        <v>0</v>
      </c>
      <c r="F13" s="285">
        <v>6452.8649999999998</v>
      </c>
      <c r="G13" s="606" t="s">
        <v>595</v>
      </c>
      <c r="H13" s="285">
        <v>6684.5094200000003</v>
      </c>
      <c r="I13" s="285">
        <v>0</v>
      </c>
      <c r="J13" s="285">
        <v>0</v>
      </c>
      <c r="K13" s="285">
        <v>6684.5094200000003</v>
      </c>
      <c r="L13" s="5"/>
    </row>
    <row r="14" spans="1:13" ht="11.25" customHeight="1">
      <c r="A14" s="365" t="s">
        <v>691</v>
      </c>
      <c r="B14" s="606" t="s">
        <v>473</v>
      </c>
      <c r="C14" s="285">
        <v>6471.7618199999997</v>
      </c>
      <c r="D14" s="285">
        <v>0</v>
      </c>
      <c r="E14" s="285">
        <v>0</v>
      </c>
      <c r="F14" s="285">
        <v>6471.7618199999997</v>
      </c>
      <c r="G14" s="606" t="s">
        <v>519</v>
      </c>
      <c r="H14" s="285">
        <v>6624.4100399999998</v>
      </c>
      <c r="I14" s="285">
        <v>0</v>
      </c>
      <c r="J14" s="285">
        <v>0</v>
      </c>
      <c r="K14" s="285">
        <v>6624.4100399999998</v>
      </c>
      <c r="L14" s="15"/>
    </row>
    <row r="15" spans="1:13" ht="11.25" customHeight="1">
      <c r="A15" s="365" t="s">
        <v>692</v>
      </c>
      <c r="B15" s="606" t="s">
        <v>473</v>
      </c>
      <c r="C15" s="285">
        <v>6490.6782899999998</v>
      </c>
      <c r="D15" s="285">
        <v>0</v>
      </c>
      <c r="E15" s="285">
        <v>0</v>
      </c>
      <c r="F15" s="285">
        <v>6490.6782899999998</v>
      </c>
      <c r="G15" s="606" t="s">
        <v>519</v>
      </c>
      <c r="H15" s="285">
        <v>6605.5190599999996</v>
      </c>
      <c r="I15" s="285">
        <v>0</v>
      </c>
      <c r="J15" s="285">
        <v>0</v>
      </c>
      <c r="K15" s="285">
        <v>6605.5190599999996</v>
      </c>
      <c r="L15" s="12"/>
    </row>
    <row r="16" spans="1:13" ht="11.25" customHeight="1">
      <c r="A16" s="365" t="s">
        <v>693</v>
      </c>
      <c r="B16" s="606" t="s">
        <v>694</v>
      </c>
      <c r="C16" s="285">
        <v>6276.1124900000004</v>
      </c>
      <c r="D16" s="285">
        <v>0</v>
      </c>
      <c r="E16" s="285">
        <v>0</v>
      </c>
      <c r="F16" s="285">
        <v>6276.1124900000004</v>
      </c>
      <c r="G16" s="606" t="s">
        <v>544</v>
      </c>
      <c r="H16" s="285">
        <v>6474.5260799999996</v>
      </c>
      <c r="I16" s="285">
        <v>0</v>
      </c>
      <c r="J16" s="285">
        <v>0</v>
      </c>
      <c r="K16" s="285">
        <v>6474.5260799999996</v>
      </c>
      <c r="L16" s="22"/>
    </row>
    <row r="17" spans="1:12" ht="11.25" customHeight="1">
      <c r="A17" s="365" t="s">
        <v>695</v>
      </c>
      <c r="B17" s="606" t="s">
        <v>696</v>
      </c>
      <c r="C17" s="285">
        <v>6211.8929500000004</v>
      </c>
      <c r="D17" s="285">
        <v>0</v>
      </c>
      <c r="E17" s="285">
        <v>0</v>
      </c>
      <c r="F17" s="285">
        <v>6211.8929500000004</v>
      </c>
      <c r="G17" s="606" t="s">
        <v>519</v>
      </c>
      <c r="H17" s="285">
        <v>6411.2940200000003</v>
      </c>
      <c r="I17" s="285">
        <v>0</v>
      </c>
      <c r="J17" s="285">
        <v>0</v>
      </c>
      <c r="K17" s="285">
        <v>6411.2940200000003</v>
      </c>
      <c r="L17" s="22"/>
    </row>
    <row r="18" spans="1:12" ht="11.25" customHeight="1">
      <c r="A18" s="365" t="s">
        <v>697</v>
      </c>
      <c r="B18" s="606" t="s">
        <v>510</v>
      </c>
      <c r="C18" s="285">
        <v>5623.8443699999998</v>
      </c>
      <c r="D18" s="285">
        <v>0</v>
      </c>
      <c r="E18" s="285">
        <v>0</v>
      </c>
      <c r="F18" s="285">
        <v>5623.8443699999998</v>
      </c>
      <c r="G18" s="606" t="s">
        <v>595</v>
      </c>
      <c r="H18" s="285">
        <v>6298.7231099999999</v>
      </c>
      <c r="I18" s="285">
        <v>0</v>
      </c>
      <c r="J18" s="285">
        <v>0</v>
      </c>
      <c r="K18" s="285">
        <v>6298.7231099999999</v>
      </c>
      <c r="L18" s="22"/>
    </row>
    <row r="19" spans="1:12" ht="11.25" customHeight="1">
      <c r="A19" s="365" t="s">
        <v>698</v>
      </c>
      <c r="B19" s="606" t="s">
        <v>699</v>
      </c>
      <c r="C19" s="285">
        <v>6326.52081</v>
      </c>
      <c r="D19" s="285">
        <v>0</v>
      </c>
      <c r="E19" s="285">
        <v>0</v>
      </c>
      <c r="F19" s="285">
        <v>6326.52081</v>
      </c>
      <c r="G19" s="606" t="s">
        <v>700</v>
      </c>
      <c r="H19" s="285">
        <v>6486.92922</v>
      </c>
      <c r="I19" s="285">
        <v>0</v>
      </c>
      <c r="J19" s="285">
        <v>0</v>
      </c>
      <c r="K19" s="285">
        <v>6486.92922</v>
      </c>
      <c r="L19" s="22"/>
    </row>
    <row r="20" spans="1:12" ht="11.25" customHeight="1">
      <c r="A20" s="365" t="s">
        <v>701</v>
      </c>
      <c r="B20" s="606" t="s">
        <v>690</v>
      </c>
      <c r="C20" s="285">
        <v>6350.2386800000004</v>
      </c>
      <c r="D20" s="285">
        <v>0</v>
      </c>
      <c r="E20" s="285">
        <v>0</v>
      </c>
      <c r="F20" s="285">
        <v>6350.2386800000004</v>
      </c>
      <c r="G20" s="606" t="s">
        <v>595</v>
      </c>
      <c r="H20" s="285">
        <v>6650.1862000000001</v>
      </c>
      <c r="I20" s="285">
        <v>0</v>
      </c>
      <c r="J20" s="285">
        <v>0</v>
      </c>
      <c r="K20" s="285">
        <v>6650.1862000000001</v>
      </c>
      <c r="L20" s="24"/>
    </row>
    <row r="21" spans="1:12" ht="11.25" customHeight="1">
      <c r="A21" s="365" t="s">
        <v>702</v>
      </c>
      <c r="B21" s="606" t="s">
        <v>472</v>
      </c>
      <c r="C21" s="285">
        <v>6451.4521400000003</v>
      </c>
      <c r="D21" s="285">
        <v>0</v>
      </c>
      <c r="E21" s="285">
        <v>0</v>
      </c>
      <c r="F21" s="285">
        <v>6451.4521400000003</v>
      </c>
      <c r="G21" s="606" t="s">
        <v>703</v>
      </c>
      <c r="H21" s="285">
        <v>6639.4266600000001</v>
      </c>
      <c r="I21" s="285">
        <v>0</v>
      </c>
      <c r="J21" s="285">
        <v>0</v>
      </c>
      <c r="K21" s="285">
        <v>6639.4266600000001</v>
      </c>
      <c r="L21" s="22"/>
    </row>
    <row r="22" spans="1:12" ht="11.25" customHeight="1">
      <c r="A22" s="365" t="s">
        <v>704</v>
      </c>
      <c r="B22" s="606" t="s">
        <v>472</v>
      </c>
      <c r="C22" s="285">
        <v>6376.7002300000004</v>
      </c>
      <c r="D22" s="285">
        <v>0</v>
      </c>
      <c r="E22" s="285">
        <v>0</v>
      </c>
      <c r="F22" s="285">
        <v>6376.7002300000004</v>
      </c>
      <c r="G22" s="606" t="s">
        <v>544</v>
      </c>
      <c r="H22" s="285">
        <v>6583.3416299999999</v>
      </c>
      <c r="I22" s="285">
        <v>0</v>
      </c>
      <c r="J22" s="285">
        <v>0</v>
      </c>
      <c r="K22" s="285">
        <v>6583.3416299999999</v>
      </c>
      <c r="L22" s="22"/>
    </row>
    <row r="23" spans="1:12" ht="11.25" customHeight="1">
      <c r="A23" s="365" t="s">
        <v>705</v>
      </c>
      <c r="B23" s="767" t="s">
        <v>568</v>
      </c>
      <c r="C23" s="768">
        <v>6488.9270399999996</v>
      </c>
      <c r="D23" s="768">
        <v>28.084</v>
      </c>
      <c r="E23" s="768">
        <v>0</v>
      </c>
      <c r="F23" s="768">
        <v>6517.0110400000003</v>
      </c>
      <c r="G23" s="606" t="s">
        <v>519</v>
      </c>
      <c r="H23" s="285">
        <v>6600.0063200000004</v>
      </c>
      <c r="I23" s="285">
        <v>40.043999999999997</v>
      </c>
      <c r="J23" s="285">
        <v>0</v>
      </c>
      <c r="K23" s="285">
        <v>6640.0503200000003</v>
      </c>
      <c r="L23" s="22"/>
    </row>
    <row r="24" spans="1:12" ht="11.25" customHeight="1">
      <c r="A24" s="365" t="s">
        <v>706</v>
      </c>
      <c r="B24" s="606" t="s">
        <v>485</v>
      </c>
      <c r="C24" s="285">
        <v>6404.5409600000003</v>
      </c>
      <c r="D24" s="285">
        <v>35.484000000000002</v>
      </c>
      <c r="E24" s="285">
        <v>0</v>
      </c>
      <c r="F24" s="285">
        <v>6440.0249599999997</v>
      </c>
      <c r="G24" s="606" t="s">
        <v>519</v>
      </c>
      <c r="H24" s="285">
        <v>6523.2696400000004</v>
      </c>
      <c r="I24" s="285">
        <v>38.68</v>
      </c>
      <c r="J24" s="285">
        <v>0</v>
      </c>
      <c r="K24" s="285">
        <v>6561.9496399999998</v>
      </c>
      <c r="L24" s="22"/>
    </row>
    <row r="25" spans="1:12" ht="11.25" customHeight="1">
      <c r="A25" s="365" t="s">
        <v>707</v>
      </c>
      <c r="B25" s="606" t="s">
        <v>510</v>
      </c>
      <c r="C25" s="285">
        <v>5674.2987199999998</v>
      </c>
      <c r="D25" s="285">
        <v>32.895800000000001</v>
      </c>
      <c r="E25" s="285">
        <v>0</v>
      </c>
      <c r="F25" s="285">
        <v>5707.19452</v>
      </c>
      <c r="G25" s="606" t="s">
        <v>596</v>
      </c>
      <c r="H25" s="285">
        <v>6452.0618800000002</v>
      </c>
      <c r="I25" s="285">
        <v>0</v>
      </c>
      <c r="J25" s="285">
        <v>0</v>
      </c>
      <c r="K25" s="285">
        <v>6452.0618800000002</v>
      </c>
      <c r="L25" s="22"/>
    </row>
    <row r="26" spans="1:12" ht="11.25" customHeight="1">
      <c r="A26" s="365" t="s">
        <v>708</v>
      </c>
      <c r="B26" s="606" t="s">
        <v>485</v>
      </c>
      <c r="C26" s="285">
        <v>6436.5231599999997</v>
      </c>
      <c r="D26" s="285">
        <v>0</v>
      </c>
      <c r="E26" s="285">
        <v>0</v>
      </c>
      <c r="F26" s="285">
        <v>6436.5231599999997</v>
      </c>
      <c r="G26" s="606" t="s">
        <v>519</v>
      </c>
      <c r="H26" s="285">
        <v>6612.0062399999997</v>
      </c>
      <c r="I26" s="285">
        <v>0</v>
      </c>
      <c r="J26" s="285">
        <v>0</v>
      </c>
      <c r="K26" s="285">
        <v>6612.0062399999997</v>
      </c>
      <c r="L26" s="22"/>
    </row>
    <row r="27" spans="1:12" ht="11.25" customHeight="1">
      <c r="A27" s="365" t="s">
        <v>709</v>
      </c>
      <c r="B27" s="606" t="s">
        <v>710</v>
      </c>
      <c r="C27" s="285">
        <v>6472.1434499999996</v>
      </c>
      <c r="D27" s="285">
        <v>40.988</v>
      </c>
      <c r="E27" s="285">
        <v>0</v>
      </c>
      <c r="F27" s="285">
        <v>6513.1314499999999</v>
      </c>
      <c r="G27" s="606" t="s">
        <v>595</v>
      </c>
      <c r="H27" s="285">
        <v>6601.7232700000004</v>
      </c>
      <c r="I27" s="285">
        <v>45.310639999999999</v>
      </c>
      <c r="J27" s="285">
        <v>0</v>
      </c>
      <c r="K27" s="285">
        <v>6647.0339100000001</v>
      </c>
      <c r="L27" s="22"/>
    </row>
    <row r="28" spans="1:12" ht="11.25" customHeight="1">
      <c r="A28" s="365" t="s">
        <v>711</v>
      </c>
      <c r="B28" s="606" t="s">
        <v>472</v>
      </c>
      <c r="C28" s="285">
        <v>6509.9820200000004</v>
      </c>
      <c r="D28" s="285">
        <v>34.528919999999999</v>
      </c>
      <c r="E28" s="285">
        <v>0</v>
      </c>
      <c r="F28" s="285">
        <v>6544.5109400000001</v>
      </c>
      <c r="G28" s="606" t="s">
        <v>519</v>
      </c>
      <c r="H28" s="285">
        <v>6687.4409599999999</v>
      </c>
      <c r="I28" s="285">
        <v>46.457720000000002</v>
      </c>
      <c r="J28" s="285">
        <v>0</v>
      </c>
      <c r="K28" s="285">
        <v>6733.8986800000002</v>
      </c>
      <c r="L28" s="30"/>
    </row>
    <row r="29" spans="1:12" ht="11.25" customHeight="1">
      <c r="A29" s="365" t="s">
        <v>712</v>
      </c>
      <c r="B29" s="606" t="s">
        <v>473</v>
      </c>
      <c r="C29" s="285">
        <v>6400.3863499999998</v>
      </c>
      <c r="D29" s="285">
        <v>35.533160000000002</v>
      </c>
      <c r="E29" s="285">
        <v>0</v>
      </c>
      <c r="F29" s="285">
        <v>6435.9195099999997</v>
      </c>
      <c r="G29" s="606" t="s">
        <v>595</v>
      </c>
      <c r="H29" s="285">
        <v>6528.5561799999996</v>
      </c>
      <c r="I29" s="285">
        <v>48.752119999999998</v>
      </c>
      <c r="J29" s="285">
        <v>0</v>
      </c>
      <c r="K29" s="285">
        <v>6577.3082999999997</v>
      </c>
      <c r="L29" s="22"/>
    </row>
    <row r="30" spans="1:12" ht="11.25" customHeight="1">
      <c r="A30" s="365" t="s">
        <v>713</v>
      </c>
      <c r="B30" s="606" t="s">
        <v>568</v>
      </c>
      <c r="C30" s="285">
        <v>6466.4649099999997</v>
      </c>
      <c r="D30" s="285">
        <v>30.1692</v>
      </c>
      <c r="E30" s="285">
        <v>0</v>
      </c>
      <c r="F30" s="285">
        <v>6496.63411</v>
      </c>
      <c r="G30" s="606" t="s">
        <v>595</v>
      </c>
      <c r="H30" s="285">
        <v>6588.3869500000001</v>
      </c>
      <c r="I30" s="285">
        <v>47.863639999999997</v>
      </c>
      <c r="J30" s="285">
        <v>0</v>
      </c>
      <c r="K30" s="285">
        <v>6636.2505899999996</v>
      </c>
      <c r="L30" s="22"/>
    </row>
    <row r="31" spans="1:12" ht="11.25" customHeight="1">
      <c r="A31" s="365" t="s">
        <v>714</v>
      </c>
      <c r="B31" s="606" t="s">
        <v>699</v>
      </c>
      <c r="C31" s="285">
        <v>6372.8175199999996</v>
      </c>
      <c r="D31" s="285">
        <v>36.669919999999998</v>
      </c>
      <c r="E31" s="285">
        <v>0</v>
      </c>
      <c r="F31" s="285">
        <v>6409.4874399999999</v>
      </c>
      <c r="G31" s="606" t="s">
        <v>580</v>
      </c>
      <c r="H31" s="285">
        <v>6449.1184599999997</v>
      </c>
      <c r="I31" s="285">
        <v>47.272799999999997</v>
      </c>
      <c r="J31" s="285">
        <v>0</v>
      </c>
      <c r="K31" s="285">
        <v>6496.3912600000003</v>
      </c>
      <c r="L31" s="15"/>
    </row>
    <row r="32" spans="1:12" ht="11.25" customHeight="1">
      <c r="A32" s="365" t="s">
        <v>715</v>
      </c>
      <c r="B32" s="606" t="s">
        <v>588</v>
      </c>
      <c r="C32" s="285">
        <v>5679.2625399999997</v>
      </c>
      <c r="D32" s="285">
        <v>0</v>
      </c>
      <c r="E32" s="285">
        <v>0</v>
      </c>
      <c r="F32" s="285">
        <v>5679.2625399999997</v>
      </c>
      <c r="G32" s="606" t="s">
        <v>595</v>
      </c>
      <c r="H32" s="285">
        <v>6438.2759500000002</v>
      </c>
      <c r="I32" s="285">
        <v>45.227119999999999</v>
      </c>
      <c r="J32" s="285">
        <v>0</v>
      </c>
      <c r="K32" s="285">
        <v>6483.5030699999998</v>
      </c>
      <c r="L32" s="16"/>
    </row>
    <row r="33" spans="1:12" ht="11.25" customHeight="1">
      <c r="A33" s="365" t="s">
        <v>716</v>
      </c>
      <c r="B33" s="606" t="s">
        <v>710</v>
      </c>
      <c r="C33" s="285">
        <v>6511.4605199999996</v>
      </c>
      <c r="D33" s="285">
        <v>34.688000000000002</v>
      </c>
      <c r="E33" s="285">
        <v>0</v>
      </c>
      <c r="F33" s="285">
        <v>6546.1485199999997</v>
      </c>
      <c r="G33" s="607" t="s">
        <v>580</v>
      </c>
      <c r="H33" s="286">
        <v>6692.1372099999999</v>
      </c>
      <c r="I33" s="286">
        <v>47.143999999999998</v>
      </c>
      <c r="J33" s="286">
        <v>0</v>
      </c>
      <c r="K33" s="700">
        <v>6739.2812100000001</v>
      </c>
      <c r="L33" s="15"/>
    </row>
    <row r="34" spans="1:12" ht="11.25" customHeight="1">
      <c r="A34" s="765" t="s">
        <v>717</v>
      </c>
      <c r="B34" s="766" t="s">
        <v>473</v>
      </c>
      <c r="C34" s="286">
        <v>6605.0442800000001</v>
      </c>
      <c r="D34" s="286">
        <v>26.684000000000001</v>
      </c>
      <c r="E34" s="286">
        <v>0</v>
      </c>
      <c r="F34" s="286">
        <v>6631.7282800000003</v>
      </c>
      <c r="G34" s="767" t="s">
        <v>519</v>
      </c>
      <c r="H34" s="768">
        <v>6716.1750099999999</v>
      </c>
      <c r="I34" s="768">
        <v>0</v>
      </c>
      <c r="J34" s="768">
        <v>0</v>
      </c>
      <c r="K34" s="769">
        <v>6716.1750099999999</v>
      </c>
      <c r="L34" s="15"/>
    </row>
    <row r="35" spans="1:12" ht="11.25" customHeight="1">
      <c r="A35" s="365" t="s">
        <v>718</v>
      </c>
      <c r="B35" s="606" t="s">
        <v>699</v>
      </c>
      <c r="C35" s="285">
        <v>6419.4479199999996</v>
      </c>
      <c r="D35" s="285">
        <v>0</v>
      </c>
      <c r="E35" s="285">
        <v>0</v>
      </c>
      <c r="F35" s="285">
        <v>6419.4479199999996</v>
      </c>
      <c r="G35" s="606" t="s">
        <v>596</v>
      </c>
      <c r="H35" s="285">
        <v>6523.37583</v>
      </c>
      <c r="I35" s="285">
        <v>0</v>
      </c>
      <c r="J35" s="285">
        <v>0</v>
      </c>
      <c r="K35" s="285">
        <v>6523.37583</v>
      </c>
      <c r="L35" s="22"/>
    </row>
    <row r="36" spans="1:12" ht="11.25" customHeight="1">
      <c r="A36" s="365" t="s">
        <v>719</v>
      </c>
      <c r="B36" s="606" t="s">
        <v>473</v>
      </c>
      <c r="C36" s="285">
        <v>6489.6246799999999</v>
      </c>
      <c r="D36" s="285">
        <v>0</v>
      </c>
      <c r="E36" s="285">
        <v>0</v>
      </c>
      <c r="F36" s="285">
        <v>6489.6246799999999</v>
      </c>
      <c r="G36" s="767" t="s">
        <v>596</v>
      </c>
      <c r="H36" s="768">
        <v>6618.3561399999999</v>
      </c>
      <c r="I36" s="768">
        <v>0</v>
      </c>
      <c r="J36" s="768">
        <v>0</v>
      </c>
      <c r="K36" s="769">
        <v>6618.3561399999999</v>
      </c>
      <c r="L36" s="22"/>
    </row>
    <row r="37" spans="1:12" ht="11.25" customHeight="1">
      <c r="A37" s="365" t="s">
        <v>720</v>
      </c>
      <c r="B37" s="606" t="s">
        <v>473</v>
      </c>
      <c r="C37" s="285">
        <v>6481.1162800000002</v>
      </c>
      <c r="D37" s="285">
        <v>0</v>
      </c>
      <c r="E37" s="285">
        <v>0</v>
      </c>
      <c r="F37" s="285">
        <v>6481.1162800000002</v>
      </c>
      <c r="G37" s="606" t="s">
        <v>519</v>
      </c>
      <c r="H37" s="285">
        <v>6512.2255500000001</v>
      </c>
      <c r="I37" s="285">
        <v>0</v>
      </c>
      <c r="J37" s="285">
        <v>0</v>
      </c>
      <c r="K37" s="285">
        <v>6512.2255500000001</v>
      </c>
      <c r="L37" s="22"/>
    </row>
    <row r="38" spans="1:12" ht="11.25" customHeight="1">
      <c r="A38" s="365" t="s">
        <v>721</v>
      </c>
      <c r="B38" s="606" t="s">
        <v>472</v>
      </c>
      <c r="C38" s="285">
        <v>6276.6980599999997</v>
      </c>
      <c r="D38" s="285">
        <v>0</v>
      </c>
      <c r="E38" s="285">
        <v>0</v>
      </c>
      <c r="F38" s="285">
        <v>6276.6980599999997</v>
      </c>
      <c r="G38" s="606" t="s">
        <v>519</v>
      </c>
      <c r="H38" s="285">
        <v>6471.2047700000003</v>
      </c>
      <c r="I38" s="285">
        <v>0</v>
      </c>
      <c r="J38" s="285">
        <v>0</v>
      </c>
      <c r="K38" s="285">
        <v>6471.2047700000003</v>
      </c>
      <c r="L38" s="22"/>
    </row>
    <row r="39" spans="1:12" ht="11.25" customHeight="1">
      <c r="A39" s="365" t="s">
        <v>722</v>
      </c>
      <c r="B39" s="606" t="s">
        <v>510</v>
      </c>
      <c r="C39" s="285">
        <v>5578.1122400000004</v>
      </c>
      <c r="D39" s="285">
        <v>0</v>
      </c>
      <c r="E39" s="285">
        <v>0</v>
      </c>
      <c r="F39" s="285">
        <v>5578.1122400000004</v>
      </c>
      <c r="G39" s="606" t="s">
        <v>595</v>
      </c>
      <c r="H39" s="285">
        <v>6092.9037600000001</v>
      </c>
      <c r="I39" s="285">
        <v>0</v>
      </c>
      <c r="J39" s="285">
        <v>0</v>
      </c>
      <c r="K39" s="285">
        <v>6092.9037600000001</v>
      </c>
      <c r="L39" s="22"/>
    </row>
    <row r="40" spans="1:12" ht="11.25" customHeight="1">
      <c r="A40" s="365" t="s">
        <v>723</v>
      </c>
      <c r="B40" s="606" t="s">
        <v>588</v>
      </c>
      <c r="C40" s="285">
        <v>5492.5339899999999</v>
      </c>
      <c r="D40" s="285">
        <v>0</v>
      </c>
      <c r="E40" s="285">
        <v>0</v>
      </c>
      <c r="F40" s="285">
        <v>5492.5339899999999</v>
      </c>
      <c r="G40" s="606" t="s">
        <v>703</v>
      </c>
      <c r="H40" s="285">
        <v>6145.8838100000003</v>
      </c>
      <c r="I40" s="285">
        <v>0</v>
      </c>
      <c r="J40" s="285">
        <v>0</v>
      </c>
      <c r="K40" s="285">
        <v>6145.8838100000003</v>
      </c>
      <c r="L40" s="22"/>
    </row>
    <row r="41" spans="1:12" s="861" customFormat="1" ht="11.25" customHeight="1">
      <c r="A41" s="365" t="s">
        <v>724</v>
      </c>
      <c r="B41" s="606" t="s">
        <v>472</v>
      </c>
      <c r="C41" s="285">
        <v>6282.8318399999998</v>
      </c>
      <c r="D41" s="285">
        <v>0</v>
      </c>
      <c r="E41" s="285">
        <v>0</v>
      </c>
      <c r="F41" s="285">
        <v>6282.8318399999998</v>
      </c>
      <c r="G41" s="606" t="s">
        <v>596</v>
      </c>
      <c r="H41" s="285">
        <v>6462.4716200000003</v>
      </c>
      <c r="I41" s="285">
        <v>0</v>
      </c>
      <c r="J41" s="285">
        <v>0</v>
      </c>
      <c r="K41" s="285">
        <v>6462.4716200000003</v>
      </c>
      <c r="L41" s="22"/>
    </row>
    <row r="42" spans="1:12" ht="11.25" customHeight="1">
      <c r="A42" s="365" t="s">
        <v>725</v>
      </c>
      <c r="B42" s="606" t="s">
        <v>473</v>
      </c>
      <c r="C42" s="285">
        <v>6411.4545699999999</v>
      </c>
      <c r="D42" s="285">
        <v>34.576000000000001</v>
      </c>
      <c r="E42" s="285">
        <v>0</v>
      </c>
      <c r="F42" s="285">
        <v>6446.0305699999999</v>
      </c>
      <c r="G42" s="606" t="s">
        <v>519</v>
      </c>
      <c r="H42" s="285">
        <v>6551.4045599999999</v>
      </c>
      <c r="I42" s="285">
        <v>44.287999999999997</v>
      </c>
      <c r="J42" s="285">
        <v>0</v>
      </c>
      <c r="K42" s="285">
        <v>6595.6925600000004</v>
      </c>
      <c r="L42" s="22"/>
    </row>
    <row r="43" spans="1:12" ht="11.25" customHeight="1">
      <c r="A43" s="985"/>
      <c r="B43" s="985"/>
      <c r="C43" s="985"/>
      <c r="D43" s="985"/>
      <c r="E43" s="985"/>
      <c r="F43" s="985"/>
      <c r="G43" s="985"/>
      <c r="H43" s="985"/>
      <c r="I43" s="985"/>
      <c r="J43" s="985"/>
      <c r="K43" s="985"/>
      <c r="L43" s="22"/>
    </row>
    <row r="44" spans="1:12" ht="11.25" customHeight="1">
      <c r="A44" s="196"/>
      <c r="B44" s="196"/>
      <c r="C44" s="196"/>
      <c r="D44" s="196"/>
      <c r="E44" s="196"/>
      <c r="F44" s="196"/>
      <c r="G44" s="196"/>
      <c r="H44" s="196"/>
      <c r="I44" s="196"/>
      <c r="J44" s="196"/>
      <c r="K44" s="198"/>
      <c r="L44" s="22"/>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9"/>
      <c r="L47" s="11"/>
    </row>
    <row r="48" spans="1:12" ht="11.25" customHeight="1">
      <c r="A48" s="196"/>
      <c r="B48" s="196"/>
      <c r="C48" s="196"/>
      <c r="D48" s="196"/>
      <c r="E48" s="196"/>
      <c r="F48" s="196"/>
      <c r="G48" s="196"/>
      <c r="H48" s="196"/>
      <c r="I48" s="196"/>
      <c r="J48" s="196"/>
      <c r="K48" s="198"/>
    </row>
    <row r="49" spans="1:11" ht="11.25" customHeight="1">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96"/>
      <c r="C53" s="196"/>
      <c r="D53" s="196"/>
      <c r="E53" s="196"/>
      <c r="F53" s="196"/>
      <c r="G53" s="196"/>
      <c r="H53" s="196"/>
      <c r="I53" s="196"/>
      <c r="J53" s="196"/>
      <c r="K53" s="198"/>
    </row>
    <row r="54" spans="1:11" ht="12.75">
      <c r="A54" s="196"/>
      <c r="B54" s="196"/>
      <c r="C54" s="196"/>
      <c r="D54" s="196"/>
      <c r="E54" s="196"/>
      <c r="F54" s="196"/>
      <c r="G54" s="196"/>
      <c r="H54" s="196"/>
      <c r="I54" s="196"/>
      <c r="J54" s="196"/>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11"/>
      <c r="C58" s="111"/>
      <c r="D58" s="111"/>
      <c r="E58" s="111"/>
      <c r="F58" s="111"/>
      <c r="G58" s="111"/>
      <c r="H58" s="111"/>
      <c r="I58" s="111"/>
      <c r="J58" s="111"/>
      <c r="K58" s="198"/>
    </row>
    <row r="59" spans="1:11" ht="12.75">
      <c r="A59" s="196"/>
      <c r="B59" s="111"/>
      <c r="C59" s="111"/>
      <c r="D59" s="111"/>
      <c r="E59" s="111"/>
      <c r="F59" s="111"/>
      <c r="G59" s="111"/>
      <c r="H59" s="111"/>
      <c r="I59" s="111"/>
      <c r="J59" s="111"/>
      <c r="K59" s="198"/>
    </row>
    <row r="60" spans="1:11" ht="12.75">
      <c r="A60" s="196"/>
      <c r="B60" s="197"/>
      <c r="C60" s="197"/>
      <c r="D60" s="197"/>
      <c r="E60" s="197"/>
      <c r="F60" s="197"/>
      <c r="G60" s="197"/>
      <c r="H60" s="197"/>
      <c r="I60" s="197"/>
      <c r="J60" s="197"/>
      <c r="K60" s="198"/>
    </row>
    <row r="61" spans="1:11" ht="12.75">
      <c r="A61" s="196"/>
      <c r="B61" s="197"/>
      <c r="C61" s="197"/>
      <c r="D61" s="197"/>
      <c r="E61" s="197"/>
      <c r="F61" s="197"/>
      <c r="G61" s="197"/>
      <c r="H61" s="197"/>
      <c r="I61" s="197"/>
      <c r="J61" s="197"/>
      <c r="K61" s="198"/>
    </row>
    <row r="62" spans="1:11" ht="12.75">
      <c r="A62" s="196"/>
      <c r="B62" s="200"/>
      <c r="C62" s="198"/>
      <c r="D62" s="198"/>
      <c r="E62" s="198"/>
      <c r="F62" s="198"/>
      <c r="G62" s="197"/>
      <c r="H62" s="197"/>
      <c r="I62" s="197"/>
      <c r="J62" s="197"/>
      <c r="K62" s="198"/>
    </row>
    <row r="63" spans="1:11" ht="12.75">
      <c r="A63" s="201"/>
      <c r="B63" s="202"/>
      <c r="C63" s="202"/>
      <c r="D63" s="202"/>
      <c r="E63" s="202"/>
      <c r="F63" s="202"/>
      <c r="G63" s="202"/>
      <c r="H63" s="197"/>
      <c r="I63" s="197"/>
      <c r="J63" s="197"/>
      <c r="K63" s="198"/>
    </row>
    <row r="64" spans="1:11" ht="12.75">
      <c r="A64" s="201"/>
      <c r="B64" s="202"/>
      <c r="C64" s="202"/>
      <c r="D64" s="202"/>
      <c r="E64" s="202"/>
      <c r="F64" s="202"/>
      <c r="G64" s="202"/>
      <c r="H64" s="197"/>
      <c r="I64" s="197"/>
      <c r="J64" s="197"/>
      <c r="K64" s="197"/>
    </row>
    <row r="65" spans="1:11" ht="12.75">
      <c r="A65" s="201"/>
      <c r="B65" s="202"/>
      <c r="C65" s="202"/>
      <c r="D65" s="202"/>
      <c r="E65" s="202"/>
      <c r="F65" s="202"/>
      <c r="G65" s="202"/>
      <c r="H65" s="197"/>
      <c r="I65" s="197"/>
      <c r="J65" s="197"/>
      <c r="K65" s="197"/>
    </row>
  </sheetData>
  <mergeCells count="4">
    <mergeCell ref="A9:A11"/>
    <mergeCell ref="B9:F9"/>
    <mergeCell ref="G9:K9"/>
    <mergeCell ref="A43:K43"/>
  </mergeCells>
  <pageMargins left="0.70866141732283472" right="0.7086614173228347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77A5"/>
  </sheetPr>
  <dimension ref="A1:I156"/>
  <sheetViews>
    <sheetView showGridLines="0" view="pageBreakPreview" zoomScale="160" zoomScaleNormal="100" zoomScaleSheetLayoutView="160" zoomScalePageLayoutView="130" workbookViewId="0">
      <selection activeCell="U69" sqref="T69:U69"/>
    </sheetView>
  </sheetViews>
  <sheetFormatPr defaultColWidth="9.33203125" defaultRowHeight="9"/>
  <cols>
    <col min="1" max="1" width="16.1640625" style="292" customWidth="1"/>
    <col min="2" max="2" width="19.6640625" style="292" customWidth="1"/>
    <col min="3" max="3" width="12.1640625" style="292" bestFit="1" customWidth="1"/>
    <col min="4" max="4" width="47.1640625" style="292" customWidth="1"/>
    <col min="5" max="5" width="11.5" style="292" customWidth="1"/>
    <col min="6" max="6" width="10.5" style="292" customWidth="1"/>
    <col min="7" max="8" width="9.33203125" style="292" customWidth="1"/>
    <col min="9" max="16384" width="9.33203125" style="292"/>
  </cols>
  <sheetData>
    <row r="1" spans="1:9" ht="11.25" customHeight="1">
      <c r="A1" s="290" t="s">
        <v>425</v>
      </c>
      <c r="B1" s="291"/>
      <c r="C1" s="291"/>
      <c r="D1" s="291"/>
      <c r="E1" s="291"/>
      <c r="F1" s="291"/>
    </row>
    <row r="2" spans="1:9" ht="30" customHeight="1">
      <c r="A2" s="559" t="s">
        <v>264</v>
      </c>
      <c r="B2" s="560" t="s">
        <v>426</v>
      </c>
      <c r="C2" s="559" t="s">
        <v>415</v>
      </c>
      <c r="D2" s="561" t="s">
        <v>427</v>
      </c>
      <c r="E2" s="562" t="s">
        <v>428</v>
      </c>
      <c r="F2" s="562" t="s">
        <v>429</v>
      </c>
      <c r="G2" s="283"/>
      <c r="H2" s="293"/>
      <c r="I2" s="281"/>
    </row>
    <row r="3" spans="1:9" ht="79.5" customHeight="1">
      <c r="A3" s="633" t="s">
        <v>612</v>
      </c>
      <c r="B3" s="633" t="s">
        <v>613</v>
      </c>
      <c r="C3" s="390">
        <v>43647.598611111112</v>
      </c>
      <c r="D3" s="391" t="s">
        <v>614</v>
      </c>
      <c r="E3" s="392" t="s">
        <v>631</v>
      </c>
      <c r="F3" s="392"/>
      <c r="H3" s="283"/>
      <c r="I3" s="281"/>
    </row>
    <row r="4" spans="1:9" ht="52.5" customHeight="1">
      <c r="A4" s="633" t="s">
        <v>431</v>
      </c>
      <c r="B4" s="633" t="s">
        <v>615</v>
      </c>
      <c r="C4" s="390">
        <v>43648.302777777775</v>
      </c>
      <c r="D4" s="391" t="s">
        <v>616</v>
      </c>
      <c r="E4" s="392" t="s">
        <v>632</v>
      </c>
      <c r="F4" s="392"/>
      <c r="G4" s="282"/>
      <c r="H4" s="282"/>
      <c r="I4" s="294"/>
    </row>
    <row r="5" spans="1:9" ht="62.25" customHeight="1">
      <c r="A5" s="633" t="s">
        <v>617</v>
      </c>
      <c r="B5" s="633" t="s">
        <v>618</v>
      </c>
      <c r="C5" s="393">
        <v>43648.490277777775</v>
      </c>
      <c r="D5" s="394" t="s">
        <v>619</v>
      </c>
      <c r="E5" s="395" t="s">
        <v>633</v>
      </c>
      <c r="F5" s="395"/>
      <c r="G5" s="282"/>
      <c r="H5" s="282"/>
      <c r="I5" s="295"/>
    </row>
    <row r="6" spans="1:9" ht="71.25" customHeight="1">
      <c r="A6" s="633" t="s">
        <v>494</v>
      </c>
      <c r="B6" s="633" t="s">
        <v>620</v>
      </c>
      <c r="C6" s="393">
        <v>43648.949305555558</v>
      </c>
      <c r="D6" s="394" t="s">
        <v>621</v>
      </c>
      <c r="E6" s="395" t="s">
        <v>634</v>
      </c>
      <c r="F6" s="395"/>
      <c r="G6" s="282"/>
      <c r="H6" s="282"/>
      <c r="I6" s="296"/>
    </row>
    <row r="7" spans="1:9" ht="79.5" customHeight="1">
      <c r="A7" s="633" t="s">
        <v>494</v>
      </c>
      <c r="B7" s="633" t="s">
        <v>594</v>
      </c>
      <c r="C7" s="393">
        <v>43649.259722222225</v>
      </c>
      <c r="D7" s="394" t="s">
        <v>622</v>
      </c>
      <c r="E7" s="395"/>
      <c r="F7" s="395" t="s">
        <v>635</v>
      </c>
      <c r="G7" s="282"/>
      <c r="H7" s="282"/>
      <c r="I7" s="297"/>
    </row>
    <row r="8" spans="1:9" ht="81" customHeight="1">
      <c r="A8" s="633" t="s">
        <v>93</v>
      </c>
      <c r="B8" s="633" t="s">
        <v>623</v>
      </c>
      <c r="C8" s="393">
        <v>43649.665972222225</v>
      </c>
      <c r="D8" s="394" t="s">
        <v>624</v>
      </c>
      <c r="E8" s="395"/>
      <c r="F8" s="395" t="s">
        <v>636</v>
      </c>
      <c r="G8" s="282"/>
      <c r="H8" s="282"/>
      <c r="I8" s="296"/>
    </row>
    <row r="9" spans="1:9" ht="66.75" customHeight="1">
      <c r="A9" s="633" t="s">
        <v>589</v>
      </c>
      <c r="B9" s="633" t="s">
        <v>625</v>
      </c>
      <c r="C9" s="393">
        <v>43651.46597222222</v>
      </c>
      <c r="D9" s="394" t="s">
        <v>626</v>
      </c>
      <c r="E9" s="395" t="s">
        <v>637</v>
      </c>
      <c r="F9" s="395"/>
      <c r="G9" s="282"/>
      <c r="H9" s="282"/>
      <c r="I9" s="296"/>
    </row>
    <row r="10" spans="1:9" ht="80.25" customHeight="1">
      <c r="A10" s="633" t="s">
        <v>432</v>
      </c>
      <c r="B10" s="633" t="s">
        <v>627</v>
      </c>
      <c r="C10" s="393">
        <v>43651.515277777777</v>
      </c>
      <c r="D10" s="394" t="s">
        <v>628</v>
      </c>
      <c r="E10" s="395" t="s">
        <v>638</v>
      </c>
      <c r="F10" s="395"/>
    </row>
    <row r="11" spans="1:9" ht="62.25" customHeight="1">
      <c r="A11" s="300" t="s">
        <v>432</v>
      </c>
      <c r="B11" s="300" t="s">
        <v>629</v>
      </c>
      <c r="C11" s="301">
        <v>43652.452777777777</v>
      </c>
      <c r="D11" s="394" t="s">
        <v>630</v>
      </c>
      <c r="E11" s="302" t="s">
        <v>639</v>
      </c>
      <c r="F11" s="302"/>
    </row>
    <row r="12" spans="1:9" ht="45.75" customHeight="1">
      <c r="C12" s="599"/>
      <c r="E12" s="299"/>
      <c r="F12" s="299"/>
    </row>
    <row r="13" spans="1:9">
      <c r="C13" s="599"/>
      <c r="E13" s="299"/>
      <c r="F13" s="299"/>
    </row>
    <row r="14" spans="1:9">
      <c r="C14" s="599"/>
      <c r="E14" s="299"/>
      <c r="F14" s="299"/>
    </row>
    <row r="15" spans="1:9">
      <c r="C15" s="599"/>
      <c r="E15" s="299"/>
      <c r="F15" s="299"/>
    </row>
    <row r="16" spans="1:9">
      <c r="C16" s="599"/>
      <c r="E16" s="299"/>
      <c r="F16" s="299"/>
    </row>
    <row r="17" spans="3:6">
      <c r="C17" s="599"/>
      <c r="E17" s="299"/>
      <c r="F17" s="299"/>
    </row>
    <row r="18" spans="3:6">
      <c r="C18" s="599"/>
      <c r="E18" s="299"/>
      <c r="F18" s="299"/>
    </row>
    <row r="19" spans="3:6">
      <c r="C19" s="599"/>
      <c r="E19" s="299"/>
      <c r="F19" s="299"/>
    </row>
    <row r="20" spans="3:6">
      <c r="C20" s="599"/>
      <c r="E20" s="299"/>
      <c r="F20" s="299"/>
    </row>
    <row r="21" spans="3:6">
      <c r="C21" s="599"/>
      <c r="E21" s="299"/>
      <c r="F21" s="299"/>
    </row>
    <row r="22" spans="3:6">
      <c r="C22" s="599"/>
      <c r="E22" s="299"/>
      <c r="F22" s="299"/>
    </row>
    <row r="23" spans="3:6">
      <c r="C23" s="599"/>
      <c r="E23" s="299"/>
      <c r="F23" s="299"/>
    </row>
    <row r="24" spans="3:6">
      <c r="C24" s="599"/>
      <c r="E24" s="299"/>
      <c r="F24" s="299"/>
    </row>
    <row r="25" spans="3:6">
      <c r="C25" s="599"/>
      <c r="E25" s="299"/>
      <c r="F25" s="299"/>
    </row>
    <row r="26" spans="3:6">
      <c r="C26" s="599"/>
      <c r="E26" s="299"/>
      <c r="F26" s="299"/>
    </row>
    <row r="27" spans="3:6">
      <c r="C27" s="599"/>
      <c r="E27" s="299"/>
      <c r="F27" s="299"/>
    </row>
    <row r="28" spans="3:6">
      <c r="C28" s="599"/>
      <c r="E28" s="299"/>
      <c r="F28" s="299"/>
    </row>
    <row r="29" spans="3:6">
      <c r="C29" s="599"/>
      <c r="E29" s="299"/>
      <c r="F29" s="299"/>
    </row>
    <row r="30" spans="3:6">
      <c r="C30" s="599"/>
      <c r="E30" s="299"/>
      <c r="F30" s="299"/>
    </row>
    <row r="31" spans="3:6">
      <c r="C31" s="599"/>
      <c r="E31" s="299"/>
      <c r="F31" s="299"/>
    </row>
    <row r="32" spans="3:6">
      <c r="C32" s="599"/>
      <c r="E32" s="299"/>
      <c r="F32" s="299"/>
    </row>
    <row r="33" spans="3:6">
      <c r="C33" s="599"/>
      <c r="E33" s="299"/>
      <c r="F33" s="299"/>
    </row>
    <row r="34" spans="3:6">
      <c r="C34" s="599"/>
      <c r="E34" s="299"/>
      <c r="F34" s="299"/>
    </row>
    <row r="35" spans="3:6">
      <c r="C35" s="599"/>
      <c r="E35" s="299"/>
      <c r="F35" s="299"/>
    </row>
    <row r="36" spans="3:6">
      <c r="C36" s="599"/>
      <c r="E36" s="299"/>
      <c r="F36" s="299"/>
    </row>
    <row r="37" spans="3:6">
      <c r="C37" s="599"/>
      <c r="E37" s="299"/>
      <c r="F37" s="299"/>
    </row>
    <row r="38" spans="3:6">
      <c r="C38" s="599"/>
      <c r="E38" s="299"/>
      <c r="F38" s="299"/>
    </row>
    <row r="39" spans="3:6">
      <c r="C39" s="599"/>
      <c r="E39" s="299"/>
      <c r="F39" s="299"/>
    </row>
    <row r="40" spans="3:6">
      <c r="C40" s="599"/>
      <c r="E40" s="299"/>
      <c r="F40" s="299"/>
    </row>
    <row r="41" spans="3:6">
      <c r="C41" s="599"/>
      <c r="E41" s="299"/>
      <c r="F41" s="299"/>
    </row>
    <row r="42" spans="3:6">
      <c r="C42" s="599"/>
      <c r="E42" s="299"/>
      <c r="F42" s="299"/>
    </row>
    <row r="43" spans="3:6">
      <c r="C43" s="599"/>
      <c r="E43" s="299"/>
      <c r="F43" s="299"/>
    </row>
    <row r="44" spans="3:6">
      <c r="C44" s="599"/>
      <c r="E44" s="299"/>
      <c r="F44" s="299"/>
    </row>
    <row r="45" spans="3:6">
      <c r="C45" s="599"/>
      <c r="E45" s="299"/>
      <c r="F45" s="299"/>
    </row>
    <row r="46" spans="3:6">
      <c r="C46" s="599"/>
      <c r="E46" s="299"/>
      <c r="F46" s="299"/>
    </row>
    <row r="47" spans="3:6">
      <c r="C47" s="599"/>
      <c r="E47" s="299"/>
      <c r="F47" s="299"/>
    </row>
    <row r="48" spans="3:6">
      <c r="C48" s="599"/>
      <c r="E48" s="299"/>
      <c r="F48" s="299"/>
    </row>
    <row r="49" spans="3:6">
      <c r="C49" s="599"/>
      <c r="E49" s="299"/>
      <c r="F49" s="299"/>
    </row>
    <row r="50" spans="3:6">
      <c r="C50" s="599"/>
      <c r="E50" s="299"/>
      <c r="F50" s="299"/>
    </row>
    <row r="51" spans="3:6">
      <c r="C51" s="599"/>
      <c r="E51" s="299"/>
      <c r="F51" s="299"/>
    </row>
    <row r="52" spans="3:6">
      <c r="C52" s="599"/>
      <c r="E52" s="299"/>
      <c r="F52" s="299"/>
    </row>
    <row r="53" spans="3:6">
      <c r="C53" s="599"/>
      <c r="E53" s="299"/>
      <c r="F53" s="299"/>
    </row>
    <row r="54" spans="3:6">
      <c r="C54" s="599"/>
      <c r="E54" s="299"/>
      <c r="F54" s="299"/>
    </row>
    <row r="55" spans="3:6">
      <c r="C55" s="599"/>
      <c r="E55" s="299"/>
      <c r="F55" s="299"/>
    </row>
    <row r="56" spans="3:6">
      <c r="C56" s="599"/>
      <c r="E56" s="299"/>
      <c r="F56" s="299"/>
    </row>
    <row r="57" spans="3:6">
      <c r="C57" s="599"/>
      <c r="E57" s="299"/>
      <c r="F57" s="299"/>
    </row>
    <row r="58" spans="3:6">
      <c r="C58" s="599"/>
      <c r="E58" s="299"/>
      <c r="F58" s="299"/>
    </row>
    <row r="59" spans="3:6">
      <c r="C59" s="599"/>
      <c r="E59" s="299"/>
      <c r="F59" s="299"/>
    </row>
    <row r="60" spans="3:6">
      <c r="C60" s="599"/>
      <c r="E60" s="299"/>
      <c r="F60" s="299"/>
    </row>
    <row r="61" spans="3:6">
      <c r="C61" s="599"/>
      <c r="E61" s="299"/>
      <c r="F61" s="299"/>
    </row>
    <row r="62" spans="3:6">
      <c r="C62" s="599"/>
      <c r="E62" s="299"/>
      <c r="F62" s="299"/>
    </row>
    <row r="63" spans="3:6">
      <c r="C63" s="599"/>
      <c r="E63" s="299"/>
      <c r="F63" s="299"/>
    </row>
    <row r="64" spans="3:6">
      <c r="E64" s="299"/>
      <c r="F64" s="299"/>
    </row>
    <row r="65" spans="5:6">
      <c r="E65" s="299"/>
      <c r="F65" s="299"/>
    </row>
    <row r="66" spans="5:6">
      <c r="E66" s="299"/>
      <c r="F66" s="299"/>
    </row>
    <row r="67" spans="5:6">
      <c r="E67" s="299"/>
      <c r="F67" s="299"/>
    </row>
    <row r="68" spans="5:6">
      <c r="E68" s="299"/>
      <c r="F68" s="299"/>
    </row>
    <row r="69" spans="5:6">
      <c r="E69" s="299"/>
      <c r="F69" s="299"/>
    </row>
    <row r="70" spans="5:6">
      <c r="E70" s="299"/>
      <c r="F70" s="299"/>
    </row>
    <row r="71" spans="5:6">
      <c r="E71" s="299"/>
      <c r="F71" s="299"/>
    </row>
    <row r="72" spans="5:6">
      <c r="E72" s="299"/>
      <c r="F72" s="299"/>
    </row>
    <row r="73" spans="5:6">
      <c r="E73" s="299"/>
      <c r="F73" s="299"/>
    </row>
    <row r="74" spans="5:6">
      <c r="E74" s="299"/>
      <c r="F74" s="299"/>
    </row>
    <row r="75" spans="5:6">
      <c r="E75" s="299"/>
      <c r="F75" s="299"/>
    </row>
    <row r="76" spans="5:6">
      <c r="E76" s="299"/>
      <c r="F76" s="299"/>
    </row>
    <row r="77" spans="5:6">
      <c r="E77" s="299"/>
      <c r="F77" s="299"/>
    </row>
    <row r="78" spans="5:6">
      <c r="E78" s="299"/>
      <c r="F78" s="299"/>
    </row>
    <row r="79" spans="5:6">
      <c r="E79" s="299"/>
      <c r="F79" s="299"/>
    </row>
    <row r="80" spans="5:6">
      <c r="E80" s="299"/>
      <c r="F80" s="299"/>
    </row>
    <row r="81" spans="5:6">
      <c r="E81" s="299"/>
      <c r="F81" s="299"/>
    </row>
    <row r="82" spans="5:6">
      <c r="E82" s="299"/>
      <c r="F82" s="299"/>
    </row>
    <row r="83" spans="5:6">
      <c r="E83" s="299"/>
      <c r="F83" s="299"/>
    </row>
    <row r="84" spans="5:6">
      <c r="E84" s="299"/>
      <c r="F84" s="299"/>
    </row>
    <row r="85" spans="5:6">
      <c r="E85" s="299"/>
      <c r="F85" s="299"/>
    </row>
    <row r="86" spans="5:6">
      <c r="E86" s="299"/>
      <c r="F86" s="299"/>
    </row>
    <row r="87" spans="5:6">
      <c r="E87" s="299"/>
      <c r="F87" s="299"/>
    </row>
    <row r="88" spans="5:6">
      <c r="E88" s="299"/>
      <c r="F88" s="299"/>
    </row>
    <row r="89" spans="5:6">
      <c r="E89" s="299"/>
      <c r="F89" s="299"/>
    </row>
    <row r="90" spans="5:6">
      <c r="E90" s="299"/>
      <c r="F90" s="299"/>
    </row>
    <row r="91" spans="5:6">
      <c r="E91" s="299"/>
      <c r="F91" s="299"/>
    </row>
    <row r="92" spans="5:6">
      <c r="E92" s="299"/>
      <c r="F92" s="299"/>
    </row>
    <row r="93" spans="5:6">
      <c r="E93" s="299"/>
      <c r="F93" s="299"/>
    </row>
    <row r="94" spans="5:6">
      <c r="E94" s="299"/>
      <c r="F94" s="299"/>
    </row>
    <row r="95" spans="5:6">
      <c r="E95" s="299"/>
      <c r="F95" s="299"/>
    </row>
    <row r="96" spans="5:6">
      <c r="E96" s="299"/>
      <c r="F96" s="299"/>
    </row>
    <row r="97" spans="5:6">
      <c r="E97" s="299"/>
      <c r="F97" s="299"/>
    </row>
    <row r="98" spans="5:6">
      <c r="E98" s="299"/>
      <c r="F98" s="299"/>
    </row>
    <row r="99" spans="5:6">
      <c r="E99" s="299"/>
      <c r="F99" s="299"/>
    </row>
    <row r="100" spans="5:6">
      <c r="E100" s="299"/>
      <c r="F100" s="299"/>
    </row>
    <row r="101" spans="5:6">
      <c r="E101" s="299"/>
      <c r="F101" s="299"/>
    </row>
    <row r="102" spans="5:6">
      <c r="E102" s="299"/>
      <c r="F102" s="299"/>
    </row>
    <row r="103" spans="5:6">
      <c r="E103" s="299"/>
      <c r="F103" s="299"/>
    </row>
    <row r="104" spans="5:6">
      <c r="E104" s="299"/>
      <c r="F104" s="299"/>
    </row>
    <row r="105" spans="5:6">
      <c r="E105" s="299"/>
      <c r="F105" s="299"/>
    </row>
    <row r="106" spans="5:6">
      <c r="E106" s="299"/>
      <c r="F106" s="299"/>
    </row>
    <row r="107" spans="5:6">
      <c r="E107" s="299"/>
      <c r="F107" s="299"/>
    </row>
    <row r="108" spans="5:6">
      <c r="E108" s="299"/>
      <c r="F108" s="299"/>
    </row>
    <row r="109" spans="5:6">
      <c r="E109" s="299"/>
      <c r="F109" s="299"/>
    </row>
    <row r="110" spans="5:6">
      <c r="E110" s="299"/>
      <c r="F110" s="299"/>
    </row>
    <row r="111" spans="5:6">
      <c r="E111" s="299"/>
      <c r="F111" s="299"/>
    </row>
    <row r="112" spans="5:6">
      <c r="E112" s="299"/>
      <c r="F112" s="299"/>
    </row>
    <row r="113" spans="5:6">
      <c r="E113" s="299"/>
      <c r="F113" s="299"/>
    </row>
    <row r="114" spans="5:6">
      <c r="E114" s="299"/>
      <c r="F114" s="299"/>
    </row>
    <row r="115" spans="5:6">
      <c r="E115" s="299"/>
      <c r="F115" s="299"/>
    </row>
    <row r="116" spans="5:6">
      <c r="E116" s="299"/>
      <c r="F116" s="299"/>
    </row>
    <row r="117" spans="5:6">
      <c r="E117" s="299"/>
      <c r="F117" s="299"/>
    </row>
    <row r="118" spans="5:6">
      <c r="E118" s="299"/>
      <c r="F118" s="299"/>
    </row>
    <row r="119" spans="5:6">
      <c r="E119" s="299"/>
      <c r="F119" s="299"/>
    </row>
    <row r="120" spans="5:6">
      <c r="E120" s="299"/>
      <c r="F120" s="299"/>
    </row>
    <row r="121" spans="5:6">
      <c r="E121" s="299"/>
      <c r="F121" s="299"/>
    </row>
    <row r="122" spans="5:6">
      <c r="E122" s="299"/>
      <c r="F122" s="299"/>
    </row>
    <row r="123" spans="5:6">
      <c r="E123" s="299"/>
      <c r="F123" s="299"/>
    </row>
    <row r="124" spans="5:6">
      <c r="E124" s="299"/>
      <c r="F124" s="299"/>
    </row>
    <row r="125" spans="5:6">
      <c r="E125" s="299"/>
      <c r="F125" s="299"/>
    </row>
    <row r="126" spans="5:6">
      <c r="E126" s="299"/>
      <c r="F126" s="299"/>
    </row>
    <row r="127" spans="5:6">
      <c r="E127" s="299"/>
      <c r="F127" s="299"/>
    </row>
    <row r="128" spans="5:6">
      <c r="E128" s="299"/>
      <c r="F128" s="299"/>
    </row>
    <row r="129" spans="5:6">
      <c r="E129" s="299"/>
      <c r="F129" s="299"/>
    </row>
    <row r="130" spans="5:6">
      <c r="E130" s="299"/>
      <c r="F130" s="299"/>
    </row>
    <row r="131" spans="5:6">
      <c r="E131" s="299"/>
      <c r="F131" s="299"/>
    </row>
    <row r="132" spans="5:6">
      <c r="E132" s="299"/>
      <c r="F132" s="299"/>
    </row>
    <row r="133" spans="5:6">
      <c r="E133" s="299"/>
      <c r="F133" s="299"/>
    </row>
    <row r="134" spans="5:6">
      <c r="E134" s="299"/>
      <c r="F134" s="299"/>
    </row>
    <row r="135" spans="5:6">
      <c r="E135" s="299"/>
      <c r="F135" s="299"/>
    </row>
    <row r="136" spans="5:6">
      <c r="E136" s="299"/>
      <c r="F136" s="299"/>
    </row>
    <row r="137" spans="5:6">
      <c r="E137" s="299"/>
      <c r="F137" s="299"/>
    </row>
    <row r="138" spans="5:6">
      <c r="E138" s="299"/>
      <c r="F138" s="299"/>
    </row>
    <row r="139" spans="5:6">
      <c r="E139" s="299"/>
      <c r="F139" s="299"/>
    </row>
    <row r="140" spans="5:6">
      <c r="E140" s="299"/>
      <c r="F140" s="299"/>
    </row>
    <row r="141" spans="5:6">
      <c r="E141" s="299"/>
      <c r="F141" s="299"/>
    </row>
    <row r="142" spans="5:6">
      <c r="E142" s="299"/>
      <c r="F142" s="299"/>
    </row>
    <row r="143" spans="5:6">
      <c r="E143" s="299"/>
      <c r="F143" s="299"/>
    </row>
    <row r="144" spans="5:6">
      <c r="E144" s="299"/>
      <c r="F144" s="299"/>
    </row>
    <row r="145" spans="5:6">
      <c r="E145" s="299"/>
      <c r="F145" s="299"/>
    </row>
    <row r="146" spans="5:6">
      <c r="E146" s="299"/>
      <c r="F146" s="299"/>
    </row>
    <row r="147" spans="5:6">
      <c r="E147" s="299"/>
      <c r="F147" s="299"/>
    </row>
    <row r="148" spans="5:6">
      <c r="E148" s="299"/>
      <c r="F148" s="299"/>
    </row>
    <row r="149" spans="5:6">
      <c r="E149" s="299"/>
      <c r="F149" s="299"/>
    </row>
    <row r="150" spans="5:6">
      <c r="E150" s="299"/>
      <c r="F150" s="299"/>
    </row>
    <row r="151" spans="5:6">
      <c r="E151" s="299"/>
      <c r="F151" s="299"/>
    </row>
    <row r="152" spans="5:6">
      <c r="E152" s="299"/>
      <c r="F152" s="299"/>
    </row>
    <row r="153" spans="5:6">
      <c r="E153" s="299"/>
      <c r="F153" s="299"/>
    </row>
    <row r="154" spans="5:6">
      <c r="E154" s="299"/>
      <c r="F154" s="299"/>
    </row>
    <row r="155" spans="5:6">
      <c r="E155" s="299"/>
      <c r="F155" s="299"/>
    </row>
    <row r="156" spans="5:6">
      <c r="E156" s="299"/>
      <c r="F156" s="299"/>
    </row>
  </sheetData>
  <pageMargins left="0.70866141732283472" right="0.51181102362204722" top="1.4173228346456694" bottom="0.62992125984251968" header="0.31496062992125984" footer="0.31496062992125984"/>
  <pageSetup paperSize="9" scale="95" orientation="portrait" r:id="rId1"/>
  <headerFooter>
    <oddHeader>&amp;R&amp;7Informe de la Operación Mensual-Julio 2019
INFSGI-MES-07-2019
08/08/2019
Versión: 011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77A5"/>
  </sheetPr>
  <dimension ref="A1:I132"/>
  <sheetViews>
    <sheetView showGridLines="0" view="pageBreakPreview" topLeftCell="A7" zoomScale="145" zoomScaleNormal="100" zoomScaleSheetLayoutView="145" zoomScalePageLayoutView="145" workbookViewId="0">
      <selection activeCell="U69" sqref="T69:U69"/>
    </sheetView>
  </sheetViews>
  <sheetFormatPr defaultColWidth="9.33203125" defaultRowHeight="9"/>
  <cols>
    <col min="1" max="1" width="16.1640625" style="292" customWidth="1"/>
    <col min="2" max="2" width="19.6640625" style="292" customWidth="1"/>
    <col min="3" max="3" width="12.5" style="292" bestFit="1" customWidth="1"/>
    <col min="4" max="4" width="47.1640625" style="292" customWidth="1"/>
    <col min="5" max="5" width="11.5" style="292" customWidth="1"/>
    <col min="6" max="6" width="10.5" style="292" customWidth="1"/>
    <col min="7" max="8" width="9.33203125" style="292" customWidth="1"/>
    <col min="9" max="16384" width="9.33203125" style="292"/>
  </cols>
  <sheetData>
    <row r="1" spans="1:9" ht="30" customHeight="1">
      <c r="A1" s="559" t="s">
        <v>264</v>
      </c>
      <c r="B1" s="560" t="s">
        <v>426</v>
      </c>
      <c r="C1" s="559" t="s">
        <v>415</v>
      </c>
      <c r="D1" s="561" t="s">
        <v>427</v>
      </c>
      <c r="E1" s="562" t="s">
        <v>428</v>
      </c>
      <c r="F1" s="562" t="s">
        <v>429</v>
      </c>
      <c r="G1" s="283"/>
      <c r="H1" s="293"/>
      <c r="I1" s="281"/>
    </row>
    <row r="2" spans="1:9" ht="76.5" customHeight="1">
      <c r="A2" s="300" t="s">
        <v>640</v>
      </c>
      <c r="B2" s="300" t="s">
        <v>641</v>
      </c>
      <c r="C2" s="301">
        <v>43653.186111111114</v>
      </c>
      <c r="D2" s="394" t="s">
        <v>642</v>
      </c>
      <c r="E2" s="302"/>
      <c r="F2" s="302" t="s">
        <v>663</v>
      </c>
      <c r="G2" s="282"/>
      <c r="H2" s="282"/>
      <c r="I2" s="296"/>
    </row>
    <row r="3" spans="1:9" ht="76.5" customHeight="1">
      <c r="A3" s="300" t="s">
        <v>539</v>
      </c>
      <c r="B3" s="300" t="s">
        <v>643</v>
      </c>
      <c r="C3" s="301">
        <v>43654.303472222222</v>
      </c>
      <c r="D3" s="394" t="s">
        <v>644</v>
      </c>
      <c r="E3" s="302" t="s">
        <v>664</v>
      </c>
      <c r="F3" s="302"/>
      <c r="G3" s="282"/>
      <c r="H3" s="282"/>
      <c r="I3" s="296"/>
    </row>
    <row r="4" spans="1:9" ht="78.75" customHeight="1">
      <c r="A4" s="300" t="s">
        <v>494</v>
      </c>
      <c r="B4" s="300" t="s">
        <v>594</v>
      </c>
      <c r="C4" s="301">
        <v>43655.28125</v>
      </c>
      <c r="D4" s="394" t="s">
        <v>645</v>
      </c>
      <c r="E4" s="302"/>
      <c r="F4" s="302" t="s">
        <v>665</v>
      </c>
      <c r="G4" s="282"/>
      <c r="H4" s="282"/>
      <c r="I4" s="296"/>
    </row>
    <row r="5" spans="1:9" ht="70.5" customHeight="1">
      <c r="A5" s="300" t="s">
        <v>646</v>
      </c>
      <c r="B5" s="300" t="s">
        <v>647</v>
      </c>
      <c r="C5" s="301">
        <v>43655.64166666667</v>
      </c>
      <c r="D5" s="394" t="s">
        <v>648</v>
      </c>
      <c r="E5" s="302" t="s">
        <v>666</v>
      </c>
      <c r="F5" s="302"/>
      <c r="G5" s="282"/>
      <c r="H5" s="282"/>
      <c r="I5" s="297"/>
    </row>
    <row r="6" spans="1:9" ht="87" customHeight="1">
      <c r="A6" s="300" t="s">
        <v>102</v>
      </c>
      <c r="B6" s="300" t="s">
        <v>592</v>
      </c>
      <c r="C6" s="301">
        <v>43655.884027777778</v>
      </c>
      <c r="D6" s="394" t="s">
        <v>649</v>
      </c>
      <c r="E6" s="302" t="s">
        <v>667</v>
      </c>
      <c r="F6" s="302"/>
      <c r="G6" s="282"/>
      <c r="H6" s="282"/>
      <c r="I6" s="296"/>
    </row>
    <row r="7" spans="1:9" ht="94.5" customHeight="1">
      <c r="A7" s="300" t="s">
        <v>650</v>
      </c>
      <c r="B7" s="300" t="s">
        <v>651</v>
      </c>
      <c r="C7" s="301">
        <v>43656.943055555559</v>
      </c>
      <c r="D7" s="394" t="s">
        <v>652</v>
      </c>
      <c r="E7" s="302" t="s">
        <v>668</v>
      </c>
      <c r="F7" s="302"/>
      <c r="G7" s="282"/>
      <c r="H7" s="282"/>
      <c r="I7" s="296"/>
    </row>
    <row r="8" spans="1:9" ht="71.25" customHeight="1">
      <c r="A8" s="300" t="s">
        <v>653</v>
      </c>
      <c r="B8" s="300" t="s">
        <v>654</v>
      </c>
      <c r="C8" s="301">
        <v>43657.365972222222</v>
      </c>
      <c r="D8" s="394" t="s">
        <v>655</v>
      </c>
      <c r="E8" s="302" t="s">
        <v>669</v>
      </c>
      <c r="F8" s="302"/>
      <c r="G8" s="282"/>
      <c r="H8" s="282"/>
      <c r="I8" s="296"/>
    </row>
    <row r="9" spans="1:9" ht="51" customHeight="1">
      <c r="A9" s="300" t="s">
        <v>656</v>
      </c>
      <c r="B9" s="300" t="s">
        <v>657</v>
      </c>
      <c r="C9" s="301">
        <v>43657.654861111114</v>
      </c>
      <c r="D9" s="394" t="s">
        <v>658</v>
      </c>
      <c r="E9" s="302"/>
      <c r="F9" s="302">
        <v>70</v>
      </c>
    </row>
    <row r="10" spans="1:9" ht="57.75" customHeight="1">
      <c r="A10" s="300" t="s">
        <v>432</v>
      </c>
      <c r="B10" s="300" t="s">
        <v>659</v>
      </c>
      <c r="C10" s="301">
        <v>43658.675000000003</v>
      </c>
      <c r="D10" s="394" t="s">
        <v>660</v>
      </c>
      <c r="E10" s="302">
        <v>21</v>
      </c>
      <c r="F10" s="302"/>
    </row>
    <row r="11" spans="1:9" ht="37.5" customHeight="1">
      <c r="A11" s="300" t="s">
        <v>430</v>
      </c>
      <c r="B11" s="300" t="s">
        <v>661</v>
      </c>
      <c r="C11" s="301">
        <v>43664.710416666669</v>
      </c>
      <c r="D11" s="394" t="s">
        <v>662</v>
      </c>
      <c r="E11" s="302" t="s">
        <v>639</v>
      </c>
      <c r="F11" s="302"/>
    </row>
    <row r="12" spans="1:9">
      <c r="E12" s="299"/>
      <c r="F12" s="299"/>
    </row>
    <row r="13" spans="1:9">
      <c r="E13" s="299"/>
      <c r="F13" s="299"/>
    </row>
    <row r="14" spans="1:9">
      <c r="E14" s="299"/>
      <c r="F14" s="299"/>
    </row>
    <row r="15" spans="1:9">
      <c r="E15" s="299"/>
      <c r="F15" s="299"/>
    </row>
    <row r="16" spans="1:9">
      <c r="E16" s="299"/>
      <c r="F16" s="299"/>
    </row>
    <row r="17" spans="5:6">
      <c r="E17" s="299"/>
      <c r="F17" s="299"/>
    </row>
    <row r="18" spans="5:6">
      <c r="E18" s="299"/>
      <c r="F18" s="299"/>
    </row>
    <row r="19" spans="5:6">
      <c r="E19" s="299"/>
      <c r="F19" s="299"/>
    </row>
    <row r="20" spans="5:6">
      <c r="E20" s="299"/>
      <c r="F20" s="299"/>
    </row>
    <row r="21" spans="5:6">
      <c r="E21" s="299"/>
      <c r="F21" s="299"/>
    </row>
    <row r="22" spans="5:6">
      <c r="E22" s="299"/>
      <c r="F22" s="299"/>
    </row>
    <row r="23" spans="5:6">
      <c r="E23" s="299"/>
      <c r="F23" s="299"/>
    </row>
    <row r="24" spans="5:6">
      <c r="E24" s="299"/>
      <c r="F24" s="299"/>
    </row>
    <row r="25" spans="5:6">
      <c r="E25" s="299"/>
      <c r="F25" s="299"/>
    </row>
    <row r="26" spans="5:6">
      <c r="E26" s="299"/>
      <c r="F26" s="299"/>
    </row>
    <row r="27" spans="5:6">
      <c r="E27" s="299"/>
      <c r="F27" s="299"/>
    </row>
    <row r="28" spans="5:6">
      <c r="E28" s="299"/>
      <c r="F28" s="299"/>
    </row>
    <row r="29" spans="5:6">
      <c r="E29" s="299"/>
      <c r="F29" s="299"/>
    </row>
    <row r="30" spans="5:6">
      <c r="E30" s="299"/>
      <c r="F30" s="299"/>
    </row>
    <row r="31" spans="5:6">
      <c r="E31" s="299"/>
      <c r="F31" s="299"/>
    </row>
    <row r="32" spans="5:6">
      <c r="E32" s="299"/>
      <c r="F32" s="299"/>
    </row>
    <row r="33" spans="5:6">
      <c r="E33" s="299"/>
      <c r="F33" s="299"/>
    </row>
    <row r="34" spans="5:6">
      <c r="E34" s="299"/>
      <c r="F34" s="299"/>
    </row>
    <row r="35" spans="5:6">
      <c r="E35" s="299"/>
      <c r="F35" s="299"/>
    </row>
    <row r="36" spans="5:6">
      <c r="E36" s="299"/>
      <c r="F36" s="299"/>
    </row>
    <row r="37" spans="5:6">
      <c r="E37" s="299"/>
      <c r="F37" s="299"/>
    </row>
    <row r="38" spans="5:6">
      <c r="E38" s="299"/>
      <c r="F38" s="299"/>
    </row>
    <row r="39" spans="5:6">
      <c r="E39" s="299"/>
      <c r="F39" s="299"/>
    </row>
    <row r="40" spans="5:6">
      <c r="E40" s="299"/>
      <c r="F40" s="299"/>
    </row>
    <row r="41" spans="5:6">
      <c r="E41" s="299"/>
      <c r="F41" s="299"/>
    </row>
    <row r="42" spans="5:6">
      <c r="E42" s="299"/>
      <c r="F42" s="299"/>
    </row>
    <row r="43" spans="5:6">
      <c r="E43" s="299"/>
      <c r="F43" s="299"/>
    </row>
    <row r="44" spans="5:6">
      <c r="E44" s="299"/>
      <c r="F44" s="299"/>
    </row>
    <row r="45" spans="5:6">
      <c r="E45" s="299"/>
      <c r="F45" s="299"/>
    </row>
    <row r="46" spans="5:6">
      <c r="E46" s="299"/>
      <c r="F46" s="299"/>
    </row>
    <row r="47" spans="5:6">
      <c r="E47" s="299"/>
      <c r="F47" s="299"/>
    </row>
    <row r="48" spans="5:6">
      <c r="E48" s="299"/>
      <c r="F48" s="299"/>
    </row>
    <row r="49" spans="5:6">
      <c r="E49" s="299"/>
      <c r="F49" s="299"/>
    </row>
    <row r="50" spans="5:6">
      <c r="E50" s="299"/>
      <c r="F50" s="299"/>
    </row>
    <row r="51" spans="5:6">
      <c r="E51" s="299"/>
      <c r="F51" s="299"/>
    </row>
    <row r="52" spans="5:6">
      <c r="E52" s="299"/>
      <c r="F52" s="299"/>
    </row>
    <row r="53" spans="5:6">
      <c r="E53" s="299"/>
      <c r="F53" s="299"/>
    </row>
    <row r="54" spans="5:6">
      <c r="E54" s="299"/>
      <c r="F54" s="299"/>
    </row>
    <row r="55" spans="5:6">
      <c r="E55" s="299"/>
      <c r="F55" s="299"/>
    </row>
    <row r="56" spans="5:6">
      <c r="E56" s="299"/>
      <c r="F56" s="299"/>
    </row>
    <row r="57" spans="5:6">
      <c r="E57" s="299"/>
      <c r="F57" s="299"/>
    </row>
    <row r="58" spans="5:6">
      <c r="E58" s="299"/>
      <c r="F58" s="299"/>
    </row>
    <row r="59" spans="5:6">
      <c r="E59" s="299"/>
      <c r="F59" s="299"/>
    </row>
    <row r="60" spans="5:6">
      <c r="E60" s="299"/>
      <c r="F60" s="299"/>
    </row>
    <row r="61" spans="5:6">
      <c r="E61" s="299"/>
      <c r="F61" s="299"/>
    </row>
    <row r="62" spans="5:6">
      <c r="E62" s="299"/>
      <c r="F62" s="299"/>
    </row>
    <row r="63" spans="5:6">
      <c r="E63" s="299"/>
      <c r="F63" s="299"/>
    </row>
    <row r="64" spans="5:6">
      <c r="E64" s="299"/>
      <c r="F64" s="299"/>
    </row>
    <row r="65" spans="5:6">
      <c r="E65" s="299"/>
      <c r="F65" s="299"/>
    </row>
    <row r="66" spans="5:6">
      <c r="E66" s="299"/>
      <c r="F66" s="299"/>
    </row>
    <row r="67" spans="5:6">
      <c r="E67" s="299"/>
      <c r="F67" s="299"/>
    </row>
    <row r="68" spans="5:6">
      <c r="E68" s="299"/>
      <c r="F68" s="299"/>
    </row>
    <row r="69" spans="5:6">
      <c r="E69" s="299"/>
      <c r="F69" s="299"/>
    </row>
    <row r="70" spans="5:6">
      <c r="E70" s="299"/>
      <c r="F70" s="299"/>
    </row>
    <row r="71" spans="5:6">
      <c r="E71" s="299"/>
      <c r="F71" s="299"/>
    </row>
    <row r="72" spans="5:6">
      <c r="E72" s="299"/>
      <c r="F72" s="299"/>
    </row>
    <row r="73" spans="5:6">
      <c r="E73" s="299"/>
      <c r="F73" s="299"/>
    </row>
    <row r="74" spans="5:6">
      <c r="E74" s="299"/>
      <c r="F74" s="299"/>
    </row>
    <row r="75" spans="5:6">
      <c r="E75" s="299"/>
      <c r="F75" s="299"/>
    </row>
    <row r="76" spans="5:6">
      <c r="E76" s="299"/>
      <c r="F76" s="299"/>
    </row>
    <row r="77" spans="5:6">
      <c r="E77" s="299"/>
      <c r="F77" s="299"/>
    </row>
    <row r="78" spans="5:6">
      <c r="E78" s="299"/>
      <c r="F78" s="299"/>
    </row>
    <row r="79" spans="5:6">
      <c r="E79" s="299"/>
      <c r="F79" s="299"/>
    </row>
    <row r="80" spans="5:6">
      <c r="E80" s="299"/>
      <c r="F80" s="299"/>
    </row>
    <row r="81" spans="5:6">
      <c r="E81" s="299"/>
      <c r="F81" s="299"/>
    </row>
    <row r="82" spans="5:6">
      <c r="E82" s="299"/>
      <c r="F82" s="299"/>
    </row>
    <row r="83" spans="5:6">
      <c r="E83" s="299"/>
      <c r="F83" s="299"/>
    </row>
    <row r="84" spans="5:6">
      <c r="E84" s="299"/>
      <c r="F84" s="299"/>
    </row>
    <row r="85" spans="5:6">
      <c r="E85" s="299"/>
      <c r="F85" s="299"/>
    </row>
    <row r="86" spans="5:6">
      <c r="E86" s="299"/>
      <c r="F86" s="299"/>
    </row>
    <row r="87" spans="5:6">
      <c r="E87" s="299"/>
      <c r="F87" s="299"/>
    </row>
    <row r="88" spans="5:6">
      <c r="E88" s="299"/>
      <c r="F88" s="299"/>
    </row>
    <row r="89" spans="5:6">
      <c r="E89" s="299"/>
      <c r="F89" s="299"/>
    </row>
    <row r="90" spans="5:6">
      <c r="E90" s="299"/>
      <c r="F90" s="299"/>
    </row>
    <row r="91" spans="5:6">
      <c r="E91" s="299"/>
      <c r="F91" s="299"/>
    </row>
    <row r="92" spans="5:6">
      <c r="E92" s="299"/>
      <c r="F92" s="299"/>
    </row>
    <row r="93" spans="5:6">
      <c r="E93" s="299"/>
      <c r="F93" s="299"/>
    </row>
    <row r="94" spans="5:6">
      <c r="E94" s="299"/>
      <c r="F94" s="299"/>
    </row>
    <row r="95" spans="5:6">
      <c r="E95" s="299"/>
      <c r="F95" s="299"/>
    </row>
    <row r="96" spans="5:6">
      <c r="E96" s="299"/>
      <c r="F96" s="299"/>
    </row>
    <row r="97" spans="5:6">
      <c r="E97" s="299"/>
      <c r="F97" s="299"/>
    </row>
    <row r="98" spans="5:6">
      <c r="E98" s="299"/>
      <c r="F98" s="299"/>
    </row>
    <row r="99" spans="5:6">
      <c r="E99" s="299"/>
      <c r="F99" s="299"/>
    </row>
    <row r="100" spans="5:6">
      <c r="E100" s="299"/>
      <c r="F100" s="299"/>
    </row>
    <row r="101" spans="5:6">
      <c r="E101" s="299"/>
      <c r="F101" s="299"/>
    </row>
    <row r="102" spans="5:6">
      <c r="E102" s="299"/>
      <c r="F102" s="299"/>
    </row>
    <row r="103" spans="5:6">
      <c r="E103" s="299"/>
      <c r="F103" s="299"/>
    </row>
    <row r="104" spans="5:6">
      <c r="E104" s="299"/>
      <c r="F104" s="299"/>
    </row>
    <row r="105" spans="5:6">
      <c r="E105" s="299"/>
      <c r="F105" s="299"/>
    </row>
    <row r="106" spans="5:6">
      <c r="E106" s="299"/>
      <c r="F106" s="299"/>
    </row>
    <row r="107" spans="5:6">
      <c r="E107" s="299"/>
      <c r="F107" s="299"/>
    </row>
    <row r="108" spans="5:6">
      <c r="E108" s="299"/>
      <c r="F108" s="299"/>
    </row>
    <row r="109" spans="5:6">
      <c r="E109" s="299"/>
      <c r="F109" s="299"/>
    </row>
    <row r="110" spans="5:6">
      <c r="E110" s="299"/>
      <c r="F110" s="299"/>
    </row>
    <row r="111" spans="5:6">
      <c r="E111" s="299"/>
      <c r="F111" s="299"/>
    </row>
    <row r="112" spans="5:6">
      <c r="E112" s="299"/>
      <c r="F112" s="299"/>
    </row>
    <row r="113" spans="5:6">
      <c r="E113" s="299"/>
      <c r="F113" s="299"/>
    </row>
    <row r="114" spans="5:6">
      <c r="E114" s="299"/>
      <c r="F114" s="299"/>
    </row>
    <row r="115" spans="5:6">
      <c r="E115" s="299"/>
      <c r="F115" s="299"/>
    </row>
    <row r="116" spans="5:6">
      <c r="E116" s="299"/>
      <c r="F116" s="299"/>
    </row>
    <row r="117" spans="5:6">
      <c r="E117" s="299"/>
      <c r="F117" s="299"/>
    </row>
    <row r="118" spans="5:6">
      <c r="E118" s="299"/>
      <c r="F118" s="299"/>
    </row>
    <row r="119" spans="5:6">
      <c r="E119" s="299"/>
      <c r="F119" s="299"/>
    </row>
    <row r="120" spans="5:6">
      <c r="E120" s="299"/>
      <c r="F120" s="299"/>
    </row>
    <row r="121" spans="5:6">
      <c r="E121" s="299"/>
      <c r="F121" s="299"/>
    </row>
    <row r="122" spans="5:6">
      <c r="E122" s="299"/>
      <c r="F122" s="299"/>
    </row>
    <row r="123" spans="5:6">
      <c r="E123" s="299"/>
      <c r="F123" s="299"/>
    </row>
    <row r="124" spans="5:6">
      <c r="E124" s="299"/>
      <c r="F124" s="299"/>
    </row>
    <row r="125" spans="5:6">
      <c r="E125" s="299"/>
      <c r="F125" s="299"/>
    </row>
    <row r="126" spans="5:6">
      <c r="E126" s="299"/>
      <c r="F126" s="299"/>
    </row>
    <row r="127" spans="5:6">
      <c r="E127" s="299"/>
      <c r="F127" s="299"/>
    </row>
    <row r="128" spans="5:6">
      <c r="E128" s="299"/>
      <c r="F128" s="299"/>
    </row>
    <row r="129" spans="5:6">
      <c r="E129" s="299"/>
      <c r="F129" s="299"/>
    </row>
    <row r="130" spans="5:6">
      <c r="E130" s="299"/>
      <c r="F130" s="299"/>
    </row>
    <row r="131" spans="5:6">
      <c r="E131" s="299"/>
      <c r="F131" s="299"/>
    </row>
    <row r="132" spans="5:6">
      <c r="E132" s="299"/>
      <c r="F132" s="299"/>
    </row>
  </sheetData>
  <pageMargins left="0.70866141732283472" right="0.5118110236220472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77A5"/>
  </sheetPr>
  <dimension ref="A1:I111"/>
  <sheetViews>
    <sheetView showGridLines="0" view="pageBreakPreview" zoomScale="145" zoomScaleNormal="100" zoomScaleSheetLayoutView="145" zoomScalePageLayoutView="145" workbookViewId="0">
      <selection activeCell="U69" sqref="T69:U69"/>
    </sheetView>
  </sheetViews>
  <sheetFormatPr defaultColWidth="9.33203125" defaultRowHeight="9"/>
  <cols>
    <col min="1" max="1" width="16.1640625" style="292" customWidth="1"/>
    <col min="2" max="2" width="19.6640625" style="292" customWidth="1"/>
    <col min="3" max="3" width="12.1640625" style="292" bestFit="1" customWidth="1"/>
    <col min="4" max="4" width="47.1640625" style="292" customWidth="1"/>
    <col min="5" max="5" width="11.5" style="292" customWidth="1"/>
    <col min="6" max="6" width="10.5" style="292" customWidth="1"/>
    <col min="7" max="8" width="9.33203125" style="292" customWidth="1"/>
    <col min="9" max="16384" width="9.33203125" style="292"/>
  </cols>
  <sheetData>
    <row r="1" spans="1:9" ht="30" customHeight="1">
      <c r="A1" s="559" t="s">
        <v>264</v>
      </c>
      <c r="B1" s="560" t="s">
        <v>426</v>
      </c>
      <c r="C1" s="559" t="s">
        <v>415</v>
      </c>
      <c r="D1" s="561" t="s">
        <v>427</v>
      </c>
      <c r="E1" s="562" t="s">
        <v>428</v>
      </c>
      <c r="F1" s="562" t="s">
        <v>429</v>
      </c>
      <c r="G1" s="283"/>
      <c r="H1" s="293"/>
      <c r="I1" s="281"/>
    </row>
    <row r="2" spans="1:9" ht="62.25" customHeight="1">
      <c r="A2" s="300" t="s">
        <v>431</v>
      </c>
      <c r="B2" s="300" t="s">
        <v>567</v>
      </c>
      <c r="C2" s="301">
        <v>43665.038194444445</v>
      </c>
      <c r="D2" s="394" t="s">
        <v>670</v>
      </c>
      <c r="E2" s="302" t="s">
        <v>681</v>
      </c>
      <c r="F2" s="302"/>
      <c r="G2" s="282"/>
      <c r="H2" s="282"/>
      <c r="I2" s="296"/>
    </row>
    <row r="3" spans="1:9" ht="85.5" customHeight="1">
      <c r="A3" s="300" t="s">
        <v>671</v>
      </c>
      <c r="B3" s="300" t="s">
        <v>672</v>
      </c>
      <c r="C3" s="301">
        <v>43668.145833333336</v>
      </c>
      <c r="D3" s="394" t="s">
        <v>673</v>
      </c>
      <c r="E3" s="302" t="s">
        <v>682</v>
      </c>
      <c r="F3" s="302"/>
      <c r="G3" s="282"/>
      <c r="H3" s="282"/>
      <c r="I3" s="296"/>
    </row>
    <row r="4" spans="1:9" ht="81.75" customHeight="1">
      <c r="A4" s="300" t="s">
        <v>593</v>
      </c>
      <c r="B4" s="300" t="s">
        <v>674</v>
      </c>
      <c r="C4" s="301">
        <v>43669.491666666669</v>
      </c>
      <c r="D4" s="394" t="s">
        <v>675</v>
      </c>
      <c r="E4" s="302" t="s">
        <v>683</v>
      </c>
      <c r="F4" s="302"/>
      <c r="G4" s="282"/>
      <c r="H4" s="282"/>
      <c r="I4" s="296"/>
    </row>
    <row r="5" spans="1:9" ht="87" customHeight="1">
      <c r="A5" s="300" t="s">
        <v>593</v>
      </c>
      <c r="B5" s="300" t="s">
        <v>674</v>
      </c>
      <c r="C5" s="301">
        <v>43669.594444444447</v>
      </c>
      <c r="D5" s="394" t="s">
        <v>676</v>
      </c>
      <c r="E5" s="302" t="s">
        <v>684</v>
      </c>
      <c r="F5" s="302"/>
      <c r="G5" s="282"/>
      <c r="H5" s="282"/>
      <c r="I5" s="296"/>
    </row>
    <row r="6" spans="1:9" ht="55.5" customHeight="1">
      <c r="A6" s="300" t="s">
        <v>430</v>
      </c>
      <c r="B6" s="300" t="s">
        <v>538</v>
      </c>
      <c r="C6" s="301">
        <v>43670.746527777781</v>
      </c>
      <c r="D6" s="394" t="s">
        <v>677</v>
      </c>
      <c r="E6" s="302" t="s">
        <v>685</v>
      </c>
      <c r="F6" s="302"/>
      <c r="G6" s="282"/>
      <c r="H6" s="282"/>
      <c r="I6" s="298"/>
    </row>
    <row r="7" spans="1:9" ht="54" customHeight="1">
      <c r="A7" s="300" t="s">
        <v>430</v>
      </c>
      <c r="B7" s="300" t="s">
        <v>538</v>
      </c>
      <c r="C7" s="301">
        <v>43670.788194444445</v>
      </c>
      <c r="D7" s="394" t="s">
        <v>678</v>
      </c>
      <c r="E7" s="302" t="s">
        <v>686</v>
      </c>
      <c r="F7" s="302"/>
    </row>
    <row r="8" spans="1:9" ht="53.25" customHeight="1">
      <c r="A8" s="865" t="s">
        <v>430</v>
      </c>
      <c r="B8" s="865" t="s">
        <v>538</v>
      </c>
      <c r="C8" s="866">
        <v>43670.806250000001</v>
      </c>
      <c r="D8" s="867" t="s">
        <v>679</v>
      </c>
      <c r="E8" s="868" t="s">
        <v>687</v>
      </c>
      <c r="F8" s="868"/>
    </row>
    <row r="9" spans="1:9" ht="73.5" customHeight="1">
      <c r="A9" s="869" t="s">
        <v>590</v>
      </c>
      <c r="B9" s="869" t="s">
        <v>591</v>
      </c>
      <c r="C9" s="870">
        <v>43671.456944444442</v>
      </c>
      <c r="D9" s="871" t="s">
        <v>680</v>
      </c>
      <c r="E9" s="872">
        <v>23</v>
      </c>
      <c r="F9" s="872"/>
    </row>
    <row r="10" spans="1:9">
      <c r="A10" s="734"/>
      <c r="B10" s="734"/>
      <c r="C10" s="815"/>
      <c r="D10" s="816"/>
      <c r="E10" s="817"/>
      <c r="F10" s="817"/>
    </row>
    <row r="11" spans="1:9">
      <c r="A11" s="734"/>
      <c r="B11" s="734"/>
      <c r="C11" s="815"/>
      <c r="D11" s="816"/>
      <c r="E11" s="817"/>
      <c r="F11" s="817"/>
    </row>
    <row r="12" spans="1:9">
      <c r="E12" s="299"/>
      <c r="F12" s="299"/>
    </row>
    <row r="13" spans="1:9">
      <c r="E13" s="299"/>
      <c r="F13" s="299"/>
    </row>
    <row r="14" spans="1:9">
      <c r="E14" s="299"/>
      <c r="F14" s="299"/>
    </row>
    <row r="15" spans="1:9">
      <c r="E15" s="299"/>
      <c r="F15" s="299"/>
    </row>
    <row r="16" spans="1:9">
      <c r="E16" s="299"/>
      <c r="F16" s="299"/>
    </row>
    <row r="17" spans="5:6">
      <c r="E17" s="299"/>
      <c r="F17" s="299"/>
    </row>
    <row r="18" spans="5:6">
      <c r="E18" s="299"/>
      <c r="F18" s="299"/>
    </row>
    <row r="19" spans="5:6">
      <c r="E19" s="299"/>
      <c r="F19" s="299"/>
    </row>
    <row r="20" spans="5:6">
      <c r="E20" s="299"/>
      <c r="F20" s="299"/>
    </row>
    <row r="21" spans="5:6">
      <c r="E21" s="299"/>
      <c r="F21" s="299"/>
    </row>
    <row r="22" spans="5:6">
      <c r="E22" s="299"/>
      <c r="F22" s="299"/>
    </row>
    <row r="23" spans="5:6">
      <c r="E23" s="299"/>
      <c r="F23" s="299"/>
    </row>
    <row r="24" spans="5:6">
      <c r="E24" s="299"/>
      <c r="F24" s="299"/>
    </row>
    <row r="25" spans="5:6">
      <c r="E25" s="299"/>
      <c r="F25" s="299"/>
    </row>
    <row r="26" spans="5:6">
      <c r="E26" s="299"/>
      <c r="F26" s="299"/>
    </row>
    <row r="27" spans="5:6">
      <c r="E27" s="299"/>
      <c r="F27" s="299"/>
    </row>
    <row r="28" spans="5:6">
      <c r="E28" s="299"/>
      <c r="F28" s="299"/>
    </row>
    <row r="29" spans="5:6">
      <c r="E29" s="299"/>
      <c r="F29" s="299"/>
    </row>
    <row r="30" spans="5:6">
      <c r="E30" s="299"/>
      <c r="F30" s="299"/>
    </row>
    <row r="31" spans="5:6">
      <c r="E31" s="299"/>
      <c r="F31" s="299"/>
    </row>
    <row r="32" spans="5:6">
      <c r="E32" s="299"/>
      <c r="F32" s="299"/>
    </row>
    <row r="33" spans="5:6">
      <c r="E33" s="299"/>
      <c r="F33" s="299"/>
    </row>
    <row r="34" spans="5:6">
      <c r="E34" s="299"/>
      <c r="F34" s="299"/>
    </row>
    <row r="35" spans="5:6">
      <c r="E35" s="299"/>
      <c r="F35" s="299"/>
    </row>
    <row r="36" spans="5:6">
      <c r="E36" s="299"/>
      <c r="F36" s="299"/>
    </row>
    <row r="37" spans="5:6">
      <c r="E37" s="299"/>
      <c r="F37" s="299"/>
    </row>
    <row r="38" spans="5:6">
      <c r="E38" s="299"/>
      <c r="F38" s="299"/>
    </row>
    <row r="39" spans="5:6">
      <c r="E39" s="299"/>
      <c r="F39" s="299"/>
    </row>
    <row r="40" spans="5:6">
      <c r="E40" s="299"/>
      <c r="F40" s="299"/>
    </row>
    <row r="41" spans="5:6">
      <c r="E41" s="299"/>
      <c r="F41" s="299"/>
    </row>
    <row r="42" spans="5:6">
      <c r="E42" s="299"/>
      <c r="F42" s="299"/>
    </row>
    <row r="43" spans="5:6">
      <c r="E43" s="299"/>
      <c r="F43" s="299"/>
    </row>
    <row r="44" spans="5:6">
      <c r="E44" s="299"/>
      <c r="F44" s="299"/>
    </row>
    <row r="45" spans="5:6">
      <c r="E45" s="299"/>
      <c r="F45" s="299"/>
    </row>
    <row r="46" spans="5:6">
      <c r="E46" s="299"/>
      <c r="F46" s="299"/>
    </row>
    <row r="47" spans="5:6">
      <c r="E47" s="299"/>
      <c r="F47" s="299"/>
    </row>
    <row r="48" spans="5:6">
      <c r="E48" s="299"/>
      <c r="F48" s="299"/>
    </row>
    <row r="49" spans="5:6">
      <c r="E49" s="299"/>
      <c r="F49" s="299"/>
    </row>
    <row r="50" spans="5:6">
      <c r="E50" s="299"/>
      <c r="F50" s="299"/>
    </row>
    <row r="51" spans="5:6">
      <c r="E51" s="299"/>
      <c r="F51" s="299"/>
    </row>
    <row r="52" spans="5:6">
      <c r="E52" s="299"/>
      <c r="F52" s="299"/>
    </row>
    <row r="53" spans="5:6">
      <c r="E53" s="299"/>
      <c r="F53" s="299"/>
    </row>
    <row r="54" spans="5:6">
      <c r="E54" s="299"/>
      <c r="F54" s="299"/>
    </row>
    <row r="55" spans="5:6">
      <c r="E55" s="299"/>
      <c r="F55" s="299"/>
    </row>
    <row r="56" spans="5:6">
      <c r="E56" s="299"/>
      <c r="F56" s="299"/>
    </row>
    <row r="57" spans="5:6">
      <c r="E57" s="299"/>
      <c r="F57" s="299"/>
    </row>
    <row r="58" spans="5:6">
      <c r="E58" s="299"/>
      <c r="F58" s="299"/>
    </row>
    <row r="59" spans="5:6">
      <c r="E59" s="299"/>
      <c r="F59" s="299"/>
    </row>
    <row r="60" spans="5:6">
      <c r="E60" s="299"/>
      <c r="F60" s="299"/>
    </row>
    <row r="61" spans="5:6">
      <c r="E61" s="299"/>
      <c r="F61" s="299"/>
    </row>
    <row r="62" spans="5:6">
      <c r="E62" s="299"/>
      <c r="F62" s="299"/>
    </row>
    <row r="63" spans="5:6">
      <c r="E63" s="299"/>
      <c r="F63" s="299"/>
    </row>
    <row r="64" spans="5:6">
      <c r="E64" s="299"/>
      <c r="F64" s="299"/>
    </row>
    <row r="65" spans="5:6">
      <c r="E65" s="299"/>
      <c r="F65" s="299"/>
    </row>
    <row r="66" spans="5:6">
      <c r="E66" s="299"/>
      <c r="F66" s="299"/>
    </row>
    <row r="67" spans="5:6">
      <c r="E67" s="299"/>
      <c r="F67" s="299"/>
    </row>
    <row r="68" spans="5:6">
      <c r="E68" s="299"/>
      <c r="F68" s="299"/>
    </row>
    <row r="69" spans="5:6">
      <c r="E69" s="299"/>
      <c r="F69" s="299"/>
    </row>
    <row r="70" spans="5:6">
      <c r="E70" s="299"/>
      <c r="F70" s="299"/>
    </row>
    <row r="71" spans="5:6">
      <c r="E71" s="299"/>
      <c r="F71" s="299"/>
    </row>
    <row r="72" spans="5:6">
      <c r="E72" s="299"/>
      <c r="F72" s="299"/>
    </row>
    <row r="73" spans="5:6">
      <c r="E73" s="299"/>
      <c r="F73" s="299"/>
    </row>
    <row r="74" spans="5:6">
      <c r="E74" s="299"/>
      <c r="F74" s="299"/>
    </row>
    <row r="75" spans="5:6">
      <c r="E75" s="299"/>
      <c r="F75" s="299"/>
    </row>
    <row r="76" spans="5:6">
      <c r="E76" s="299"/>
      <c r="F76" s="299"/>
    </row>
    <row r="77" spans="5:6">
      <c r="E77" s="299"/>
      <c r="F77" s="299"/>
    </row>
    <row r="78" spans="5:6">
      <c r="E78" s="299"/>
      <c r="F78" s="299"/>
    </row>
    <row r="79" spans="5:6">
      <c r="E79" s="299"/>
      <c r="F79" s="299"/>
    </row>
    <row r="80" spans="5:6">
      <c r="E80" s="299"/>
      <c r="F80" s="299"/>
    </row>
    <row r="81" spans="5:6">
      <c r="E81" s="299"/>
      <c r="F81" s="299"/>
    </row>
    <row r="82" spans="5:6">
      <c r="E82" s="299"/>
      <c r="F82" s="299"/>
    </row>
    <row r="83" spans="5:6">
      <c r="E83" s="299"/>
      <c r="F83" s="299"/>
    </row>
    <row r="84" spans="5:6">
      <c r="E84" s="299"/>
      <c r="F84" s="299"/>
    </row>
    <row r="85" spans="5:6">
      <c r="E85" s="299"/>
      <c r="F85" s="299"/>
    </row>
    <row r="86" spans="5:6">
      <c r="E86" s="299"/>
      <c r="F86" s="299"/>
    </row>
    <row r="87" spans="5:6">
      <c r="E87" s="299"/>
      <c r="F87" s="299"/>
    </row>
    <row r="88" spans="5:6">
      <c r="E88" s="299"/>
      <c r="F88" s="299"/>
    </row>
    <row r="89" spans="5:6">
      <c r="E89" s="299"/>
      <c r="F89" s="299"/>
    </row>
    <row r="90" spans="5:6">
      <c r="E90" s="299"/>
      <c r="F90" s="299"/>
    </row>
    <row r="91" spans="5:6">
      <c r="E91" s="299"/>
      <c r="F91" s="299"/>
    </row>
    <row r="92" spans="5:6">
      <c r="E92" s="299"/>
      <c r="F92" s="299"/>
    </row>
    <row r="93" spans="5:6">
      <c r="E93" s="299"/>
      <c r="F93" s="299"/>
    </row>
    <row r="94" spans="5:6">
      <c r="E94" s="299"/>
      <c r="F94" s="299"/>
    </row>
    <row r="95" spans="5:6">
      <c r="E95" s="299"/>
      <c r="F95" s="299"/>
    </row>
    <row r="96" spans="5:6">
      <c r="E96" s="299"/>
      <c r="F96" s="299"/>
    </row>
    <row r="97" spans="5:6">
      <c r="E97" s="299"/>
      <c r="F97" s="299"/>
    </row>
    <row r="98" spans="5:6">
      <c r="E98" s="299"/>
      <c r="F98" s="299"/>
    </row>
    <row r="99" spans="5:6">
      <c r="E99" s="299"/>
      <c r="F99" s="299"/>
    </row>
    <row r="100" spans="5:6">
      <c r="E100" s="299"/>
      <c r="F100" s="299"/>
    </row>
    <row r="101" spans="5:6">
      <c r="E101" s="299"/>
      <c r="F101" s="299"/>
    </row>
    <row r="102" spans="5:6">
      <c r="E102" s="299"/>
      <c r="F102" s="299"/>
    </row>
    <row r="103" spans="5:6">
      <c r="E103" s="299"/>
      <c r="F103" s="299"/>
    </row>
    <row r="104" spans="5:6">
      <c r="E104" s="299"/>
      <c r="F104" s="299"/>
    </row>
    <row r="105" spans="5:6">
      <c r="E105" s="299"/>
      <c r="F105" s="299"/>
    </row>
    <row r="106" spans="5:6">
      <c r="E106" s="299"/>
      <c r="F106" s="299"/>
    </row>
    <row r="107" spans="5:6">
      <c r="E107" s="299"/>
      <c r="F107" s="299"/>
    </row>
    <row r="108" spans="5:6">
      <c r="E108" s="299"/>
      <c r="F108" s="299"/>
    </row>
    <row r="109" spans="5:6">
      <c r="E109" s="299"/>
      <c r="F109" s="299"/>
    </row>
    <row r="110" spans="5:6">
      <c r="E110" s="299"/>
      <c r="F110" s="299"/>
    </row>
    <row r="111" spans="5:6">
      <c r="E111" s="299"/>
      <c r="F111" s="299"/>
    </row>
  </sheetData>
  <pageMargins left="0.70866141732283472" right="0.51181102362204722"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7A5"/>
    <pageSetUpPr fitToPage="1"/>
  </sheetPr>
  <dimension ref="A1:W67"/>
  <sheetViews>
    <sheetView showGridLines="0" view="pageBreakPreview" topLeftCell="A16" zoomScaleNormal="100" zoomScaleSheetLayoutView="100" zoomScalePageLayoutView="115" workbookViewId="0">
      <selection activeCell="U69" sqref="T69:U69"/>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5"/>
    <col min="15" max="16" width="10.1640625" style="331" bestFit="1" customWidth="1"/>
    <col min="17" max="17" width="11.5" style="331" customWidth="1"/>
    <col min="18" max="23" width="9.33203125" style="331"/>
    <col min="24" max="16384" width="9.33203125" style="46"/>
  </cols>
  <sheetData>
    <row r="1" spans="1:17" ht="27.75" customHeight="1">
      <c r="A1" s="887" t="s">
        <v>22</v>
      </c>
      <c r="B1" s="887"/>
      <c r="C1" s="887"/>
      <c r="D1" s="887"/>
      <c r="E1" s="887"/>
      <c r="F1" s="887"/>
      <c r="G1" s="887"/>
      <c r="H1" s="887"/>
      <c r="I1" s="887"/>
      <c r="J1" s="887"/>
      <c r="K1" s="887"/>
      <c r="L1" s="887"/>
      <c r="M1" s="887"/>
      <c r="N1" s="304"/>
      <c r="O1" s="330"/>
      <c r="P1" s="330"/>
      <c r="Q1" s="330"/>
    </row>
    <row r="2" spans="1:17" ht="11.25" customHeight="1">
      <c r="A2" s="41"/>
      <c r="B2" s="40"/>
      <c r="C2" s="65"/>
      <c r="D2" s="65"/>
      <c r="E2" s="65"/>
      <c r="F2" s="65"/>
      <c r="G2" s="65"/>
      <c r="H2" s="65"/>
      <c r="I2" s="65"/>
      <c r="J2" s="65"/>
      <c r="K2" s="40"/>
      <c r="L2" s="40"/>
      <c r="M2" s="40"/>
      <c r="N2" s="304"/>
      <c r="O2" s="330"/>
      <c r="P2" s="330"/>
      <c r="Q2" s="330"/>
    </row>
    <row r="3" spans="1:17" ht="21.75" customHeight="1">
      <c r="A3" s="40"/>
      <c r="B3" s="42"/>
      <c r="C3" s="894" t="str">
        <f>+UPPER(Q4)&amp;" "&amp;Q5</f>
        <v>JULIO 2019</v>
      </c>
      <c r="D3" s="887"/>
      <c r="E3" s="887"/>
      <c r="F3" s="887"/>
      <c r="G3" s="887"/>
      <c r="H3" s="887"/>
      <c r="I3" s="887"/>
      <c r="J3" s="887"/>
      <c r="K3" s="40"/>
      <c r="L3" s="40"/>
      <c r="M3" s="40"/>
      <c r="N3" s="304"/>
      <c r="O3" s="330"/>
      <c r="P3" s="330"/>
      <c r="Q3" s="330"/>
    </row>
    <row r="4" spans="1:17" ht="11.25" customHeight="1">
      <c r="A4" s="40"/>
      <c r="B4" s="42"/>
      <c r="C4" s="40"/>
      <c r="D4" s="40"/>
      <c r="E4" s="40"/>
      <c r="F4" s="40"/>
      <c r="G4" s="40"/>
      <c r="H4" s="40"/>
      <c r="I4" s="40"/>
      <c r="J4" s="40"/>
      <c r="K4" s="40"/>
      <c r="L4" s="40"/>
      <c r="M4" s="40"/>
      <c r="N4" s="306"/>
      <c r="O4" s="332"/>
      <c r="P4" s="330" t="s">
        <v>215</v>
      </c>
      <c r="Q4" s="333" t="s">
        <v>611</v>
      </c>
    </row>
    <row r="5" spans="1:17" ht="11.25" customHeight="1">
      <c r="A5" s="47"/>
      <c r="B5" s="48"/>
      <c r="C5" s="49"/>
      <c r="D5" s="49"/>
      <c r="E5" s="49"/>
      <c r="F5" s="49"/>
      <c r="G5" s="49"/>
      <c r="H5" s="49"/>
      <c r="I5" s="49"/>
      <c r="J5" s="49"/>
      <c r="K5" s="49"/>
      <c r="L5" s="49"/>
      <c r="M5" s="40"/>
      <c r="N5" s="306"/>
      <c r="O5" s="332"/>
      <c r="P5" s="330" t="s">
        <v>216</v>
      </c>
      <c r="Q5" s="332">
        <v>2019</v>
      </c>
    </row>
    <row r="6" spans="1:17" ht="17.25" customHeight="1">
      <c r="A6" s="60" t="s">
        <v>465</v>
      </c>
      <c r="B6" s="40"/>
      <c r="C6" s="40"/>
      <c r="D6" s="40"/>
      <c r="E6" s="40"/>
      <c r="F6" s="40"/>
      <c r="G6" s="40"/>
      <c r="H6" s="40"/>
      <c r="I6" s="40"/>
      <c r="J6" s="40"/>
      <c r="K6" s="40"/>
      <c r="L6" s="40"/>
      <c r="M6" s="40"/>
      <c r="N6" s="304"/>
      <c r="O6" s="330"/>
      <c r="P6" s="330"/>
      <c r="Q6" s="339">
        <v>43647</v>
      </c>
    </row>
    <row r="7" spans="1:17" ht="11.25" customHeight="1">
      <c r="A7" s="40"/>
      <c r="B7" s="40"/>
      <c r="C7" s="40"/>
      <c r="D7" s="40"/>
      <c r="E7" s="40"/>
      <c r="F7" s="40"/>
      <c r="G7" s="40"/>
      <c r="H7" s="40"/>
      <c r="I7" s="40"/>
      <c r="J7" s="40"/>
      <c r="K7" s="40"/>
      <c r="L7" s="40"/>
      <c r="M7" s="40"/>
      <c r="N7" s="304"/>
      <c r="O7" s="330"/>
      <c r="P7" s="330"/>
      <c r="Q7" s="330">
        <v>31</v>
      </c>
    </row>
    <row r="8" spans="1:17" ht="11.25" customHeight="1">
      <c r="A8" s="43"/>
      <c r="B8" s="43"/>
      <c r="C8" s="43"/>
      <c r="D8" s="43"/>
      <c r="E8" s="43"/>
      <c r="F8" s="43"/>
      <c r="G8" s="43"/>
      <c r="H8" s="43"/>
      <c r="I8" s="43"/>
      <c r="J8" s="43"/>
      <c r="K8" s="43"/>
      <c r="L8" s="43"/>
      <c r="M8" s="43"/>
      <c r="N8" s="307"/>
      <c r="O8" s="334"/>
      <c r="P8" s="334"/>
      <c r="Q8" s="334"/>
    </row>
    <row r="9" spans="1:17" ht="14.25" customHeight="1">
      <c r="A9" s="40" t="str">
        <f>"1.1. Producción de energía eléctrica en "&amp;LOWER(Q4)&amp;" "&amp;Q5&amp;" en comparación al mismo mes del año anterior"</f>
        <v>1.1. Producción de energía eléctrica en julio 2019 en comparación al mismo mes del año anterior</v>
      </c>
      <c r="B9" s="40"/>
      <c r="C9" s="40"/>
      <c r="D9" s="40"/>
      <c r="E9" s="40"/>
      <c r="F9" s="40"/>
      <c r="G9" s="40"/>
      <c r="H9" s="40"/>
      <c r="I9" s="40"/>
      <c r="J9" s="40"/>
      <c r="K9" s="40"/>
      <c r="L9" s="40"/>
      <c r="M9" s="40"/>
      <c r="N9" s="304"/>
      <c r="O9" s="330"/>
      <c r="P9" s="330"/>
      <c r="Q9" s="330"/>
    </row>
    <row r="10" spans="1:17" ht="11.25" customHeight="1">
      <c r="A10" s="47"/>
      <c r="B10" s="44"/>
      <c r="C10" s="44"/>
      <c r="D10" s="44"/>
      <c r="E10" s="44"/>
      <c r="F10" s="44"/>
      <c r="G10" s="44"/>
      <c r="H10" s="44"/>
      <c r="I10" s="44"/>
      <c r="J10" s="44"/>
      <c r="K10" s="44"/>
      <c r="L10" s="44"/>
      <c r="M10" s="44"/>
      <c r="N10" s="306"/>
      <c r="O10" s="332"/>
      <c r="P10" s="332"/>
      <c r="Q10" s="332"/>
    </row>
    <row r="11" spans="1:17" ht="11.25" customHeight="1">
      <c r="A11" s="50"/>
      <c r="B11" s="50"/>
      <c r="C11" s="50"/>
      <c r="D11" s="50"/>
      <c r="E11" s="50"/>
      <c r="F11" s="50"/>
      <c r="G11" s="50"/>
      <c r="H11" s="50"/>
      <c r="I11" s="50"/>
      <c r="J11" s="50"/>
      <c r="K11" s="50"/>
      <c r="L11" s="50"/>
      <c r="M11" s="50"/>
      <c r="N11" s="308"/>
      <c r="O11" s="335"/>
      <c r="P11" s="335"/>
      <c r="Q11" s="335"/>
    </row>
    <row r="12" spans="1:17" ht="26.25" customHeight="1">
      <c r="A12" s="62" t="s">
        <v>23</v>
      </c>
      <c r="B12" s="893" t="s">
        <v>744</v>
      </c>
      <c r="C12" s="893"/>
      <c r="D12" s="893"/>
      <c r="E12" s="893"/>
      <c r="F12" s="893"/>
      <c r="G12" s="893"/>
      <c r="H12" s="893"/>
      <c r="I12" s="893"/>
      <c r="J12" s="893"/>
      <c r="K12" s="893"/>
      <c r="L12" s="893"/>
      <c r="M12" s="893"/>
      <c r="N12" s="306"/>
      <c r="O12" s="332"/>
      <c r="P12" s="332"/>
      <c r="Q12" s="332"/>
    </row>
    <row r="13" spans="1:17" ht="12.75" customHeight="1">
      <c r="A13" s="40"/>
      <c r="B13" s="64"/>
      <c r="C13" s="64"/>
      <c r="D13" s="64"/>
      <c r="E13" s="64"/>
      <c r="F13" s="64"/>
      <c r="G13" s="64"/>
      <c r="H13" s="64"/>
      <c r="I13" s="64"/>
      <c r="J13" s="64"/>
      <c r="K13" s="64"/>
      <c r="L13" s="64"/>
      <c r="M13" s="44"/>
      <c r="N13" s="306"/>
      <c r="O13" s="332"/>
      <c r="P13" s="332"/>
      <c r="Q13" s="332"/>
    </row>
    <row r="14" spans="1:17" ht="28.5" customHeight="1">
      <c r="A14" s="62" t="s">
        <v>23</v>
      </c>
      <c r="B14" s="893" t="s">
        <v>745</v>
      </c>
      <c r="C14" s="893"/>
      <c r="D14" s="893"/>
      <c r="E14" s="893"/>
      <c r="F14" s="893"/>
      <c r="G14" s="893"/>
      <c r="H14" s="893"/>
      <c r="I14" s="893"/>
      <c r="J14" s="893"/>
      <c r="K14" s="893"/>
      <c r="L14" s="893"/>
      <c r="M14" s="893"/>
      <c r="N14" s="306"/>
      <c r="O14" s="332"/>
      <c r="P14" s="332"/>
      <c r="Q14" s="332"/>
    </row>
    <row r="15" spans="1:17" ht="15" customHeight="1">
      <c r="A15" s="63"/>
      <c r="B15" s="64"/>
      <c r="C15" s="64"/>
      <c r="D15" s="64"/>
      <c r="E15" s="64"/>
      <c r="F15" s="64"/>
      <c r="G15" s="64"/>
      <c r="H15" s="64"/>
      <c r="I15" s="64"/>
      <c r="J15" s="64"/>
      <c r="K15" s="64"/>
      <c r="L15" s="64"/>
      <c r="M15" s="44"/>
      <c r="N15" s="306"/>
      <c r="O15" s="332"/>
      <c r="P15" s="332"/>
      <c r="Q15" s="332"/>
    </row>
    <row r="16" spans="1:17" ht="59.25" customHeight="1">
      <c r="A16" s="62" t="s">
        <v>23</v>
      </c>
      <c r="B16" s="893" t="s">
        <v>746</v>
      </c>
      <c r="C16" s="893"/>
      <c r="D16" s="893"/>
      <c r="E16" s="893"/>
      <c r="F16" s="893"/>
      <c r="G16" s="893"/>
      <c r="H16" s="893"/>
      <c r="I16" s="893"/>
      <c r="J16" s="893"/>
      <c r="K16" s="893"/>
      <c r="L16" s="893"/>
      <c r="M16" s="893"/>
      <c r="N16" s="306"/>
      <c r="O16" s="332"/>
      <c r="P16" s="332"/>
      <c r="Q16" s="332"/>
    </row>
    <row r="17" spans="1:18" ht="17.25" customHeight="1">
      <c r="A17" s="44"/>
      <c r="B17" s="44"/>
      <c r="C17" s="44"/>
      <c r="D17" s="44"/>
      <c r="E17" s="44"/>
      <c r="F17" s="44"/>
      <c r="G17" s="44"/>
      <c r="H17" s="44"/>
      <c r="I17" s="44"/>
      <c r="J17" s="44"/>
      <c r="K17" s="44"/>
      <c r="L17" s="44"/>
      <c r="M17" s="44"/>
      <c r="N17" s="306"/>
      <c r="O17" s="332"/>
      <c r="P17" s="332"/>
      <c r="Q17" s="332"/>
    </row>
    <row r="18" spans="1:18" ht="25.5" customHeight="1">
      <c r="A18" s="61" t="s">
        <v>23</v>
      </c>
      <c r="B18" s="892" t="s">
        <v>740</v>
      </c>
      <c r="C18" s="892"/>
      <c r="D18" s="892"/>
      <c r="E18" s="892"/>
      <c r="F18" s="892"/>
      <c r="G18" s="892"/>
      <c r="H18" s="892"/>
      <c r="I18" s="892"/>
      <c r="J18" s="892"/>
      <c r="K18" s="892"/>
      <c r="L18" s="892"/>
      <c r="M18" s="892"/>
      <c r="N18" s="306"/>
      <c r="O18" s="332"/>
      <c r="P18" s="332"/>
      <c r="Q18" s="332"/>
    </row>
    <row r="19" spans="1:18" ht="11.25" customHeight="1">
      <c r="A19" s="44"/>
      <c r="B19" s="44"/>
      <c r="C19" s="44"/>
      <c r="D19" s="44"/>
      <c r="E19" s="44"/>
      <c r="F19" s="44"/>
      <c r="G19" s="44"/>
      <c r="H19" s="44"/>
      <c r="I19" s="44"/>
      <c r="J19" s="44"/>
      <c r="K19" s="44"/>
      <c r="L19" s="44"/>
      <c r="M19" s="44"/>
      <c r="N19" s="306"/>
      <c r="O19" s="332"/>
      <c r="P19" s="332"/>
      <c r="Q19" s="332"/>
    </row>
    <row r="20" spans="1:18" ht="15.75" customHeight="1">
      <c r="A20" s="44"/>
      <c r="B20" s="44"/>
      <c r="C20" s="891" t="str">
        <f>+UPPER(Q4)&amp;" "&amp;Q5</f>
        <v>JULIO 2019</v>
      </c>
      <c r="D20" s="891"/>
      <c r="E20" s="891"/>
      <c r="F20" s="40"/>
      <c r="G20" s="40"/>
      <c r="H20" s="40"/>
      <c r="I20" s="891" t="str">
        <f>+UPPER(Q4)&amp;" "&amp;Q5-1</f>
        <v>JULIO 2018</v>
      </c>
      <c r="J20" s="891"/>
      <c r="K20" s="891"/>
      <c r="L20" s="44"/>
      <c r="M20" s="44"/>
      <c r="Q20" s="332"/>
    </row>
    <row r="21" spans="1:18" ht="11.25" customHeight="1">
      <c r="A21" s="44"/>
      <c r="B21" s="44"/>
      <c r="C21" s="44"/>
      <c r="D21" s="44"/>
      <c r="E21" s="44"/>
      <c r="F21" s="44"/>
      <c r="G21" s="44"/>
      <c r="H21" s="44"/>
      <c r="I21" s="44"/>
      <c r="J21" s="44"/>
      <c r="K21" s="44"/>
      <c r="L21" s="44"/>
      <c r="M21" s="44"/>
      <c r="Q21" s="332"/>
    </row>
    <row r="22" spans="1:18" ht="11.25" customHeight="1">
      <c r="A22" s="51"/>
      <c r="B22" s="52"/>
      <c r="C22" s="52"/>
      <c r="D22" s="52"/>
      <c r="E22" s="52"/>
      <c r="F22" s="52"/>
      <c r="G22" s="52"/>
      <c r="H22" s="52"/>
      <c r="I22" s="52"/>
      <c r="J22" s="52"/>
      <c r="K22" s="52"/>
      <c r="L22" s="52"/>
      <c r="M22" s="52"/>
      <c r="N22" s="366" t="s">
        <v>31</v>
      </c>
      <c r="O22" s="876" t="s">
        <v>741</v>
      </c>
      <c r="P22" s="876" t="s">
        <v>742</v>
      </c>
    </row>
    <row r="23" spans="1:18" ht="11.25" customHeight="1">
      <c r="A23" s="51"/>
      <c r="B23" s="52"/>
      <c r="C23" s="52"/>
      <c r="D23" s="52"/>
      <c r="E23" s="52"/>
      <c r="F23" s="52"/>
      <c r="G23" s="52"/>
      <c r="H23" s="52"/>
      <c r="I23" s="52"/>
      <c r="J23" s="52"/>
      <c r="K23" s="52"/>
      <c r="L23" s="52"/>
      <c r="M23" s="52"/>
      <c r="N23" s="366" t="s">
        <v>24</v>
      </c>
      <c r="O23" s="877">
        <v>2070.9468782574995</v>
      </c>
      <c r="P23" s="877">
        <v>1997.8919180625003</v>
      </c>
      <c r="Q23" s="337"/>
    </row>
    <row r="24" spans="1:18" ht="11.25" customHeight="1">
      <c r="A24" s="44"/>
      <c r="B24" s="44"/>
      <c r="C24" s="44"/>
      <c r="D24" s="44"/>
      <c r="E24" s="43"/>
      <c r="F24" s="44"/>
      <c r="G24" s="44"/>
      <c r="H24" s="44"/>
      <c r="I24" s="44"/>
      <c r="J24" s="44"/>
      <c r="K24" s="44"/>
      <c r="L24" s="44"/>
      <c r="M24" s="43"/>
      <c r="N24" s="367" t="s">
        <v>25</v>
      </c>
      <c r="O24" s="878">
        <v>2081.8791732974996</v>
      </c>
      <c r="P24" s="878">
        <v>1984.3622375425005</v>
      </c>
      <c r="Q24" s="336"/>
      <c r="R24" s="336"/>
    </row>
    <row r="25" spans="1:18" ht="11.25" customHeight="1">
      <c r="A25" s="44"/>
      <c r="B25" s="44"/>
      <c r="C25" s="44"/>
      <c r="D25" s="44"/>
      <c r="E25" s="44"/>
      <c r="F25" s="44"/>
      <c r="G25" s="44"/>
      <c r="H25" s="44"/>
      <c r="I25" s="44"/>
      <c r="J25" s="53"/>
      <c r="K25" s="53"/>
      <c r="L25" s="44"/>
      <c r="M25" s="44"/>
      <c r="N25" s="367" t="s">
        <v>26</v>
      </c>
      <c r="O25" s="878">
        <v>4.104278055</v>
      </c>
      <c r="P25" s="878">
        <v>10.7779047775</v>
      </c>
      <c r="Q25" s="338"/>
    </row>
    <row r="26" spans="1:18" ht="11.25" customHeight="1">
      <c r="A26" s="44"/>
      <c r="B26" s="44"/>
      <c r="C26" s="44"/>
      <c r="D26" s="44"/>
      <c r="E26" s="44"/>
      <c r="F26" s="44"/>
      <c r="G26" s="44"/>
      <c r="H26" s="44"/>
      <c r="I26" s="44"/>
      <c r="J26" s="53"/>
      <c r="K26" s="53"/>
      <c r="L26" s="44"/>
      <c r="M26" s="44"/>
      <c r="N26" s="366" t="s">
        <v>27</v>
      </c>
      <c r="O26" s="877">
        <v>1.0549771399999999</v>
      </c>
      <c r="P26" s="877">
        <v>16.255491232499995</v>
      </c>
      <c r="Q26" s="338"/>
    </row>
    <row r="27" spans="1:18" ht="11.25" customHeight="1">
      <c r="A27" s="44"/>
      <c r="B27" s="44"/>
      <c r="C27" s="44"/>
      <c r="D27" s="44"/>
      <c r="E27" s="44"/>
      <c r="F27" s="44"/>
      <c r="G27" s="44"/>
      <c r="H27" s="44"/>
      <c r="I27" s="44"/>
      <c r="J27" s="53"/>
      <c r="K27" s="44"/>
      <c r="L27" s="44"/>
      <c r="M27" s="44"/>
      <c r="N27" s="366" t="s">
        <v>28</v>
      </c>
      <c r="O27" s="877">
        <v>25.485014464999999</v>
      </c>
      <c r="P27" s="877">
        <v>11.030120595</v>
      </c>
      <c r="Q27" s="338"/>
    </row>
    <row r="28" spans="1:18" ht="11.25" customHeight="1">
      <c r="A28" s="44"/>
      <c r="B28" s="44"/>
      <c r="C28" s="53"/>
      <c r="D28" s="53"/>
      <c r="E28" s="53"/>
      <c r="F28" s="53"/>
      <c r="G28" s="53"/>
      <c r="H28" s="53"/>
      <c r="I28" s="53"/>
      <c r="J28" s="53"/>
      <c r="K28" s="53"/>
      <c r="L28" s="44"/>
      <c r="M28" s="44"/>
      <c r="N28" s="366" t="s">
        <v>29</v>
      </c>
      <c r="O28" s="877">
        <v>157.13154374249999</v>
      </c>
      <c r="P28" s="877">
        <v>130.32940518999999</v>
      </c>
      <c r="Q28" s="338"/>
    </row>
    <row r="29" spans="1:18" ht="11.25" customHeight="1">
      <c r="A29" s="44"/>
      <c r="B29" s="44"/>
      <c r="C29" s="53"/>
      <c r="D29" s="53"/>
      <c r="E29" s="53"/>
      <c r="F29" s="53"/>
      <c r="G29" s="53"/>
      <c r="H29" s="53"/>
      <c r="I29" s="53"/>
      <c r="J29" s="53"/>
      <c r="K29" s="53"/>
      <c r="L29" s="44"/>
      <c r="M29" s="44"/>
      <c r="N29" s="366" t="s">
        <v>30</v>
      </c>
      <c r="O29" s="877">
        <v>57.339797814999997</v>
      </c>
      <c r="P29" s="877">
        <v>49.3644935425</v>
      </c>
      <c r="Q29" s="338"/>
    </row>
    <row r="30" spans="1:18" ht="11.25" customHeight="1">
      <c r="A30" s="44"/>
      <c r="B30" s="44"/>
      <c r="C30" s="53"/>
      <c r="D30" s="53"/>
      <c r="E30" s="53"/>
      <c r="F30" s="53"/>
      <c r="G30" s="53"/>
      <c r="H30" s="53"/>
      <c r="I30" s="53"/>
      <c r="J30" s="53"/>
      <c r="K30" s="53"/>
      <c r="L30" s="44"/>
      <c r="M30" s="44"/>
      <c r="N30" s="366"/>
      <c r="O30" s="338"/>
      <c r="P30" s="338"/>
      <c r="Q30" s="338"/>
    </row>
    <row r="31" spans="1:18" ht="11.25" customHeight="1">
      <c r="A31" s="44"/>
      <c r="B31" s="44"/>
      <c r="C31" s="53"/>
      <c r="D31" s="53"/>
      <c r="E31" s="53"/>
      <c r="F31" s="53"/>
      <c r="G31" s="53"/>
      <c r="H31" s="53"/>
      <c r="I31" s="53"/>
      <c r="J31" s="53"/>
      <c r="K31" s="53"/>
      <c r="L31" s="44"/>
      <c r="M31" s="44"/>
      <c r="O31" s="388"/>
      <c r="P31" s="388"/>
      <c r="Q31" s="389"/>
    </row>
    <row r="32" spans="1:18" ht="11.25" customHeight="1">
      <c r="A32" s="44"/>
      <c r="B32" s="44"/>
      <c r="C32" s="53"/>
      <c r="D32" s="53"/>
      <c r="E32" s="53"/>
      <c r="F32" s="53"/>
      <c r="G32" s="53"/>
      <c r="H32" s="53"/>
      <c r="I32" s="53"/>
      <c r="J32" s="53"/>
      <c r="K32" s="53"/>
      <c r="L32" s="44"/>
      <c r="M32" s="44"/>
      <c r="Q32" s="332"/>
    </row>
    <row r="33" spans="1:17" ht="11.25" customHeight="1">
      <c r="A33" s="44"/>
      <c r="B33" s="44"/>
      <c r="C33" s="53"/>
      <c r="D33" s="53"/>
      <c r="E33" s="53"/>
      <c r="F33" s="53"/>
      <c r="G33" s="53"/>
      <c r="H33" s="53"/>
      <c r="I33" s="53"/>
      <c r="J33" s="53"/>
      <c r="K33" s="53"/>
      <c r="L33" s="44"/>
      <c r="M33" s="44"/>
      <c r="Q33" s="332"/>
    </row>
    <row r="34" spans="1:17" ht="11.25" customHeight="1">
      <c r="A34" s="44"/>
      <c r="B34" s="44"/>
      <c r="C34" s="53"/>
      <c r="D34" s="53"/>
      <c r="E34" s="53"/>
      <c r="F34" s="53"/>
      <c r="G34" s="53"/>
      <c r="H34" s="53"/>
      <c r="I34" s="53"/>
      <c r="J34" s="53"/>
      <c r="K34" s="53"/>
      <c r="L34" s="44"/>
      <c r="M34" s="44"/>
      <c r="Q34" s="332"/>
    </row>
    <row r="35" spans="1:17" ht="11.25" customHeight="1">
      <c r="A35" s="54"/>
      <c r="B35" s="54"/>
      <c r="C35" s="55"/>
      <c r="D35" s="55"/>
      <c r="E35" s="55"/>
      <c r="F35" s="55"/>
      <c r="G35" s="55"/>
      <c r="H35" s="55"/>
      <c r="I35" s="55"/>
      <c r="J35" s="54"/>
      <c r="K35" s="54"/>
      <c r="L35" s="54"/>
      <c r="M35" s="54"/>
      <c r="Q35" s="332"/>
    </row>
    <row r="36" spans="1:17" ht="11.25" customHeight="1">
      <c r="A36" s="54"/>
      <c r="B36" s="54"/>
      <c r="C36" s="55"/>
      <c r="D36" s="55"/>
      <c r="E36" s="55"/>
      <c r="F36" s="55"/>
      <c r="G36" s="55"/>
      <c r="H36" s="55"/>
      <c r="I36" s="55"/>
      <c r="J36" s="54"/>
      <c r="K36" s="54"/>
      <c r="L36" s="54"/>
      <c r="M36" s="54"/>
      <c r="Q36" s="332"/>
    </row>
    <row r="37" spans="1:17" ht="11.25" customHeight="1">
      <c r="A37" s="54"/>
      <c r="B37" s="54"/>
      <c r="C37" s="55"/>
      <c r="D37" s="55"/>
      <c r="E37" s="55"/>
      <c r="F37" s="55"/>
      <c r="G37" s="55"/>
      <c r="H37" s="55"/>
      <c r="I37" s="55"/>
      <c r="J37" s="54"/>
      <c r="K37" s="54"/>
      <c r="L37" s="54"/>
      <c r="M37" s="54"/>
      <c r="N37" s="306"/>
      <c r="O37" s="332"/>
      <c r="P37" s="332"/>
      <c r="Q37" s="332"/>
    </row>
    <row r="38" spans="1:17" ht="11.25" customHeight="1">
      <c r="A38" s="54"/>
      <c r="B38" s="54"/>
      <c r="C38" s="55"/>
      <c r="D38" s="55"/>
      <c r="E38" s="55"/>
      <c r="F38" s="55"/>
      <c r="G38" s="55"/>
      <c r="H38" s="55"/>
      <c r="I38" s="55"/>
      <c r="J38" s="54"/>
      <c r="K38" s="54"/>
      <c r="L38" s="54"/>
      <c r="M38" s="54"/>
      <c r="N38" s="306"/>
      <c r="O38" s="332"/>
      <c r="P38" s="332"/>
      <c r="Q38" s="332"/>
    </row>
    <row r="39" spans="1:17" ht="11.25" customHeight="1">
      <c r="A39" s="54"/>
      <c r="B39" s="54"/>
      <c r="C39" s="55"/>
      <c r="D39" s="55"/>
      <c r="E39" s="55"/>
      <c r="F39" s="55"/>
      <c r="G39" s="55"/>
      <c r="H39" s="55"/>
      <c r="I39" s="55"/>
      <c r="J39" s="54"/>
      <c r="K39" s="54"/>
      <c r="L39" s="54"/>
      <c r="M39" s="54"/>
      <c r="N39" s="306"/>
      <c r="O39" s="332"/>
      <c r="P39" s="332"/>
      <c r="Q39" s="332"/>
    </row>
    <row r="40" spans="1:17" ht="11.25" customHeight="1">
      <c r="A40" s="54"/>
      <c r="B40" s="54"/>
      <c r="C40" s="55"/>
      <c r="D40" s="55"/>
      <c r="E40" s="55"/>
      <c r="F40" s="55"/>
      <c r="G40" s="55"/>
      <c r="H40" s="55"/>
      <c r="I40" s="55"/>
      <c r="J40" s="54"/>
      <c r="K40" s="54"/>
      <c r="L40" s="54"/>
      <c r="M40" s="54"/>
      <c r="N40" s="306"/>
      <c r="O40" s="332"/>
      <c r="P40" s="332"/>
      <c r="Q40" s="332"/>
    </row>
    <row r="41" spans="1:17" ht="11.25" customHeight="1">
      <c r="A41" s="54"/>
      <c r="B41" s="54"/>
      <c r="C41" s="54"/>
      <c r="D41" s="55"/>
      <c r="E41" s="55"/>
      <c r="F41" s="55"/>
      <c r="G41" s="55"/>
      <c r="H41" s="54"/>
      <c r="I41" s="54"/>
      <c r="J41" s="54"/>
      <c r="K41" s="54"/>
      <c r="L41" s="54"/>
      <c r="M41" s="54"/>
      <c r="N41" s="306"/>
      <c r="O41" s="332"/>
      <c r="P41" s="332"/>
      <c r="Q41" s="332"/>
    </row>
    <row r="42" spans="1:17" ht="11.25" customHeight="1">
      <c r="A42" s="54"/>
      <c r="B42" s="54"/>
      <c r="C42" s="55"/>
      <c r="D42" s="55"/>
      <c r="E42" s="55"/>
      <c r="F42" s="55"/>
      <c r="G42" s="55"/>
      <c r="H42" s="55"/>
      <c r="I42" s="55"/>
      <c r="J42" s="54"/>
      <c r="K42" s="54"/>
      <c r="L42" s="54"/>
      <c r="M42" s="54"/>
      <c r="N42" s="306"/>
      <c r="O42" s="332"/>
      <c r="P42" s="332"/>
      <c r="Q42" s="332"/>
    </row>
    <row r="43" spans="1:17" ht="11.25" customHeight="1">
      <c r="A43" s="54"/>
      <c r="B43" s="54"/>
      <c r="C43" s="55"/>
      <c r="D43" s="55"/>
      <c r="E43" s="55"/>
      <c r="F43" s="55"/>
      <c r="G43" s="55"/>
      <c r="H43" s="55"/>
      <c r="I43" s="55"/>
      <c r="J43" s="54"/>
      <c r="K43" s="54"/>
      <c r="L43" s="54"/>
      <c r="M43" s="54"/>
      <c r="N43" s="306"/>
      <c r="O43" s="332"/>
      <c r="P43" s="332"/>
      <c r="Q43" s="332"/>
    </row>
    <row r="44" spans="1:17" ht="11.25" customHeight="1">
      <c r="A44" s="54"/>
      <c r="B44" s="54"/>
      <c r="C44" s="55"/>
      <c r="D44" s="55"/>
      <c r="E44" s="55"/>
      <c r="F44" s="55"/>
      <c r="G44" s="55"/>
      <c r="H44" s="55"/>
      <c r="I44" s="55"/>
      <c r="J44" s="54"/>
      <c r="K44" s="54"/>
      <c r="L44" s="54"/>
      <c r="M44" s="54"/>
      <c r="N44" s="306"/>
      <c r="O44" s="332"/>
      <c r="P44" s="332"/>
      <c r="Q44" s="332"/>
    </row>
    <row r="45" spans="1:17" ht="11.25" customHeight="1">
      <c r="A45" s="54"/>
      <c r="B45" s="54"/>
      <c r="C45" s="55"/>
      <c r="D45" s="55"/>
      <c r="E45" s="55"/>
      <c r="F45" s="55"/>
      <c r="G45" s="55"/>
      <c r="H45" s="55"/>
      <c r="I45" s="55"/>
      <c r="J45" s="54"/>
      <c r="K45" s="54"/>
      <c r="L45" s="54"/>
      <c r="M45" s="54"/>
      <c r="N45" s="306"/>
      <c r="O45" s="332"/>
      <c r="P45" s="332"/>
      <c r="Q45" s="332"/>
    </row>
    <row r="46" spans="1:17" ht="11.25" customHeight="1">
      <c r="A46" s="54"/>
      <c r="B46" s="54"/>
      <c r="C46" s="54"/>
      <c r="D46" s="54"/>
      <c r="E46" s="54"/>
      <c r="F46" s="54"/>
      <c r="G46" s="54"/>
      <c r="H46" s="54"/>
      <c r="I46" s="54"/>
      <c r="J46" s="54"/>
      <c r="K46" s="54"/>
      <c r="L46" s="54"/>
      <c r="M46" s="54"/>
      <c r="N46" s="306"/>
      <c r="O46" s="332"/>
      <c r="P46" s="332"/>
      <c r="Q46" s="332"/>
    </row>
    <row r="47" spans="1:17" ht="16.5" customHeight="1">
      <c r="A47" s="54"/>
      <c r="B47" s="890" t="str">
        <f>"Total = "&amp;TEXT(ROUND(SUM(O23:O29),2),"0 000,00")&amp;" GWh"</f>
        <v>Total = 4 397,94 GWh</v>
      </c>
      <c r="C47" s="890"/>
      <c r="D47" s="890"/>
      <c r="E47" s="890"/>
      <c r="F47" s="54"/>
      <c r="G47" s="54"/>
      <c r="H47" s="889" t="str">
        <f>"Total = "&amp;TEXT(ROUND(SUM(P23:P29),2),"0 000,00")&amp;" GWh"</f>
        <v>Total = 4 200,01 GWh</v>
      </c>
      <c r="I47" s="889"/>
      <c r="J47" s="889"/>
      <c r="K47" s="889"/>
      <c r="L47" s="54"/>
      <c r="M47" s="54"/>
      <c r="N47" s="306"/>
      <c r="O47" s="332"/>
      <c r="P47" s="332"/>
      <c r="Q47" s="332"/>
    </row>
    <row r="48" spans="1:17" ht="11.25" customHeight="1">
      <c r="H48" s="54"/>
      <c r="I48" s="54"/>
      <c r="J48" s="54"/>
      <c r="K48" s="54"/>
      <c r="L48" s="54"/>
      <c r="M48" s="54"/>
      <c r="N48" s="306"/>
      <c r="O48" s="332"/>
      <c r="P48" s="332"/>
      <c r="Q48" s="332"/>
    </row>
    <row r="49" spans="1:17" ht="11.25" customHeight="1">
      <c r="B49" s="888" t="str">
        <f>"Gráfico 1: Comparación de producción mensual de electricidad en "&amp;Q4&amp;" por tipo de recurso energético."</f>
        <v>Gráfico 1: Comparación de producción mensual de electricidad en julio por tipo de recurso energético.</v>
      </c>
      <c r="C49" s="888"/>
      <c r="D49" s="888"/>
      <c r="E49" s="888"/>
      <c r="F49" s="888"/>
      <c r="G49" s="888"/>
      <c r="H49" s="888"/>
      <c r="I49" s="888"/>
      <c r="J49" s="888"/>
      <c r="K49" s="888"/>
      <c r="L49" s="888"/>
      <c r="M49" s="237"/>
      <c r="N49" s="309"/>
      <c r="O49" s="332"/>
      <c r="P49" s="332"/>
      <c r="Q49" s="332"/>
    </row>
    <row r="50" spans="1:17" ht="11.25" customHeight="1">
      <c r="A50" s="54"/>
      <c r="B50" s="54"/>
      <c r="C50" s="45"/>
      <c r="D50" s="45"/>
      <c r="E50" s="54"/>
      <c r="F50" s="54"/>
      <c r="G50" s="54"/>
      <c r="H50" s="54"/>
      <c r="I50" s="54"/>
      <c r="J50" s="54"/>
      <c r="K50" s="54"/>
      <c r="L50" s="54"/>
      <c r="M50" s="54"/>
      <c r="N50" s="306"/>
      <c r="O50" s="332"/>
      <c r="P50" s="332"/>
      <c r="Q50" s="332"/>
    </row>
    <row r="51" spans="1:17" ht="11.25" customHeight="1">
      <c r="A51" s="54"/>
      <c r="B51" s="54"/>
      <c r="C51" s="54"/>
      <c r="D51" s="54"/>
      <c r="E51" s="54"/>
      <c r="F51" s="54"/>
      <c r="G51" s="54"/>
      <c r="H51" s="54"/>
      <c r="I51" s="54"/>
      <c r="J51" s="54"/>
      <c r="K51" s="54"/>
      <c r="L51" s="54"/>
      <c r="M51" s="54"/>
      <c r="N51" s="306"/>
      <c r="O51" s="332"/>
      <c r="P51" s="332"/>
      <c r="Q51" s="332"/>
    </row>
    <row r="52" spans="1:17" ht="11.25" customHeight="1">
      <c r="A52" s="54"/>
      <c r="B52" s="54"/>
      <c r="C52" s="54"/>
      <c r="D52" s="54"/>
      <c r="E52" s="54"/>
      <c r="F52" s="54"/>
      <c r="G52" s="54"/>
      <c r="H52" s="54"/>
      <c r="I52" s="54"/>
      <c r="J52" s="54"/>
      <c r="K52" s="54"/>
      <c r="L52" s="54"/>
      <c r="M52" s="54"/>
      <c r="N52" s="306"/>
      <c r="O52" s="332"/>
      <c r="P52" s="332"/>
      <c r="Q52" s="332"/>
    </row>
    <row r="53" spans="1:17" ht="11.25" customHeight="1">
      <c r="A53" s="54"/>
      <c r="B53" s="54"/>
      <c r="C53" s="54"/>
      <c r="D53" s="54"/>
      <c r="E53" s="54"/>
      <c r="F53" s="54"/>
      <c r="G53" s="54"/>
      <c r="H53" s="54"/>
      <c r="I53" s="54"/>
      <c r="J53" s="54"/>
      <c r="K53" s="54"/>
      <c r="L53" s="54"/>
      <c r="M53" s="54"/>
      <c r="N53" s="306"/>
      <c r="O53" s="332"/>
      <c r="P53" s="332"/>
      <c r="Q53" s="332"/>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3779527559055118" bottom="0.62992125984251968" header="0.31496062992125984" footer="0.31496062992125984"/>
  <pageSetup paperSize="9" scale="97" orientation="portrait" r:id="rId1"/>
  <headerFooter>
    <oddHeader>&amp;R&amp;7Informe de la Operación Mensual-Julio 2019
INFSGI-MES-07-2019
08/08/2019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77A5"/>
  </sheetPr>
  <dimension ref="B4:O65"/>
  <sheetViews>
    <sheetView showGridLines="0" view="pageBreakPreview" zoomScale="130" zoomScaleNormal="100" zoomScaleSheetLayoutView="130" workbookViewId="0">
      <selection activeCell="U69" sqref="T69:U69"/>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03"/>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0.7480314960629921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7A5"/>
  </sheetPr>
  <dimension ref="A2:O57"/>
  <sheetViews>
    <sheetView showGridLines="0" view="pageBreakPreview" topLeftCell="A33" zoomScale="130" zoomScaleNormal="100" zoomScaleSheetLayoutView="130" zoomScalePageLayoutView="160" workbookViewId="0">
      <selection activeCell="U69" sqref="T69:U69"/>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2" ht="16.5" customHeight="1">
      <c r="A2" s="900" t="s">
        <v>511</v>
      </c>
      <c r="B2" s="900"/>
      <c r="C2" s="900"/>
      <c r="D2" s="900"/>
      <c r="E2" s="900"/>
      <c r="F2" s="900"/>
      <c r="G2" s="900"/>
      <c r="H2" s="900"/>
      <c r="I2" s="900"/>
      <c r="J2" s="900"/>
      <c r="K2" s="591"/>
    </row>
    <row r="3" spans="1:12" ht="12" customHeight="1">
      <c r="A3" s="137"/>
      <c r="B3" s="209"/>
      <c r="C3" s="220"/>
      <c r="D3" s="221"/>
      <c r="E3" s="221"/>
      <c r="F3" s="222"/>
      <c r="G3" s="223"/>
      <c r="H3" s="223"/>
      <c r="I3" s="172"/>
      <c r="J3" s="222"/>
    </row>
    <row r="4" spans="1:12" ht="11.25" customHeight="1">
      <c r="A4" s="187" t="s">
        <v>586</v>
      </c>
      <c r="B4" s="209"/>
      <c r="C4" s="220"/>
      <c r="D4" s="221"/>
      <c r="E4" s="221"/>
      <c r="F4" s="222"/>
      <c r="G4" s="223"/>
      <c r="H4" s="223"/>
      <c r="I4" s="172"/>
      <c r="J4" s="222"/>
      <c r="K4" s="354"/>
    </row>
    <row r="5" spans="1:12" ht="11.25" customHeight="1">
      <c r="A5" s="187"/>
      <c r="B5" s="209"/>
      <c r="C5" s="220"/>
      <c r="D5" s="221"/>
      <c r="E5" s="221"/>
      <c r="F5" s="222"/>
      <c r="G5" s="223"/>
      <c r="H5" s="223"/>
      <c r="I5" s="172"/>
      <c r="J5" s="222"/>
      <c r="K5" s="354"/>
    </row>
    <row r="6" spans="1:12" ht="15" hidden="1" customHeight="1">
      <c r="A6" s="137"/>
      <c r="B6" s="209"/>
      <c r="C6" s="220"/>
      <c r="D6" s="221"/>
      <c r="E6" s="221"/>
      <c r="F6" s="222"/>
      <c r="G6" s="223"/>
      <c r="H6" s="223"/>
      <c r="I6" s="172"/>
      <c r="J6" s="222"/>
      <c r="K6" s="354"/>
    </row>
    <row r="7" spans="1:12" ht="20.25" customHeight="1">
      <c r="A7" s="509" t="s">
        <v>217</v>
      </c>
      <c r="B7" s="510" t="s">
        <v>218</v>
      </c>
      <c r="C7" s="510" t="s">
        <v>219</v>
      </c>
      <c r="D7" s="510" t="s">
        <v>220</v>
      </c>
      <c r="E7" s="510" t="s">
        <v>221</v>
      </c>
      <c r="F7" s="511" t="s">
        <v>222</v>
      </c>
      <c r="G7" s="512" t="s">
        <v>226</v>
      </c>
      <c r="H7" s="511" t="s">
        <v>230</v>
      </c>
      <c r="I7" s="512" t="s">
        <v>479</v>
      </c>
      <c r="J7" s="513" t="s">
        <v>227</v>
      </c>
      <c r="K7" s="592"/>
    </row>
    <row r="8" spans="1:12" s="224" customFormat="1" ht="21" customHeight="1">
      <c r="A8" s="829" t="s">
        <v>500</v>
      </c>
      <c r="B8" s="488" t="s">
        <v>36</v>
      </c>
      <c r="C8" s="488" t="s">
        <v>45</v>
      </c>
      <c r="D8" s="488" t="s">
        <v>498</v>
      </c>
      <c r="E8" s="488" t="s">
        <v>503</v>
      </c>
      <c r="F8" s="489" t="s">
        <v>475</v>
      </c>
      <c r="G8" s="490">
        <v>6.9</v>
      </c>
      <c r="H8" s="491">
        <v>7.5</v>
      </c>
      <c r="I8" s="491">
        <v>6.6</v>
      </c>
      <c r="J8" s="492" t="s">
        <v>537</v>
      </c>
      <c r="K8" s="593"/>
    </row>
    <row r="9" spans="1:12" s="224" customFormat="1" ht="21" customHeight="1">
      <c r="A9" s="829" t="s">
        <v>540</v>
      </c>
      <c r="B9" s="488" t="s">
        <v>36</v>
      </c>
      <c r="C9" s="488" t="s">
        <v>45</v>
      </c>
      <c r="D9" s="488" t="s">
        <v>542</v>
      </c>
      <c r="E9" s="488" t="s">
        <v>543</v>
      </c>
      <c r="F9" s="489" t="s">
        <v>475</v>
      </c>
      <c r="G9" s="490">
        <v>0.4</v>
      </c>
      <c r="H9" s="491">
        <v>1</v>
      </c>
      <c r="I9" s="491">
        <v>1</v>
      </c>
      <c r="J9" s="492" t="s">
        <v>541</v>
      </c>
      <c r="K9" s="593"/>
    </row>
    <row r="10" spans="1:12" s="224" customFormat="1" ht="28.5" customHeight="1">
      <c r="A10" s="829" t="s">
        <v>551</v>
      </c>
      <c r="B10" s="488" t="s">
        <v>36</v>
      </c>
      <c r="C10" s="488" t="s">
        <v>45</v>
      </c>
      <c r="D10" s="488" t="s">
        <v>555</v>
      </c>
      <c r="E10" s="488" t="s">
        <v>553</v>
      </c>
      <c r="F10" s="489" t="s">
        <v>554</v>
      </c>
      <c r="G10" s="490">
        <v>10</v>
      </c>
      <c r="H10" s="491">
        <v>86.2</v>
      </c>
      <c r="I10" s="491">
        <v>84.1</v>
      </c>
      <c r="J10" s="492" t="s">
        <v>552</v>
      </c>
      <c r="K10" s="593"/>
    </row>
    <row r="11" spans="1:12" s="224" customFormat="1" ht="28.5" customHeight="1">
      <c r="A11" s="829" t="s">
        <v>569</v>
      </c>
      <c r="B11" s="488" t="s">
        <v>37</v>
      </c>
      <c r="C11" s="488" t="s">
        <v>49</v>
      </c>
      <c r="D11" s="488" t="s">
        <v>570</v>
      </c>
      <c r="E11" s="488" t="s">
        <v>571</v>
      </c>
      <c r="F11" s="489" t="s">
        <v>572</v>
      </c>
      <c r="G11" s="490">
        <v>13.8</v>
      </c>
      <c r="H11" s="491">
        <v>21.71</v>
      </c>
      <c r="I11" s="491">
        <v>7.48</v>
      </c>
      <c r="J11" s="492" t="s">
        <v>573</v>
      </c>
      <c r="K11" s="593"/>
    </row>
    <row r="12" spans="1:12" s="224" customFormat="1" ht="36.75" customHeight="1">
      <c r="A12" s="829" t="s">
        <v>600</v>
      </c>
      <c r="B12" s="488" t="s">
        <v>36</v>
      </c>
      <c r="C12" s="488" t="s">
        <v>45</v>
      </c>
      <c r="D12" s="488" t="s">
        <v>555</v>
      </c>
      <c r="E12" s="488" t="s">
        <v>601</v>
      </c>
      <c r="F12" s="489" t="s">
        <v>603</v>
      </c>
      <c r="G12" s="490">
        <v>13.8</v>
      </c>
      <c r="H12" s="491">
        <v>20</v>
      </c>
      <c r="I12" s="491">
        <v>20</v>
      </c>
      <c r="J12" s="492" t="s">
        <v>602</v>
      </c>
      <c r="K12" s="593"/>
    </row>
    <row r="13" spans="1:12" s="224" customFormat="1" ht="33" customHeight="1">
      <c r="A13" s="829" t="s">
        <v>604</v>
      </c>
      <c r="B13" s="488" t="s">
        <v>36</v>
      </c>
      <c r="C13" s="488" t="s">
        <v>45</v>
      </c>
      <c r="D13" s="488" t="s">
        <v>555</v>
      </c>
      <c r="E13" s="488" t="s">
        <v>605</v>
      </c>
      <c r="F13" s="489" t="s">
        <v>603</v>
      </c>
      <c r="G13" s="490">
        <v>13.8</v>
      </c>
      <c r="H13" s="491">
        <v>20</v>
      </c>
      <c r="I13" s="491">
        <v>20</v>
      </c>
      <c r="J13" s="492" t="s">
        <v>606</v>
      </c>
      <c r="K13" s="593"/>
    </row>
    <row r="14" spans="1:12" ht="11.25" customHeight="1">
      <c r="A14" s="514" t="s">
        <v>43</v>
      </c>
      <c r="B14" s="515"/>
      <c r="C14" s="515"/>
      <c r="D14" s="515"/>
      <c r="E14" s="516"/>
      <c r="F14" s="517"/>
      <c r="G14" s="518"/>
      <c r="H14" s="519">
        <f>+H8+H9+H10+H11+H12+H13</f>
        <v>156.41</v>
      </c>
      <c r="I14" s="519">
        <f>+I8+I9+I10+I11+I12+I13</f>
        <v>139.18</v>
      </c>
      <c r="J14" s="520"/>
      <c r="K14" s="594"/>
      <c r="L14" s="595"/>
    </row>
    <row r="15" spans="1:12" ht="13.5" customHeight="1">
      <c r="A15" s="742" t="s">
        <v>574</v>
      </c>
      <c r="B15" s="132"/>
      <c r="C15" s="132"/>
      <c r="D15" s="132"/>
      <c r="E15" s="132"/>
      <c r="F15" s="132"/>
      <c r="G15" s="132"/>
      <c r="H15" s="132"/>
      <c r="I15" s="132"/>
      <c r="J15" s="132"/>
      <c r="K15" s="594"/>
    </row>
    <row r="16" spans="1:12" ht="11.25" customHeight="1">
      <c r="A16" s="909"/>
      <c r="B16" s="909"/>
      <c r="C16" s="909"/>
      <c r="D16" s="909"/>
      <c r="E16" s="909"/>
      <c r="F16" s="909"/>
      <c r="G16" s="909"/>
      <c r="H16" s="909"/>
      <c r="I16" s="909"/>
      <c r="J16" s="909"/>
      <c r="K16" s="594"/>
    </row>
    <row r="17" spans="1:13" ht="11.25" customHeight="1">
      <c r="A17" s="435"/>
      <c r="B17" s="435"/>
      <c r="C17" s="435"/>
      <c r="D17" s="435"/>
      <c r="E17" s="435"/>
      <c r="F17" s="435"/>
      <c r="G17" s="435"/>
      <c r="H17" s="435"/>
      <c r="I17" s="435"/>
      <c r="J17" s="435"/>
      <c r="K17" s="594"/>
      <c r="L17" s="46" t="s">
        <v>228</v>
      </c>
      <c r="M17" s="595"/>
    </row>
    <row r="18" spans="1:13" ht="12.75" customHeight="1">
      <c r="A18" s="910"/>
      <c r="B18" s="910"/>
      <c r="C18" s="910"/>
      <c r="D18" s="910"/>
      <c r="E18" s="910"/>
      <c r="F18" s="910"/>
      <c r="G18" s="910"/>
      <c r="H18" s="910"/>
      <c r="I18" s="910"/>
      <c r="J18" s="910"/>
      <c r="K18" s="594"/>
      <c r="L18" s="46" t="s">
        <v>476</v>
      </c>
      <c r="M18" s="595">
        <f>+I8+I9+I10+I12+I13</f>
        <v>131.69999999999999</v>
      </c>
    </row>
    <row r="19" spans="1:13" ht="11.25" customHeight="1">
      <c r="A19" s="910"/>
      <c r="B19" s="910"/>
      <c r="C19" s="910"/>
      <c r="D19" s="910"/>
      <c r="E19" s="910"/>
      <c r="F19" s="910"/>
      <c r="G19" s="910"/>
      <c r="H19" s="910"/>
      <c r="I19" s="910"/>
      <c r="J19" s="910"/>
      <c r="K19" s="594"/>
      <c r="L19" s="46" t="s">
        <v>570</v>
      </c>
      <c r="M19" s="595">
        <v>7.48</v>
      </c>
    </row>
    <row r="20" spans="1:13" ht="15" customHeight="1">
      <c r="A20" s="229"/>
      <c r="B20" s="225"/>
      <c r="C20" s="225"/>
      <c r="D20" s="225"/>
      <c r="E20" s="225"/>
      <c r="F20" s="225"/>
      <c r="G20" s="225"/>
      <c r="H20" s="230"/>
      <c r="I20" s="230"/>
      <c r="J20" s="230"/>
      <c r="K20" s="594"/>
      <c r="L20" s="46" t="s">
        <v>481</v>
      </c>
      <c r="M20" s="46">
        <v>0</v>
      </c>
    </row>
    <row r="21" spans="1:13" ht="11.25" customHeight="1">
      <c r="A21" s="229"/>
      <c r="B21" s="225"/>
      <c r="C21" s="225"/>
      <c r="D21" s="225"/>
      <c r="E21" s="225"/>
      <c r="F21" s="225"/>
      <c r="G21" s="225"/>
      <c r="H21" s="228"/>
      <c r="I21" s="228" t="s">
        <v>8</v>
      </c>
      <c r="J21" s="228"/>
      <c r="K21" s="594"/>
      <c r="L21" s="46" t="s">
        <v>493</v>
      </c>
      <c r="M21" s="46">
        <v>0</v>
      </c>
    </row>
    <row r="22" spans="1:13" ht="11.25" customHeight="1">
      <c r="A22" s="229"/>
      <c r="B22" s="225"/>
      <c r="C22" s="225"/>
      <c r="D22" s="225"/>
      <c r="E22" s="225"/>
      <c r="F22" s="225"/>
      <c r="G22" s="225"/>
      <c r="H22" s="228"/>
      <c r="I22" s="228"/>
      <c r="J22" s="228"/>
      <c r="K22" s="594"/>
    </row>
    <row r="23" spans="1:13" ht="11.25" customHeight="1">
      <c r="A23" s="229"/>
      <c r="B23" s="225"/>
      <c r="C23" s="225"/>
      <c r="D23" s="225"/>
      <c r="E23" s="225"/>
      <c r="F23" s="225"/>
      <c r="G23" s="225"/>
      <c r="H23" s="228"/>
      <c r="I23" s="228"/>
      <c r="J23" s="228"/>
      <c r="K23" s="594"/>
    </row>
    <row r="24" spans="1:13" ht="9" customHeight="1">
      <c r="A24" s="231"/>
      <c r="B24" s="152"/>
      <c r="C24" s="152"/>
      <c r="D24" s="152"/>
      <c r="E24" s="152"/>
      <c r="F24" s="152"/>
      <c r="G24" s="152"/>
      <c r="H24" s="232"/>
      <c r="I24" s="232"/>
      <c r="J24" s="232"/>
      <c r="K24" s="594"/>
    </row>
    <row r="25" spans="1:13" ht="9" customHeight="1">
      <c r="A25" s="233"/>
      <c r="B25" s="175"/>
      <c r="C25" s="175"/>
      <c r="D25" s="138"/>
      <c r="E25" s="138"/>
      <c r="F25" s="138"/>
      <c r="G25" s="138"/>
      <c r="H25" s="225"/>
      <c r="I25" s="225"/>
      <c r="J25" s="225"/>
      <c r="K25" s="594"/>
    </row>
    <row r="26" spans="1:13" ht="9" customHeight="1">
      <c r="A26" s="214"/>
      <c r="B26" s="138"/>
      <c r="C26" s="138"/>
      <c r="D26" s="138"/>
      <c r="E26" s="138"/>
      <c r="F26" s="138"/>
      <c r="G26" s="138"/>
      <c r="H26" s="225"/>
      <c r="I26" s="225"/>
      <c r="J26" s="225"/>
      <c r="K26" s="594"/>
    </row>
    <row r="27" spans="1:13" ht="11.25" customHeight="1">
      <c r="A27" s="214"/>
      <c r="B27" s="138"/>
      <c r="C27" s="138"/>
      <c r="D27" s="138"/>
      <c r="E27" s="138"/>
      <c r="F27" s="138"/>
      <c r="G27" s="138"/>
      <c r="H27" s="225"/>
      <c r="I27" s="225"/>
      <c r="J27" s="225"/>
      <c r="K27" s="594"/>
    </row>
    <row r="28" spans="1:13" ht="11.25" customHeight="1">
      <c r="A28" s="214"/>
      <c r="B28" s="138"/>
      <c r="C28" s="138"/>
      <c r="D28" s="138"/>
      <c r="E28" s="138"/>
      <c r="F28" s="138"/>
      <c r="G28" s="138"/>
      <c r="H28" s="153"/>
      <c r="I28" s="153"/>
      <c r="J28" s="153"/>
      <c r="K28" s="594"/>
    </row>
    <row r="29" spans="1:13" ht="11.25" customHeight="1">
      <c r="A29" s="226"/>
      <c r="B29" s="158"/>
      <c r="C29" s="158"/>
      <c r="D29" s="158"/>
      <c r="E29" s="158"/>
      <c r="F29" s="158"/>
      <c r="G29" s="158"/>
      <c r="H29" s="158"/>
      <c r="I29" s="158"/>
      <c r="J29" s="158"/>
      <c r="K29" s="594"/>
    </row>
    <row r="30" spans="1:13" ht="11.25" customHeight="1">
      <c r="A30" s="225"/>
      <c r="B30" s="138"/>
      <c r="C30" s="138"/>
      <c r="D30" s="138"/>
      <c r="E30" s="138"/>
      <c r="F30" s="138"/>
      <c r="G30" s="138"/>
      <c r="H30" s="138"/>
      <c r="I30" s="138"/>
      <c r="J30" s="138"/>
      <c r="K30" s="594"/>
    </row>
    <row r="31" spans="1:13" ht="11.25" customHeight="1">
      <c r="A31" s="17"/>
      <c r="B31" s="899" t="str">
        <f>"Gráfico 2: Ingreso de Potencia Efectiva por tipo de Recurso Energético y Tecnología en "&amp;'1. Resumen'!Q4&amp;" "&amp;'1. Resumen'!Q5&amp;" (MW)"</f>
        <v>Gráfico 2: Ingreso de Potencia Efectiva por tipo de Recurso Energético y Tecnología en julio 2019 (MW)</v>
      </c>
      <c r="C31" s="899"/>
      <c r="D31" s="899"/>
      <c r="E31" s="899"/>
      <c r="F31" s="899"/>
      <c r="G31" s="899"/>
      <c r="H31" s="899"/>
      <c r="I31" s="899"/>
      <c r="J31" s="899"/>
      <c r="K31" s="899"/>
    </row>
    <row r="32" spans="1:13" ht="27" hidden="1" customHeight="1">
      <c r="B32" s="911"/>
      <c r="C32" s="911"/>
      <c r="D32" s="911"/>
      <c r="E32" s="911"/>
      <c r="F32" s="911"/>
      <c r="G32" s="911"/>
      <c r="H32" s="911"/>
    </row>
    <row r="33" spans="1:15" ht="22.5" customHeight="1">
      <c r="A33" s="17"/>
      <c r="B33" s="17"/>
      <c r="C33" s="17"/>
      <c r="D33" s="17"/>
      <c r="E33" s="17"/>
      <c r="F33" s="17"/>
      <c r="G33" s="17"/>
      <c r="H33" s="17"/>
      <c r="I33" s="17"/>
      <c r="J33" s="17"/>
      <c r="K33" s="594"/>
    </row>
    <row r="34" spans="1:15" ht="11.25" customHeight="1">
      <c r="A34" s="176" t="s">
        <v>445</v>
      </c>
      <c r="B34" s="132"/>
      <c r="C34" s="227"/>
      <c r="D34" s="132"/>
      <c r="E34" s="132"/>
      <c r="F34" s="132"/>
      <c r="G34" s="132"/>
      <c r="H34" s="132"/>
      <c r="I34" s="132"/>
      <c r="J34" s="132"/>
      <c r="K34" s="594"/>
    </row>
    <row r="35" spans="1:15" ht="11.25" customHeight="1">
      <c r="B35" s="132"/>
      <c r="C35" s="227"/>
      <c r="D35" s="132"/>
      <c r="E35" s="132"/>
      <c r="F35" s="132"/>
      <c r="G35" s="132"/>
      <c r="H35" s="132"/>
      <c r="I35" s="132"/>
      <c r="J35" s="132"/>
      <c r="K35" s="594"/>
    </row>
    <row r="36" spans="1:15" ht="21" customHeight="1">
      <c r="B36" s="897" t="s">
        <v>229</v>
      </c>
      <c r="C36" s="898"/>
      <c r="D36" s="521" t="str">
        <f>UPPER('1. Resumen'!Q4)&amp;" "&amp;'1. Resumen'!Q5</f>
        <v>JULIO 2019</v>
      </c>
      <c r="E36" s="521" t="str">
        <f>UPPER('1. Resumen'!Q4)&amp;" "&amp;'1. Resumen'!Q5-1</f>
        <v>JULIO 2018</v>
      </c>
      <c r="F36" s="522" t="s">
        <v>231</v>
      </c>
      <c r="G36" s="234"/>
      <c r="H36" s="234"/>
      <c r="I36" s="132"/>
      <c r="J36" s="132"/>
    </row>
    <row r="37" spans="1:15" ht="9.75" customHeight="1">
      <c r="B37" s="901" t="s">
        <v>223</v>
      </c>
      <c r="C37" s="902"/>
      <c r="D37" s="493">
        <f>4996.1492475+86.2+20+20</f>
        <v>5122.3492474999994</v>
      </c>
      <c r="E37" s="494">
        <v>4904.5012475000012</v>
      </c>
      <c r="F37" s="495">
        <f>+D37/E37-1</f>
        <v>4.441797218647725E-2</v>
      </c>
      <c r="G37" s="234"/>
      <c r="H37" s="234"/>
      <c r="I37" s="132"/>
      <c r="J37" s="132"/>
      <c r="K37" s="594"/>
    </row>
    <row r="38" spans="1:15" ht="9.75" customHeight="1">
      <c r="B38" s="903" t="s">
        <v>224</v>
      </c>
      <c r="C38" s="904"/>
      <c r="D38" s="496">
        <f>7395.9645+H11</f>
        <v>7417.6745000000001</v>
      </c>
      <c r="E38" s="497">
        <v>7393.5644999999995</v>
      </c>
      <c r="F38" s="498">
        <f>+D38/E38-1</f>
        <v>3.2609440277420187E-3</v>
      </c>
      <c r="G38" s="235"/>
      <c r="H38" s="235"/>
      <c r="M38" s="596"/>
      <c r="N38" s="596"/>
      <c r="O38" s="597"/>
    </row>
    <row r="39" spans="1:15" ht="9.75" customHeight="1">
      <c r="B39" s="905" t="s">
        <v>225</v>
      </c>
      <c r="C39" s="906"/>
      <c r="D39" s="499">
        <v>375.46</v>
      </c>
      <c r="E39" s="500">
        <v>375.46</v>
      </c>
      <c r="F39" s="501">
        <f>+D39/E39-1</f>
        <v>0</v>
      </c>
      <c r="G39" s="235"/>
      <c r="H39" s="235"/>
    </row>
    <row r="40" spans="1:15" ht="9.75" customHeight="1">
      <c r="B40" s="907" t="s">
        <v>81</v>
      </c>
      <c r="C40" s="908"/>
      <c r="D40" s="502">
        <v>285.02</v>
      </c>
      <c r="E40" s="503">
        <v>285.02</v>
      </c>
      <c r="F40" s="504">
        <f>+D40/E40-1</f>
        <v>0</v>
      </c>
      <c r="G40" s="235"/>
      <c r="H40" s="235"/>
    </row>
    <row r="41" spans="1:15" ht="10.5" customHeight="1">
      <c r="B41" s="895" t="s">
        <v>202</v>
      </c>
      <c r="C41" s="896"/>
      <c r="D41" s="505">
        <f>+D37+D38+D39+D40</f>
        <v>13200.503747499999</v>
      </c>
      <c r="E41" s="506">
        <v>12958.5457475</v>
      </c>
      <c r="F41" s="507">
        <f>+D41/E41-1</f>
        <v>1.8671693931911815E-2</v>
      </c>
      <c r="G41" s="434"/>
      <c r="H41" s="235"/>
    </row>
    <row r="42" spans="1:15" ht="11.25" customHeight="1">
      <c r="B42" s="277" t="str">
        <f>"Cuadro N° 2: Comparación de la potencia instalada en el SEIN al término de "&amp;'1. Resumen'!Q4&amp;" "&amp;'1. Resumen'!Q5-1&amp;" y "&amp;'1. Resumen'!Q4&amp;" "&amp;'1. Resumen'!Q5</f>
        <v>Cuadro N° 2: Comparación de la potencia instalada en el SEIN al término de julio 2018 y julio 2019</v>
      </c>
      <c r="C42" s="234"/>
      <c r="D42" s="234"/>
      <c r="E42" s="234"/>
      <c r="F42" s="234"/>
      <c r="G42" s="234"/>
      <c r="H42" s="234"/>
      <c r="I42" s="132"/>
      <c r="J42" s="132"/>
      <c r="K42" s="594"/>
    </row>
    <row r="43" spans="1:15" ht="14.25" customHeight="1">
      <c r="B43" s="277"/>
      <c r="C43" s="234"/>
      <c r="D43" s="234"/>
      <c r="E43" s="234"/>
      <c r="F43" s="234"/>
      <c r="G43" s="234"/>
      <c r="H43" s="234"/>
      <c r="I43" s="132"/>
      <c r="J43" s="132"/>
      <c r="K43" s="594"/>
    </row>
    <row r="44" spans="1:15" ht="9" customHeight="1">
      <c r="B44" s="277"/>
      <c r="C44" s="234"/>
      <c r="D44" s="234"/>
      <c r="E44" s="234"/>
      <c r="F44" s="234"/>
      <c r="G44" s="234"/>
      <c r="H44" s="234"/>
      <c r="I44" s="132"/>
      <c r="J44" s="132"/>
      <c r="K44" s="594"/>
    </row>
    <row r="45" spans="1:15" ht="25.5" customHeight="1">
      <c r="B45" s="277"/>
      <c r="C45" s="234"/>
      <c r="D45" s="234"/>
      <c r="E45" s="234"/>
      <c r="F45" s="234"/>
      <c r="G45" s="234"/>
      <c r="H45" s="234"/>
      <c r="I45" s="132"/>
      <c r="J45" s="132"/>
      <c r="K45" s="594"/>
    </row>
    <row r="46" spans="1:15" ht="11.25" customHeight="1">
      <c r="B46" s="277"/>
      <c r="C46" s="234"/>
      <c r="D46" s="234"/>
      <c r="E46" s="234"/>
      <c r="F46" s="234"/>
      <c r="G46" s="234"/>
      <c r="H46" s="234"/>
      <c r="I46" s="132"/>
      <c r="J46" s="132"/>
      <c r="K46" s="594"/>
    </row>
    <row r="47" spans="1:15" ht="11.25" customHeight="1">
      <c r="A47" s="132"/>
      <c r="C47" s="235"/>
      <c r="D47" s="234"/>
      <c r="E47" s="234"/>
      <c r="F47" s="234"/>
      <c r="G47" s="234"/>
      <c r="H47" s="234"/>
      <c r="I47" s="132"/>
      <c r="J47" s="132"/>
      <c r="K47" s="594"/>
    </row>
    <row r="48" spans="1:15" ht="11.25" customHeight="1">
      <c r="A48" s="132"/>
      <c r="B48" s="132"/>
      <c r="C48" s="132"/>
      <c r="D48" s="132"/>
      <c r="E48" s="132"/>
      <c r="F48" s="132"/>
      <c r="G48" s="132"/>
      <c r="H48" s="132"/>
      <c r="I48" s="132"/>
      <c r="J48" s="132"/>
      <c r="K48" s="594"/>
    </row>
    <row r="49" spans="1:11" ht="11.25" customHeight="1">
      <c r="A49" s="132"/>
      <c r="B49" s="132"/>
      <c r="C49" s="132"/>
      <c r="D49" s="132"/>
      <c r="E49" s="132"/>
      <c r="F49" s="132"/>
      <c r="G49" s="132"/>
      <c r="H49" s="132"/>
      <c r="I49" s="132"/>
      <c r="J49" s="132"/>
      <c r="K49" s="594"/>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35.25" customHeight="1">
      <c r="A57" s="433" t="str">
        <f>"Gráfico N° 3: Comparación de la potencia instalada en el SEIN al término de "&amp;'1. Resumen'!Q4&amp;" "&amp;'1. Resumen'!Q5-1&amp;" y "&amp;'1. Resumen'!Q4&amp;" "&amp;'1. Resumen'!Q5</f>
        <v>Gráfico N° 3: Comparación de la potencia instalada en el SEIN al término de julio 2018 y julio 2019</v>
      </c>
      <c r="C57" s="132"/>
      <c r="D57" s="132"/>
      <c r="E57" s="132"/>
      <c r="F57" s="132"/>
      <c r="G57" s="132"/>
      <c r="H57" s="132"/>
      <c r="I57" s="132"/>
      <c r="J57" s="132"/>
    </row>
  </sheetData>
  <mergeCells count="12">
    <mergeCell ref="B41:C41"/>
    <mergeCell ref="B36:C36"/>
    <mergeCell ref="B31:K31"/>
    <mergeCell ref="A2:J2"/>
    <mergeCell ref="B37:C37"/>
    <mergeCell ref="B38:C38"/>
    <mergeCell ref="B39:C39"/>
    <mergeCell ref="B40:C40"/>
    <mergeCell ref="A16:J16"/>
    <mergeCell ref="A18:J18"/>
    <mergeCell ref="B32:H32"/>
    <mergeCell ref="A19:J19"/>
  </mergeCells>
  <conditionalFormatting sqref="A22:A24">
    <cfRule type="containsText" dxfId="6" priority="5" stopIfTrue="1" operator="containsText" text=" 0%">
      <formula>NOT(ISERROR(SEARCH(" 0%",A22)))</formula>
    </cfRule>
    <cfRule type="containsText" dxfId="5" priority="6" stopIfTrue="1" operator="containsText" text="0.0%">
      <formula>NOT(ISERROR(SEARCH("0.0%",A22)))</formula>
    </cfRule>
  </conditionalFormatting>
  <conditionalFormatting sqref="A20">
    <cfRule type="containsText" dxfId="4" priority="3" stopIfTrue="1" operator="containsText" text=" 0%">
      <formula>NOT(ISERROR(SEARCH(" 0%",A20)))</formula>
    </cfRule>
    <cfRule type="containsText" dxfId="3" priority="4" stopIfTrue="1" operator="containsText" text="0.0%">
      <formula>NOT(ISERROR(SEARCH("0.0%",A20)))</formula>
    </cfRule>
  </conditionalFormatting>
  <conditionalFormatting sqref="A21">
    <cfRule type="containsText" dxfId="2" priority="1" stopIfTrue="1" operator="containsText" text=" 0%">
      <formula>NOT(ISERROR(SEARCH(" 0%",A21)))</formula>
    </cfRule>
    <cfRule type="containsText" dxfId="1" priority="2" stopIfTrue="1" operator="containsText" text="0.0%">
      <formula>NOT(ISERROR(SEARCH("0.0%",A21)))</formula>
    </cfRule>
  </conditionalFormatting>
  <pageMargins left="0.70866141732283472" right="0.59055118110236227"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7A5"/>
  </sheetPr>
  <dimension ref="A1:K69"/>
  <sheetViews>
    <sheetView showGridLines="0" view="pageBreakPreview" zoomScale="115" zoomScaleNormal="100" zoomScaleSheetLayoutView="115" zoomScalePageLayoutView="145" workbookViewId="0">
      <selection activeCell="U69" sqref="T69:U69"/>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16" t="s">
        <v>233</v>
      </c>
      <c r="B2" s="916"/>
      <c r="C2" s="916"/>
      <c r="D2" s="916"/>
      <c r="E2" s="916"/>
      <c r="F2" s="916"/>
      <c r="G2" s="916"/>
      <c r="H2" s="916"/>
      <c r="I2" s="916"/>
      <c r="J2" s="916"/>
      <c r="K2" s="916"/>
    </row>
    <row r="3" spans="1:11" ht="11.25" customHeight="1">
      <c r="A3" s="83"/>
      <c r="B3" s="84"/>
      <c r="C3" s="85"/>
      <c r="D3" s="86"/>
      <c r="E3" s="86"/>
      <c r="F3" s="86"/>
      <c r="G3" s="86"/>
      <c r="H3" s="83"/>
      <c r="I3" s="83"/>
      <c r="J3" s="83"/>
      <c r="K3" s="87"/>
    </row>
    <row r="4" spans="1:11" ht="11.25" customHeight="1">
      <c r="A4" s="917" t="str">
        <f>+"3.1. PRODUCCIÓN POR TIPO DE GENERACIÓN (GWh)"</f>
        <v>3.1. PRODUCCIÓN POR TIPO DE GENERACIÓN (GWh)</v>
      </c>
      <c r="B4" s="917"/>
      <c r="C4" s="917"/>
      <c r="D4" s="917"/>
      <c r="E4" s="917"/>
      <c r="F4" s="917"/>
      <c r="G4" s="917"/>
      <c r="H4" s="917"/>
      <c r="I4" s="917"/>
      <c r="J4" s="917"/>
      <c r="K4" s="917"/>
    </row>
    <row r="5" spans="1:11" ht="11.25" customHeight="1">
      <c r="A5" s="54"/>
      <c r="B5" s="88"/>
      <c r="C5" s="89"/>
      <c r="D5" s="90"/>
      <c r="E5" s="90"/>
      <c r="F5" s="90"/>
      <c r="G5" s="90"/>
      <c r="H5" s="91"/>
      <c r="I5" s="83"/>
      <c r="J5" s="83"/>
      <c r="K5" s="92"/>
    </row>
    <row r="6" spans="1:11" ht="18" customHeight="1">
      <c r="A6" s="914" t="s">
        <v>32</v>
      </c>
      <c r="B6" s="918" t="s">
        <v>33</v>
      </c>
      <c r="C6" s="919"/>
      <c r="D6" s="919"/>
      <c r="E6" s="919" t="s">
        <v>34</v>
      </c>
      <c r="F6" s="919"/>
      <c r="G6" s="920" t="str">
        <f>"Generación Acumulada a "&amp;'1. Resumen'!Q4</f>
        <v>Generación Acumulada a julio</v>
      </c>
      <c r="H6" s="920"/>
      <c r="I6" s="920"/>
      <c r="J6" s="920"/>
      <c r="K6" s="921"/>
    </row>
    <row r="7" spans="1:11" ht="32.25" customHeight="1">
      <c r="A7" s="915"/>
      <c r="B7" s="523">
        <f>+C7-30</f>
        <v>43589</v>
      </c>
      <c r="C7" s="523">
        <f>+D7-28</f>
        <v>43619</v>
      </c>
      <c r="D7" s="523">
        <f>+'1. Resumen'!Q6</f>
        <v>43647</v>
      </c>
      <c r="E7" s="523">
        <f>+D7-365</f>
        <v>43282</v>
      </c>
      <c r="F7" s="524" t="s">
        <v>35</v>
      </c>
      <c r="G7" s="525">
        <v>2019</v>
      </c>
      <c r="H7" s="525">
        <v>2018</v>
      </c>
      <c r="I7" s="524" t="s">
        <v>505</v>
      </c>
      <c r="J7" s="525">
        <v>2017</v>
      </c>
      <c r="K7" s="526" t="s">
        <v>42</v>
      </c>
    </row>
    <row r="8" spans="1:11" ht="15" customHeight="1">
      <c r="A8" s="116" t="s">
        <v>36</v>
      </c>
      <c r="B8" s="372">
        <v>2777.6083443199996</v>
      </c>
      <c r="C8" s="368">
        <v>2126.5101631349999</v>
      </c>
      <c r="D8" s="373">
        <v>2070.9468782574995</v>
      </c>
      <c r="E8" s="372">
        <v>1997.8919180625003</v>
      </c>
      <c r="F8" s="243">
        <f>IF(E8=0,"",D8/E8-1)</f>
        <v>3.6566022182944691E-2</v>
      </c>
      <c r="G8" s="380">
        <v>18664.044752220005</v>
      </c>
      <c r="H8" s="368">
        <v>18325.8867875875</v>
      </c>
      <c r="I8" s="247">
        <f>IF(H8=0,"",G8/H8-1)</f>
        <v>1.8452474827114207E-2</v>
      </c>
      <c r="J8" s="372">
        <v>17284.832149602615</v>
      </c>
      <c r="K8" s="243">
        <f t="shared" ref="K8:K15" si="0">IF(J8=0,"",H8/J8-1)</f>
        <v>6.0229375036703559E-2</v>
      </c>
    </row>
    <row r="9" spans="1:11" ht="15" customHeight="1">
      <c r="A9" s="117" t="s">
        <v>37</v>
      </c>
      <c r="B9" s="374">
        <v>1507.6794595724996</v>
      </c>
      <c r="C9" s="253">
        <v>1962.1936843125006</v>
      </c>
      <c r="D9" s="375">
        <v>2112.5234429574994</v>
      </c>
      <c r="E9" s="374">
        <v>2022.4257541475008</v>
      </c>
      <c r="F9" s="244">
        <f t="shared" ref="F9:F15" si="1">IF(E9=0,"",D9/E9-1)</f>
        <v>4.454931837434839E-2</v>
      </c>
      <c r="G9" s="381">
        <v>10731.105528872504</v>
      </c>
      <c r="H9" s="253">
        <v>9826.5087753150001</v>
      </c>
      <c r="I9" s="248">
        <f t="shared" ref="I9:I15" si="2">IF(H9=0,"",G9/H9-1)</f>
        <v>9.2056779700835811E-2</v>
      </c>
      <c r="J9" s="374">
        <v>10509.09254780483</v>
      </c>
      <c r="K9" s="244">
        <f t="shared" si="0"/>
        <v>-6.4951732928873129E-2</v>
      </c>
    </row>
    <row r="10" spans="1:11" ht="15" customHeight="1">
      <c r="A10" s="118" t="s">
        <v>38</v>
      </c>
      <c r="B10" s="376">
        <v>142.54842389999999</v>
      </c>
      <c r="C10" s="254">
        <v>147.78231510000001</v>
      </c>
      <c r="D10" s="377">
        <v>157.13154374249999</v>
      </c>
      <c r="E10" s="376">
        <v>130.32940518999999</v>
      </c>
      <c r="F10" s="245">
        <f>IF(E10=0,"",D10/E10-1)</f>
        <v>0.20564920490066418</v>
      </c>
      <c r="G10" s="382">
        <v>952.25199118749993</v>
      </c>
      <c r="H10" s="254">
        <v>788.91402797000001</v>
      </c>
      <c r="I10" s="249">
        <f t="shared" si="2"/>
        <v>0.20704152471188042</v>
      </c>
      <c r="J10" s="376">
        <v>541.74678969389709</v>
      </c>
      <c r="K10" s="245">
        <f t="shared" si="0"/>
        <v>0.45624126063720594</v>
      </c>
    </row>
    <row r="11" spans="1:11" ht="15" customHeight="1">
      <c r="A11" s="117" t="s">
        <v>30</v>
      </c>
      <c r="B11" s="374">
        <v>57.417002814999996</v>
      </c>
      <c r="C11" s="253">
        <v>52.871938625000006</v>
      </c>
      <c r="D11" s="375">
        <v>57.339797814999997</v>
      </c>
      <c r="E11" s="374">
        <v>49.3644935425</v>
      </c>
      <c r="F11" s="244">
        <f>IF(E11=0,"",D11/E11-1)</f>
        <v>0.16155952791521533</v>
      </c>
      <c r="G11" s="381">
        <v>398.70179571499995</v>
      </c>
      <c r="H11" s="253">
        <v>380.15961603249997</v>
      </c>
      <c r="I11" s="248">
        <f t="shared" si="2"/>
        <v>4.8774722249600444E-2</v>
      </c>
      <c r="J11" s="374">
        <v>122.21345060204001</v>
      </c>
      <c r="K11" s="244">
        <f t="shared" si="0"/>
        <v>2.1106201008136356</v>
      </c>
    </row>
    <row r="12" spans="1:11" ht="15" customHeight="1">
      <c r="A12" s="145" t="s">
        <v>43</v>
      </c>
      <c r="B12" s="378">
        <f>+SUM(B8:B11)</f>
        <v>4485.2532306074991</v>
      </c>
      <c r="C12" s="369">
        <f t="shared" ref="C12:E12" si="3">+SUM(C8:C11)</f>
        <v>4289.3581011725009</v>
      </c>
      <c r="D12" s="379">
        <f t="shared" si="3"/>
        <v>4397.9416627724986</v>
      </c>
      <c r="E12" s="378">
        <f t="shared" si="3"/>
        <v>4200.0115709425008</v>
      </c>
      <c r="F12" s="246">
        <f>IF(E12=0,"",D12/E12-1)</f>
        <v>4.71260825087636E-2</v>
      </c>
      <c r="G12" s="378">
        <f t="shared" ref="G12:J12" si="4">+SUM(G8:G11)</f>
        <v>30746.104067995006</v>
      </c>
      <c r="H12" s="369">
        <f t="shared" si="4"/>
        <v>29321.469206905</v>
      </c>
      <c r="I12" s="250">
        <f>IF(H12=0,"",G12/H12-1)</f>
        <v>4.8586748878003405E-2</v>
      </c>
      <c r="J12" s="378">
        <f t="shared" si="4"/>
        <v>28457.884937703384</v>
      </c>
      <c r="K12" s="246">
        <f t="shared" si="0"/>
        <v>3.0346045431418167E-2</v>
      </c>
    </row>
    <row r="13" spans="1:11" ht="15" customHeight="1">
      <c r="A13" s="112"/>
      <c r="B13" s="112"/>
      <c r="C13" s="112"/>
      <c r="D13" s="112"/>
      <c r="E13" s="112"/>
      <c r="F13" s="114"/>
      <c r="G13" s="112"/>
      <c r="H13" s="112"/>
      <c r="I13" s="114"/>
      <c r="J13" s="113"/>
      <c r="K13" s="114" t="str">
        <f t="shared" si="0"/>
        <v/>
      </c>
    </row>
    <row r="14" spans="1:11" ht="15" customHeight="1">
      <c r="A14" s="119" t="s">
        <v>39</v>
      </c>
      <c r="B14" s="241">
        <v>10.66193083000001</v>
      </c>
      <c r="C14" s="242">
        <v>17.062013390000004</v>
      </c>
      <c r="D14" s="371">
        <v>8.3070756200000098</v>
      </c>
      <c r="E14" s="241">
        <v>3.7181487299999998</v>
      </c>
      <c r="F14" s="120">
        <f t="shared" si="1"/>
        <v>1.2341966992805071</v>
      </c>
      <c r="G14" s="241">
        <v>38.304252080000019</v>
      </c>
      <c r="H14" s="242">
        <v>7.5429587299999996</v>
      </c>
      <c r="I14" s="123">
        <f t="shared" si="2"/>
        <v>4.0781468454355467</v>
      </c>
      <c r="J14" s="241">
        <v>16.595158999999999</v>
      </c>
      <c r="K14" s="120">
        <f t="shared" si="0"/>
        <v>-0.54547234347076756</v>
      </c>
    </row>
    <row r="15" spans="1:11" ht="15" customHeight="1">
      <c r="A15" s="118" t="s">
        <v>40</v>
      </c>
      <c r="B15" s="238">
        <v>0</v>
      </c>
      <c r="C15" s="239">
        <v>0</v>
      </c>
      <c r="D15" s="240">
        <v>0</v>
      </c>
      <c r="E15" s="238">
        <v>0</v>
      </c>
      <c r="F15" s="121" t="str">
        <f t="shared" si="1"/>
        <v/>
      </c>
      <c r="G15" s="238">
        <v>0</v>
      </c>
      <c r="H15" s="239">
        <v>0</v>
      </c>
      <c r="I15" s="115" t="str">
        <f t="shared" si="2"/>
        <v/>
      </c>
      <c r="J15" s="238">
        <v>0</v>
      </c>
      <c r="K15" s="121" t="str">
        <f t="shared" si="0"/>
        <v/>
      </c>
    </row>
    <row r="16" spans="1:11" ht="23.25" customHeight="1">
      <c r="A16" s="125" t="s">
        <v>41</v>
      </c>
      <c r="B16" s="251">
        <v>0</v>
      </c>
      <c r="C16" s="252">
        <v>0</v>
      </c>
      <c r="D16" s="439">
        <v>0</v>
      </c>
      <c r="E16" s="251">
        <v>0</v>
      </c>
      <c r="F16" s="122"/>
      <c r="G16" s="251">
        <v>0</v>
      </c>
      <c r="H16" s="252">
        <v>0</v>
      </c>
      <c r="I16" s="124"/>
      <c r="J16" s="251">
        <v>0</v>
      </c>
      <c r="K16" s="122"/>
    </row>
    <row r="17" spans="1:11" ht="11.25" customHeight="1">
      <c r="A17" s="237" t="s">
        <v>232</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12"/>
      <c r="C42" s="912"/>
      <c r="D42" s="912"/>
      <c r="E42" s="93"/>
      <c r="F42" s="93"/>
      <c r="G42" s="913"/>
      <c r="H42" s="913"/>
      <c r="I42" s="913"/>
      <c r="J42" s="913"/>
      <c r="K42" s="913"/>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7" t="str">
        <f>"Gráfico N° 4: Comparación de la producción de energía eléctrica por tipo de generación acumulada a "&amp;'1. Resumen'!Q4</f>
        <v>Gráfico N° 4: Comparación de la producción de energía eléctrica por tipo de generación acumulada a julio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4173228346456694" bottom="0.62992125984251968" header="0.31496062992125984" footer="0.31496062992125984"/>
  <pageSetup paperSize="9" scale="89" orientation="portrait" r:id="rId1"/>
  <headerFooter>
    <oddHeader>&amp;R&amp;7Informe de la Operación Mensual-Julio 2019
INFSGI-MES-07-2019
08/08/2019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7A5"/>
  </sheetPr>
  <dimension ref="A1:L63"/>
  <sheetViews>
    <sheetView showGridLines="0" view="pageBreakPreview" zoomScale="115" zoomScaleNormal="100" zoomScaleSheetLayoutView="115" zoomScalePageLayoutView="145" workbookViewId="0">
      <selection activeCell="J14" sqref="J14"/>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5" bestFit="1" customWidth="1"/>
    <col min="10" max="10" width="9.83203125" customWidth="1"/>
    <col min="11" max="11" width="9.33203125" customWidth="1"/>
  </cols>
  <sheetData>
    <row r="1" spans="1:12" ht="11.25" customHeight="1"/>
    <row r="2" spans="1:12" ht="11.25" customHeight="1">
      <c r="A2" s="922" t="str">
        <f>+"3.2. PRODUCCIÓN POR TIPO DE RECURSO ENERGÉTICO (GWh)"</f>
        <v>3.2. PRODUCCIÓN POR TIPO DE RECURSO ENERGÉTICO (GWh)</v>
      </c>
      <c r="B2" s="922"/>
      <c r="C2" s="922"/>
      <c r="D2" s="922"/>
      <c r="E2" s="922"/>
      <c r="F2" s="922"/>
      <c r="G2" s="922"/>
      <c r="H2" s="922"/>
      <c r="I2" s="922"/>
      <c r="J2" s="922"/>
      <c r="K2" s="922"/>
    </row>
    <row r="3" spans="1:12" ht="18.75" customHeight="1">
      <c r="A3" s="126"/>
      <c r="B3" s="127"/>
      <c r="C3" s="128"/>
      <c r="D3" s="129"/>
      <c r="E3" s="129"/>
      <c r="F3" s="129"/>
      <c r="G3" s="130"/>
      <c r="H3" s="130"/>
      <c r="I3" s="130"/>
      <c r="J3" s="126"/>
      <c r="K3" s="126"/>
      <c r="L3" s="36"/>
    </row>
    <row r="4" spans="1:12" ht="14.25" customHeight="1">
      <c r="A4" s="926" t="s">
        <v>44</v>
      </c>
      <c r="B4" s="923" t="s">
        <v>33</v>
      </c>
      <c r="C4" s="924"/>
      <c r="D4" s="924"/>
      <c r="E4" s="924" t="s">
        <v>34</v>
      </c>
      <c r="F4" s="924"/>
      <c r="G4" s="925" t="str">
        <f>+'3. Tipo Generación'!G6:K6</f>
        <v>Generación Acumulada a julio</v>
      </c>
      <c r="H4" s="925"/>
      <c r="I4" s="925"/>
      <c r="J4" s="925"/>
      <c r="K4" s="925"/>
      <c r="L4" s="131"/>
    </row>
    <row r="5" spans="1:12" ht="26.25" customHeight="1">
      <c r="A5" s="926"/>
      <c r="B5" s="527">
        <f>+'3. Tipo Generación'!B7</f>
        <v>43589</v>
      </c>
      <c r="C5" s="527">
        <f>+'3. Tipo Generación'!C7</f>
        <v>43619</v>
      </c>
      <c r="D5" s="527">
        <f>+'3. Tipo Generación'!D7</f>
        <v>43647</v>
      </c>
      <c r="E5" s="527">
        <f>+'3. Tipo Generación'!E7</f>
        <v>43282</v>
      </c>
      <c r="F5" s="528" t="s">
        <v>35</v>
      </c>
      <c r="G5" s="529">
        <v>2019</v>
      </c>
      <c r="H5" s="529">
        <v>2018</v>
      </c>
      <c r="I5" s="528" t="s">
        <v>505</v>
      </c>
      <c r="J5" s="529">
        <v>2017</v>
      </c>
      <c r="K5" s="528" t="s">
        <v>42</v>
      </c>
      <c r="L5" s="19"/>
    </row>
    <row r="6" spans="1:12" ht="11.25" customHeight="1">
      <c r="A6" s="139" t="s">
        <v>45</v>
      </c>
      <c r="B6" s="311">
        <v>2777.6083443199996</v>
      </c>
      <c r="C6" s="312">
        <v>2126.5101631349999</v>
      </c>
      <c r="D6" s="313">
        <v>2070.9468782574995</v>
      </c>
      <c r="E6" s="311">
        <v>1997.8919180625003</v>
      </c>
      <c r="F6" s="258">
        <f>IF(E6=0,"",D6/E6-1)</f>
        <v>3.6566022182944691E-2</v>
      </c>
      <c r="G6" s="311">
        <v>18664.044752220005</v>
      </c>
      <c r="H6" s="312">
        <v>18325.8867875875</v>
      </c>
      <c r="I6" s="258">
        <f t="shared" ref="I6:I16" si="0">IF(H6=0,"",G6/H6-1)</f>
        <v>1.8452474827114207E-2</v>
      </c>
      <c r="J6" s="311">
        <v>17284.832149602615</v>
      </c>
      <c r="K6" s="258">
        <f>IF(J6=0,"",H6/J6-1)</f>
        <v>6.0229375036703559E-2</v>
      </c>
      <c r="L6" s="24"/>
    </row>
    <row r="7" spans="1:12" ht="11.25" customHeight="1">
      <c r="A7" s="140" t="s">
        <v>51</v>
      </c>
      <c r="B7" s="314">
        <v>1393.3012263924998</v>
      </c>
      <c r="C7" s="253">
        <v>1853.0653860300004</v>
      </c>
      <c r="D7" s="315">
        <v>1990.5337986899995</v>
      </c>
      <c r="E7" s="314">
        <v>1851.7327688475004</v>
      </c>
      <c r="F7" s="259">
        <f t="shared" ref="F7:F18" si="1">IF(E7=0,"",D7/E7-1)</f>
        <v>7.4957376235712081E-2</v>
      </c>
      <c r="G7" s="314">
        <v>9986.6223478845313</v>
      </c>
      <c r="H7" s="253">
        <v>9168.6644676100004</v>
      </c>
      <c r="I7" s="259">
        <f t="shared" si="0"/>
        <v>8.921232565158399E-2</v>
      </c>
      <c r="J7" s="314">
        <v>9172.7644845748946</v>
      </c>
      <c r="K7" s="259">
        <f t="shared" ref="K7:K19" si="2">IF(J7=0,"",H7/J7-1)</f>
        <v>-4.4697724135278616E-4</v>
      </c>
      <c r="L7" s="22"/>
    </row>
    <row r="8" spans="1:12" ht="11.25" customHeight="1">
      <c r="A8" s="141" t="s">
        <v>52</v>
      </c>
      <c r="B8" s="316">
        <v>59.229149825</v>
      </c>
      <c r="C8" s="254">
        <v>58.869007142500003</v>
      </c>
      <c r="D8" s="317">
        <v>64.338034285000006</v>
      </c>
      <c r="E8" s="316">
        <v>70.669869724999998</v>
      </c>
      <c r="F8" s="437">
        <f t="shared" si="1"/>
        <v>-8.9597383788017071E-2</v>
      </c>
      <c r="G8" s="316">
        <v>315.18083659999991</v>
      </c>
      <c r="H8" s="254">
        <v>290.84472570249994</v>
      </c>
      <c r="I8" s="437">
        <f t="shared" si="0"/>
        <v>8.3673894510959634E-2</v>
      </c>
      <c r="J8" s="316">
        <v>229.67548908790988</v>
      </c>
      <c r="K8" s="437">
        <f t="shared" si="2"/>
        <v>0.26632897074697026</v>
      </c>
      <c r="L8" s="22"/>
    </row>
    <row r="9" spans="1:12" ht="11.25" customHeight="1">
      <c r="A9" s="140" t="s">
        <v>53</v>
      </c>
      <c r="B9" s="314">
        <v>31.384223532500002</v>
      </c>
      <c r="C9" s="253">
        <v>22.282443610000001</v>
      </c>
      <c r="D9" s="315">
        <v>27.007340322499999</v>
      </c>
      <c r="E9" s="314">
        <v>61.959598970000009</v>
      </c>
      <c r="F9" s="259">
        <f t="shared" si="1"/>
        <v>-0.56411370035534625</v>
      </c>
      <c r="G9" s="314">
        <v>134.0848241875</v>
      </c>
      <c r="H9" s="253">
        <v>175.03820562000001</v>
      </c>
      <c r="I9" s="259">
        <f t="shared" si="0"/>
        <v>-0.23396824303265507</v>
      </c>
      <c r="J9" s="314">
        <v>43.204347514600897</v>
      </c>
      <c r="K9" s="259">
        <f t="shared" si="2"/>
        <v>3.0514025946311518</v>
      </c>
      <c r="L9" s="22"/>
    </row>
    <row r="10" spans="1:12" ht="11.25" customHeight="1">
      <c r="A10" s="141" t="s">
        <v>54</v>
      </c>
      <c r="B10" s="316">
        <v>0</v>
      </c>
      <c r="C10" s="254">
        <v>0</v>
      </c>
      <c r="D10" s="317">
        <v>0</v>
      </c>
      <c r="E10" s="316">
        <v>0</v>
      </c>
      <c r="F10" s="437" t="str">
        <f t="shared" si="1"/>
        <v/>
      </c>
      <c r="G10" s="316">
        <v>0</v>
      </c>
      <c r="H10" s="254">
        <v>0</v>
      </c>
      <c r="I10" s="437" t="str">
        <f t="shared" si="0"/>
        <v/>
      </c>
      <c r="J10" s="316">
        <v>9.7034091828799998</v>
      </c>
      <c r="K10" s="437">
        <f t="shared" si="2"/>
        <v>-1</v>
      </c>
      <c r="L10" s="22"/>
    </row>
    <row r="11" spans="1:12" ht="11.25" customHeight="1">
      <c r="A11" s="140" t="s">
        <v>26</v>
      </c>
      <c r="B11" s="314">
        <v>0</v>
      </c>
      <c r="C11" s="253">
        <v>0</v>
      </c>
      <c r="D11" s="315">
        <v>4.104278055</v>
      </c>
      <c r="E11" s="314">
        <v>10.7779047775</v>
      </c>
      <c r="F11" s="259">
        <f t="shared" si="1"/>
        <v>-0.61919518313354294</v>
      </c>
      <c r="G11" s="314">
        <v>22.387534665</v>
      </c>
      <c r="H11" s="253">
        <v>37.679417740000005</v>
      </c>
      <c r="I11" s="259">
        <f t="shared" si="0"/>
        <v>-0.40584180945997816</v>
      </c>
      <c r="J11" s="314">
        <v>465.26369014819176</v>
      </c>
      <c r="K11" s="259">
        <f t="shared" si="2"/>
        <v>-0.91901491877004482</v>
      </c>
      <c r="L11" s="24"/>
    </row>
    <row r="12" spans="1:12" ht="11.25" customHeight="1">
      <c r="A12" s="141" t="s">
        <v>46</v>
      </c>
      <c r="B12" s="316">
        <v>3.7172728724999997</v>
      </c>
      <c r="C12" s="254">
        <v>0.26427637249999997</v>
      </c>
      <c r="D12" s="317">
        <v>7.51934925E-2</v>
      </c>
      <c r="E12" s="316">
        <v>2.5452786525</v>
      </c>
      <c r="F12" s="437">
        <f t="shared" si="1"/>
        <v>-0.97045765797542671</v>
      </c>
      <c r="G12" s="316">
        <v>42.024336214999991</v>
      </c>
      <c r="H12" s="254">
        <v>4.3479444000000003</v>
      </c>
      <c r="I12" s="437">
        <f t="shared" si="0"/>
        <v>8.6653343163725793</v>
      </c>
      <c r="J12" s="316">
        <v>80.571427396593961</v>
      </c>
      <c r="K12" s="437">
        <f t="shared" si="2"/>
        <v>-0.94603615027696775</v>
      </c>
      <c r="L12" s="22"/>
    </row>
    <row r="13" spans="1:12" ht="11.25" customHeight="1">
      <c r="A13" s="140" t="s">
        <v>47</v>
      </c>
      <c r="B13" s="314">
        <v>0</v>
      </c>
      <c r="C13" s="253">
        <v>2.4911477500000001E-2</v>
      </c>
      <c r="D13" s="315">
        <v>0.13735237749999998</v>
      </c>
      <c r="E13" s="314">
        <v>0.56992320750000003</v>
      </c>
      <c r="F13" s="259">
        <f>IF(E13=0,"",D13/E13-1)</f>
        <v>-0.75899844804968752</v>
      </c>
      <c r="G13" s="314">
        <v>0.226881735</v>
      </c>
      <c r="H13" s="253">
        <v>1.99292362</v>
      </c>
      <c r="I13" s="259">
        <f t="shared" si="0"/>
        <v>-0.88615633197222077</v>
      </c>
      <c r="J13" s="314">
        <v>0.24963529262500003</v>
      </c>
      <c r="K13" s="259">
        <f t="shared" si="2"/>
        <v>6.9833408130866834</v>
      </c>
      <c r="L13" s="22"/>
    </row>
    <row r="14" spans="1:12" ht="11.25" customHeight="1">
      <c r="A14" s="141" t="s">
        <v>48</v>
      </c>
      <c r="B14" s="316">
        <v>0.59584920750000003</v>
      </c>
      <c r="C14" s="254">
        <v>5.4336271749999998</v>
      </c>
      <c r="D14" s="317">
        <v>0.84243127000000007</v>
      </c>
      <c r="E14" s="316">
        <v>13.140289372499998</v>
      </c>
      <c r="F14" s="437">
        <f>IF(E14=0,"",D14/E14-1)</f>
        <v>-0.93588944306180655</v>
      </c>
      <c r="G14" s="316">
        <v>97.011641615468776</v>
      </c>
      <c r="H14" s="254">
        <v>71.633362834999986</v>
      </c>
      <c r="I14" s="437">
        <f t="shared" si="0"/>
        <v>0.35428015349391062</v>
      </c>
      <c r="J14" s="316">
        <v>436.27031135880492</v>
      </c>
      <c r="K14" s="437">
        <f t="shared" si="2"/>
        <v>-0.83580509383760004</v>
      </c>
      <c r="L14" s="22"/>
    </row>
    <row r="15" spans="1:12" ht="11.25" customHeight="1">
      <c r="A15" s="140" t="s">
        <v>49</v>
      </c>
      <c r="B15" s="314">
        <v>14.752440460000001</v>
      </c>
      <c r="C15" s="253">
        <v>17.834231412499999</v>
      </c>
      <c r="D15" s="315">
        <v>19.2527546725</v>
      </c>
      <c r="E15" s="314">
        <v>8.1191125700000004</v>
      </c>
      <c r="F15" s="259">
        <f t="shared" si="1"/>
        <v>1.3712880572242145</v>
      </c>
      <c r="G15" s="314">
        <v>95.716811860000007</v>
      </c>
      <c r="H15" s="253">
        <v>50.502784532499994</v>
      </c>
      <c r="I15" s="259">
        <f>IF(H15=0,"",G15/H15-1)</f>
        <v>0.89527790885279779</v>
      </c>
      <c r="J15" s="314">
        <v>48.957428242631231</v>
      </c>
      <c r="K15" s="259">
        <f t="shared" si="2"/>
        <v>3.156530776514721E-2</v>
      </c>
      <c r="L15" s="22"/>
    </row>
    <row r="16" spans="1:12" ht="11.25" customHeight="1">
      <c r="A16" s="141" t="s">
        <v>50</v>
      </c>
      <c r="B16" s="316">
        <v>4.6992972824999999</v>
      </c>
      <c r="C16" s="254">
        <v>4.4198010925000002</v>
      </c>
      <c r="D16" s="317">
        <v>6.2322597924999998</v>
      </c>
      <c r="E16" s="316">
        <v>2.9110080250000001</v>
      </c>
      <c r="F16" s="437">
        <f t="shared" si="1"/>
        <v>1.1409284134488087</v>
      </c>
      <c r="G16" s="316">
        <v>37.850314109999999</v>
      </c>
      <c r="H16" s="254">
        <v>25.804943254999998</v>
      </c>
      <c r="I16" s="437">
        <f t="shared" si="0"/>
        <v>0.46678540371004607</v>
      </c>
      <c r="J16" s="316">
        <v>22.432325005696626</v>
      </c>
      <c r="K16" s="437">
        <f t="shared" si="2"/>
        <v>0.15034635279432274</v>
      </c>
      <c r="L16" s="22"/>
    </row>
    <row r="17" spans="1:12" ht="11.25" customHeight="1">
      <c r="A17" s="140" t="s">
        <v>30</v>
      </c>
      <c r="B17" s="314">
        <v>57.417002814999996</v>
      </c>
      <c r="C17" s="253">
        <v>52.871938625000006</v>
      </c>
      <c r="D17" s="315">
        <v>57.339797814999997</v>
      </c>
      <c r="E17" s="314">
        <v>49.3644935425</v>
      </c>
      <c r="F17" s="259">
        <f t="shared" si="1"/>
        <v>0.16155952791521533</v>
      </c>
      <c r="G17" s="314">
        <v>398.70179571499995</v>
      </c>
      <c r="H17" s="253">
        <v>380.15961603249997</v>
      </c>
      <c r="I17" s="259">
        <f>IF(H17=0,"",G17/H17-1)</f>
        <v>4.8774722249600444E-2</v>
      </c>
      <c r="J17" s="314">
        <v>122.21345060204001</v>
      </c>
      <c r="K17" s="259">
        <f t="shared" si="2"/>
        <v>2.1106201008136356</v>
      </c>
      <c r="L17" s="22"/>
    </row>
    <row r="18" spans="1:12" ht="11.25" customHeight="1">
      <c r="A18" s="141" t="s">
        <v>29</v>
      </c>
      <c r="B18" s="316">
        <v>142.54842389999999</v>
      </c>
      <c r="C18" s="254">
        <v>147.78231510000001</v>
      </c>
      <c r="D18" s="317">
        <v>157.13154374249999</v>
      </c>
      <c r="E18" s="316">
        <v>130.32940518999999</v>
      </c>
      <c r="F18" s="437">
        <f t="shared" si="1"/>
        <v>0.20564920490066418</v>
      </c>
      <c r="G18" s="316">
        <v>952.25199118749993</v>
      </c>
      <c r="H18" s="254">
        <v>788.91402797000001</v>
      </c>
      <c r="I18" s="437">
        <f>IF(H18=0,"",G18/H18-1)</f>
        <v>0.20704152471188042</v>
      </c>
      <c r="J18" s="316">
        <v>541.74678969389709</v>
      </c>
      <c r="K18" s="437">
        <f t="shared" si="2"/>
        <v>0.45624126063720594</v>
      </c>
      <c r="L18" s="22"/>
    </row>
    <row r="19" spans="1:12" ht="11.25" customHeight="1">
      <c r="A19" s="146" t="s">
        <v>43</v>
      </c>
      <c r="B19" s="318">
        <f>SUM(B6:B18)</f>
        <v>4485.2532306074991</v>
      </c>
      <c r="C19" s="319">
        <f>SUM(C6:C18)</f>
        <v>4289.3581011725</v>
      </c>
      <c r="D19" s="880">
        <f>SUM(D6:D18)</f>
        <v>4397.9416627724977</v>
      </c>
      <c r="E19" s="318">
        <f>SUM(E6:E18)</f>
        <v>4200.0115709425008</v>
      </c>
      <c r="F19" s="438">
        <f>IF(E19=0,"",D19/E19-1)</f>
        <v>4.7126082508763378E-2</v>
      </c>
      <c r="G19" s="318">
        <f>SUM(G6:G18)</f>
        <v>30746.104067995002</v>
      </c>
      <c r="H19" s="319">
        <f>SUM(H6:H18)</f>
        <v>29321.469206905</v>
      </c>
      <c r="I19" s="438">
        <f>IF(H19=0,"",G19/H19-1)</f>
        <v>4.8586748878003405E-2</v>
      </c>
      <c r="J19" s="318">
        <f>SUM(J6:J18)</f>
        <v>28457.88493770338</v>
      </c>
      <c r="K19" s="438">
        <f t="shared" si="2"/>
        <v>3.0346045431418167E-2</v>
      </c>
      <c r="L19" s="30"/>
    </row>
    <row r="20" spans="1:12" ht="11.25" customHeight="1">
      <c r="A20" s="22"/>
      <c r="B20" s="22"/>
      <c r="C20" s="22"/>
      <c r="D20" s="22"/>
      <c r="E20" s="22"/>
      <c r="F20" s="22"/>
      <c r="G20" s="22"/>
      <c r="H20" s="22"/>
      <c r="I20" s="22"/>
      <c r="J20" s="22"/>
      <c r="K20" s="22"/>
      <c r="L20" s="22"/>
    </row>
    <row r="21" spans="1:12" ht="11.25" customHeight="1">
      <c r="A21" s="142" t="s">
        <v>39</v>
      </c>
      <c r="B21" s="241">
        <v>10.66193083000001</v>
      </c>
      <c r="C21" s="242">
        <v>17.062013390000004</v>
      </c>
      <c r="D21" s="371">
        <v>8.3070756200000098</v>
      </c>
      <c r="E21" s="794">
        <v>3.7181487299999998</v>
      </c>
      <c r="F21" s="120">
        <f>IF(E21=0,"",D21/E21-1)</f>
        <v>1.2341966992805071</v>
      </c>
      <c r="G21" s="241">
        <v>38.304252080000019</v>
      </c>
      <c r="H21" s="370">
        <v>7.5429587299999996</v>
      </c>
      <c r="I21" s="123">
        <f>IF(H21=0,"",G21/H21-1)</f>
        <v>4.0781468454355467</v>
      </c>
      <c r="J21" s="241">
        <v>16.595158999999999</v>
      </c>
      <c r="K21" s="120">
        <f>IF(J21=0,"",H21/J21-1)</f>
        <v>-0.54547234347076756</v>
      </c>
      <c r="L21" s="22"/>
    </row>
    <row r="22" spans="1:12" ht="11.25" customHeight="1">
      <c r="A22" s="143" t="s">
        <v>40</v>
      </c>
      <c r="B22" s="238">
        <v>0</v>
      </c>
      <c r="C22" s="239">
        <v>0</v>
      </c>
      <c r="D22" s="240">
        <v>0</v>
      </c>
      <c r="E22" s="795">
        <v>0</v>
      </c>
      <c r="F22" s="793" t="str">
        <f>IF(E22=0,"",D22/E22-1)</f>
        <v/>
      </c>
      <c r="G22" s="238">
        <v>0</v>
      </c>
      <c r="H22" s="239">
        <v>0</v>
      </c>
      <c r="I22" s="115" t="str">
        <f>IF(H22=0,"",G22/H22-1)</f>
        <v/>
      </c>
      <c r="J22" s="238">
        <v>0</v>
      </c>
      <c r="K22" s="121" t="str">
        <f>IF(J22=0,"",H22/J22-1)</f>
        <v/>
      </c>
      <c r="L22" s="22"/>
    </row>
    <row r="23" spans="1:12" ht="23.25" customHeight="1">
      <c r="A23" s="144" t="s">
        <v>41</v>
      </c>
      <c r="B23" s="251">
        <f>+B22-B21</f>
        <v>-10.66193083000001</v>
      </c>
      <c r="C23" s="252">
        <f>+C22-C21</f>
        <v>-17.062013390000004</v>
      </c>
      <c r="D23" s="439">
        <f>+D22-D21</f>
        <v>-8.3070756200000098</v>
      </c>
      <c r="E23" s="796">
        <f>+E22-E21</f>
        <v>-3.7181487299999998</v>
      </c>
      <c r="F23" s="252"/>
      <c r="G23" s="251">
        <f>+G22-G21</f>
        <v>-38.304252080000019</v>
      </c>
      <c r="H23" s="252">
        <f>+H22-H21</f>
        <v>-7.5429587299999996</v>
      </c>
      <c r="I23" s="124"/>
      <c r="J23" s="251">
        <f>+J22-J21</f>
        <v>-16.595158999999999</v>
      </c>
      <c r="K23" s="122"/>
      <c r="L23" s="30"/>
    </row>
    <row r="24" spans="1:12" ht="11.25" customHeight="1">
      <c r="A24" s="236" t="s">
        <v>234</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6" t="str">
        <f>"Gráfico N° 5: Comparación de la producción de energía eléctrica (GWh) por tipo de recurso energético acumulado a "&amp;'1. Resumen'!Q4&amp;"."</f>
        <v>Gráfico N° 5: Comparación de la producción de energía eléctrica (GWh) por tipo de recurso energético acumulado a julio.</v>
      </c>
    </row>
  </sheetData>
  <mergeCells count="5">
    <mergeCell ref="A2:K2"/>
    <mergeCell ref="B4:D4"/>
    <mergeCell ref="E4:F4"/>
    <mergeCell ref="G4:K4"/>
    <mergeCell ref="A4:A5"/>
  </mergeCells>
  <pageMargins left="0.70866141732283472" right="0.70866141732283472" top="1.4173228346456694" bottom="0.62992125984251968" header="0.31496062992125984" footer="0.31496062992125984"/>
  <pageSetup paperSize="9" scale="88" orientation="portrait" r:id="rId1"/>
  <headerFooter>
    <oddHeader>&amp;R&amp;7Informe de la Operación Mensual-Julio 2019
INFSGI-MES-07-2019
08/08/2019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7A5"/>
  </sheetPr>
  <dimension ref="A1:U61"/>
  <sheetViews>
    <sheetView showGridLines="0" view="pageBreakPreview" zoomScale="130" zoomScaleNormal="100" zoomScaleSheetLayoutView="130" zoomScalePageLayoutView="145" workbookViewId="0">
      <selection activeCell="U69" sqref="T69:U69"/>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34"/>
  </cols>
  <sheetData>
    <row r="1" spans="1:12" ht="11.25" customHeight="1"/>
    <row r="2" spans="1:12" ht="11.25" customHeight="1">
      <c r="A2" s="928" t="s">
        <v>242</v>
      </c>
      <c r="B2" s="928"/>
      <c r="C2" s="928"/>
      <c r="D2" s="928"/>
      <c r="E2" s="928"/>
      <c r="F2" s="928"/>
      <c r="G2" s="928"/>
      <c r="H2" s="928"/>
      <c r="I2" s="928"/>
      <c r="J2" s="928"/>
      <c r="K2" s="928"/>
      <c r="L2" s="635"/>
    </row>
    <row r="3" spans="1:12" ht="11.25" customHeight="1">
      <c r="A3" s="74"/>
      <c r="B3" s="73"/>
      <c r="C3" s="73"/>
      <c r="D3" s="73"/>
      <c r="E3" s="73"/>
      <c r="F3" s="73"/>
      <c r="G3" s="73"/>
      <c r="H3" s="73"/>
      <c r="I3" s="73"/>
      <c r="J3" s="73"/>
      <c r="K3" s="73"/>
      <c r="L3" s="635"/>
    </row>
    <row r="4" spans="1:12" ht="15.75" customHeight="1">
      <c r="A4" s="926" t="s">
        <v>238</v>
      </c>
      <c r="B4" s="923" t="s">
        <v>33</v>
      </c>
      <c r="C4" s="924"/>
      <c r="D4" s="924"/>
      <c r="E4" s="924" t="s">
        <v>34</v>
      </c>
      <c r="F4" s="924"/>
      <c r="G4" s="925" t="str">
        <f>+'4. Tipo Recurso'!G4:K4</f>
        <v>Generación Acumulada a julio</v>
      </c>
      <c r="H4" s="925"/>
      <c r="I4" s="925"/>
      <c r="J4" s="925"/>
      <c r="K4" s="925"/>
      <c r="L4" s="636"/>
    </row>
    <row r="5" spans="1:12" ht="29.25" customHeight="1">
      <c r="A5" s="926"/>
      <c r="B5" s="527">
        <f>+'4. Tipo Recurso'!B5</f>
        <v>43589</v>
      </c>
      <c r="C5" s="527">
        <f>+'4. Tipo Recurso'!C5</f>
        <v>43619</v>
      </c>
      <c r="D5" s="527">
        <f>+'4. Tipo Recurso'!D5</f>
        <v>43647</v>
      </c>
      <c r="E5" s="527">
        <f>+'4. Tipo Recurso'!E5</f>
        <v>43282</v>
      </c>
      <c r="F5" s="527" t="s">
        <v>35</v>
      </c>
      <c r="G5" s="529">
        <v>2019</v>
      </c>
      <c r="H5" s="529">
        <v>2018</v>
      </c>
      <c r="I5" s="528" t="s">
        <v>42</v>
      </c>
      <c r="J5" s="529">
        <v>2017</v>
      </c>
      <c r="K5" s="528" t="s">
        <v>42</v>
      </c>
      <c r="L5" s="637"/>
    </row>
    <row r="6" spans="1:12" ht="11.25" customHeight="1">
      <c r="A6" s="139" t="s">
        <v>45</v>
      </c>
      <c r="B6" s="311">
        <v>174.75469050250004</v>
      </c>
      <c r="C6" s="312">
        <v>137.08940598750004</v>
      </c>
      <c r="D6" s="313">
        <v>121.25612798000002</v>
      </c>
      <c r="E6" s="311">
        <v>67.699563380000001</v>
      </c>
      <c r="F6" s="258">
        <f t="shared" ref="F6:F11" si="0">IF(E6=0,"",D6/E6-1)</f>
        <v>0.79109172830827812</v>
      </c>
      <c r="G6" s="311">
        <v>1079.5675434675002</v>
      </c>
      <c r="H6" s="312">
        <v>741.27550776999999</v>
      </c>
      <c r="I6" s="262">
        <f t="shared" ref="I6:I11" si="1">IF(H6=0,"",G6/H6-1)</f>
        <v>0.45636478225915433</v>
      </c>
      <c r="J6" s="311">
        <v>665.73395083403761</v>
      </c>
      <c r="K6" s="258">
        <f t="shared" ref="K6:K11" si="2">IF(J6=0,"",H6/J6-1)</f>
        <v>0.11347108982698462</v>
      </c>
      <c r="L6" s="638"/>
    </row>
    <row r="7" spans="1:12" ht="11.25" customHeight="1">
      <c r="A7" s="140" t="s">
        <v>38</v>
      </c>
      <c r="B7" s="314">
        <v>142.54842389999999</v>
      </c>
      <c r="C7" s="253">
        <v>147.78231510000001</v>
      </c>
      <c r="D7" s="315">
        <v>157.13154374249999</v>
      </c>
      <c r="E7" s="314">
        <v>130.32940518999999</v>
      </c>
      <c r="F7" s="259">
        <f t="shared" si="0"/>
        <v>0.20564920490066418</v>
      </c>
      <c r="G7" s="314">
        <v>952.25199118749993</v>
      </c>
      <c r="H7" s="253">
        <v>788.91402797000001</v>
      </c>
      <c r="I7" s="248">
        <f t="shared" si="1"/>
        <v>0.20704152471188042</v>
      </c>
      <c r="J7" s="314">
        <v>541.74678969389709</v>
      </c>
      <c r="K7" s="259">
        <f t="shared" si="2"/>
        <v>0.45624126063720594</v>
      </c>
      <c r="L7" s="638"/>
    </row>
    <row r="8" spans="1:12" ht="11.25" customHeight="1">
      <c r="A8" s="256" t="s">
        <v>30</v>
      </c>
      <c r="B8" s="450">
        <v>57.417002814999996</v>
      </c>
      <c r="C8" s="320">
        <v>52.871938625000006</v>
      </c>
      <c r="D8" s="451">
        <v>57.339797814999997</v>
      </c>
      <c r="E8" s="450">
        <v>49.3644935425</v>
      </c>
      <c r="F8" s="260">
        <f t="shared" si="0"/>
        <v>0.16155952791521533</v>
      </c>
      <c r="G8" s="450">
        <v>398.70179571499995</v>
      </c>
      <c r="H8" s="320">
        <v>380.15961603249997</v>
      </c>
      <c r="I8" s="255">
        <f t="shared" si="1"/>
        <v>4.8774722249600444E-2</v>
      </c>
      <c r="J8" s="450">
        <v>122.21345060204001</v>
      </c>
      <c r="K8" s="260">
        <f t="shared" si="2"/>
        <v>2.1106201008136356</v>
      </c>
      <c r="L8" s="638"/>
    </row>
    <row r="9" spans="1:12" ht="11.25" customHeight="1">
      <c r="A9" s="140" t="s">
        <v>49</v>
      </c>
      <c r="B9" s="314">
        <v>14.752440460000001</v>
      </c>
      <c r="C9" s="253">
        <v>17.834231412499999</v>
      </c>
      <c r="D9" s="315">
        <v>19.2527546725</v>
      </c>
      <c r="E9" s="314">
        <v>8.1191125700000004</v>
      </c>
      <c r="F9" s="259">
        <f t="shared" si="0"/>
        <v>1.3712880572242145</v>
      </c>
      <c r="G9" s="314">
        <v>95.716811860000007</v>
      </c>
      <c r="H9" s="253">
        <v>50.502784532499994</v>
      </c>
      <c r="I9" s="248">
        <f t="shared" si="1"/>
        <v>0.89527790885279779</v>
      </c>
      <c r="J9" s="314">
        <v>48.957428242631231</v>
      </c>
      <c r="K9" s="259">
        <f t="shared" si="2"/>
        <v>3.156530776514721E-2</v>
      </c>
      <c r="L9" s="639"/>
    </row>
    <row r="10" spans="1:12" ht="11.25" customHeight="1">
      <c r="A10" s="257" t="s">
        <v>50</v>
      </c>
      <c r="B10" s="452">
        <v>4.6992972824999999</v>
      </c>
      <c r="C10" s="453">
        <v>4.4198010925000002</v>
      </c>
      <c r="D10" s="454">
        <v>6.2322597924999998</v>
      </c>
      <c r="E10" s="452">
        <v>2.9110080250000001</v>
      </c>
      <c r="F10" s="261">
        <f t="shared" si="0"/>
        <v>1.1409284134488087</v>
      </c>
      <c r="G10" s="452">
        <v>37.850314109999999</v>
      </c>
      <c r="H10" s="453">
        <v>25.804943254999998</v>
      </c>
      <c r="I10" s="263">
        <f t="shared" si="1"/>
        <v>0.46678540371004607</v>
      </c>
      <c r="J10" s="452">
        <v>22.432325005696626</v>
      </c>
      <c r="K10" s="261">
        <f t="shared" si="2"/>
        <v>0.15034635279432274</v>
      </c>
      <c r="L10" s="638"/>
    </row>
    <row r="11" spans="1:12" ht="11.25" customHeight="1">
      <c r="A11" s="264" t="s">
        <v>235</v>
      </c>
      <c r="B11" s="383">
        <f>+B6+B7+B8+B9+B10</f>
        <v>394.17185496000002</v>
      </c>
      <c r="C11" s="384">
        <f t="shared" ref="C11:D11" si="3">+C6+C7+C8+C9+C10</f>
        <v>359.99769221750006</v>
      </c>
      <c r="D11" s="385">
        <f t="shared" si="3"/>
        <v>361.21248400249993</v>
      </c>
      <c r="E11" s="386">
        <f>+E6+E7+E8+E9+E10</f>
        <v>258.42358270749997</v>
      </c>
      <c r="F11" s="265">
        <f t="shared" si="0"/>
        <v>0.39775356497298819</v>
      </c>
      <c r="G11" s="448">
        <f>+G6+G7+G8+G9+G10</f>
        <v>2564.0884563400004</v>
      </c>
      <c r="H11" s="449">
        <f>+H6+H7+H8+H9+H10</f>
        <v>1986.6568795599999</v>
      </c>
      <c r="I11" s="266">
        <f t="shared" si="1"/>
        <v>0.29065491012614553</v>
      </c>
      <c r="J11" s="448">
        <f>+J6+J7+J8+J9+J10</f>
        <v>1401.0839443783027</v>
      </c>
      <c r="K11" s="265">
        <f t="shared" si="2"/>
        <v>0.4179427917443812</v>
      </c>
      <c r="L11" s="636"/>
    </row>
    <row r="12" spans="1:12" ht="24.75" customHeight="1">
      <c r="A12" s="267" t="s">
        <v>236</v>
      </c>
      <c r="B12" s="268">
        <f>B11/'4. Tipo Recurso'!B19</f>
        <v>8.7881739267285902E-2</v>
      </c>
      <c r="C12" s="860">
        <f>C11/'4. Tipo Recurso'!C19</f>
        <v>8.3928103862229264E-2</v>
      </c>
      <c r="D12" s="644">
        <f>D11/'4. Tipo Recurso'!D19</f>
        <v>8.2132168114023754E-2</v>
      </c>
      <c r="E12" s="268">
        <f>E11/'4. Tipo Recurso'!E19</f>
        <v>6.1529254941911651E-2</v>
      </c>
      <c r="F12" s="269"/>
      <c r="G12" s="268">
        <f>G11/'4. Tipo Recurso'!G19</f>
        <v>8.3395556414871924E-2</v>
      </c>
      <c r="H12" s="266">
        <f>H11/'4. Tipo Recurso'!H19</f>
        <v>6.7754342919902399E-2</v>
      </c>
      <c r="I12" s="266"/>
      <c r="J12" s="268">
        <f>J11/'4. Tipo Recurso'!J19</f>
        <v>4.9233593692763505E-2</v>
      </c>
      <c r="K12" s="269"/>
      <c r="L12" s="636"/>
    </row>
    <row r="13" spans="1:12" ht="11.25" customHeight="1">
      <c r="A13" s="270" t="s">
        <v>237</v>
      </c>
      <c r="B13" s="134"/>
      <c r="C13" s="134"/>
      <c r="D13" s="134"/>
      <c r="E13" s="134"/>
      <c r="F13" s="134"/>
      <c r="G13" s="134"/>
      <c r="H13" s="134"/>
      <c r="I13" s="134"/>
      <c r="J13" s="134"/>
      <c r="K13" s="135"/>
      <c r="L13" s="636"/>
    </row>
    <row r="14" spans="1:12" ht="35.25" customHeight="1">
      <c r="A14" s="929" t="s">
        <v>546</v>
      </c>
      <c r="B14" s="929"/>
      <c r="C14" s="929"/>
      <c r="D14" s="929"/>
      <c r="E14" s="929"/>
      <c r="F14" s="929"/>
      <c r="G14" s="929"/>
      <c r="H14" s="929"/>
      <c r="I14" s="929"/>
      <c r="J14" s="929"/>
      <c r="K14" s="929"/>
      <c r="L14" s="636"/>
    </row>
    <row r="15" spans="1:12" ht="11.25" customHeight="1">
      <c r="A15" s="31"/>
      <c r="L15" s="636"/>
    </row>
    <row r="16" spans="1:12" ht="11.25" customHeight="1">
      <c r="A16" s="136"/>
      <c r="B16" s="147"/>
      <c r="C16" s="147"/>
      <c r="D16" s="147"/>
      <c r="E16" s="147"/>
      <c r="F16" s="147"/>
      <c r="G16" s="147"/>
      <c r="H16" s="147"/>
      <c r="I16" s="147"/>
      <c r="J16" s="147"/>
      <c r="K16" s="147"/>
      <c r="L16" s="636"/>
    </row>
    <row r="17" spans="1:12" ht="11.25" customHeight="1">
      <c r="A17" s="147"/>
      <c r="B17" s="147"/>
      <c r="C17" s="147"/>
      <c r="D17" s="147"/>
      <c r="E17" s="147"/>
      <c r="F17" s="147"/>
      <c r="G17" s="147"/>
      <c r="H17" s="147"/>
      <c r="I17" s="147"/>
      <c r="J17" s="147"/>
      <c r="K17" s="147"/>
      <c r="L17" s="636"/>
    </row>
    <row r="18" spans="1:12" ht="11.25" customHeight="1">
      <c r="A18" s="147"/>
      <c r="B18" s="147"/>
      <c r="C18" s="147"/>
      <c r="D18" s="147"/>
      <c r="E18" s="147"/>
      <c r="F18" s="147"/>
      <c r="G18" s="147"/>
      <c r="H18" s="147"/>
      <c r="I18" s="147"/>
      <c r="J18" s="147"/>
      <c r="K18" s="147"/>
      <c r="L18" s="640"/>
    </row>
    <row r="19" spans="1:12" ht="11.25" customHeight="1">
      <c r="A19" s="136"/>
      <c r="B19" s="138"/>
      <c r="C19" s="138"/>
      <c r="D19" s="138"/>
      <c r="E19" s="138"/>
      <c r="F19" s="138"/>
      <c r="G19" s="138"/>
      <c r="H19" s="138"/>
      <c r="I19" s="138"/>
      <c r="J19" s="138"/>
      <c r="K19" s="138"/>
      <c r="L19" s="636"/>
    </row>
    <row r="20" spans="1:12" ht="11.25" customHeight="1">
      <c r="A20" s="136"/>
      <c r="B20" s="138"/>
      <c r="C20" s="138"/>
      <c r="D20" s="138"/>
      <c r="E20" s="138"/>
      <c r="F20" s="138"/>
      <c r="G20" s="138"/>
      <c r="H20" s="138"/>
      <c r="I20" s="138"/>
      <c r="J20" s="138"/>
      <c r="K20" s="138"/>
      <c r="L20" s="636"/>
    </row>
    <row r="21" spans="1:12" ht="11.25" customHeight="1">
      <c r="A21" s="136"/>
      <c r="B21" s="138"/>
      <c r="C21" s="138"/>
      <c r="D21" s="138"/>
      <c r="E21" s="138"/>
      <c r="F21" s="138"/>
      <c r="G21" s="138"/>
      <c r="H21" s="138"/>
      <c r="I21" s="138"/>
      <c r="J21" s="138"/>
      <c r="K21" s="138"/>
      <c r="L21" s="636"/>
    </row>
    <row r="22" spans="1:12" ht="11.25" customHeight="1">
      <c r="A22" s="136"/>
      <c r="B22" s="138"/>
      <c r="C22" s="138"/>
      <c r="D22" s="138"/>
      <c r="E22" s="138"/>
      <c r="F22" s="138"/>
      <c r="G22" s="138"/>
      <c r="H22" s="138"/>
      <c r="I22" s="138"/>
      <c r="J22" s="138"/>
      <c r="K22" s="138"/>
      <c r="L22" s="640"/>
    </row>
    <row r="23" spans="1:12" ht="11.25" customHeight="1">
      <c r="A23" s="136"/>
      <c r="B23" s="138"/>
      <c r="C23" s="138"/>
      <c r="D23" s="138"/>
      <c r="E23" s="138"/>
      <c r="F23" s="138"/>
      <c r="G23" s="138"/>
      <c r="H23" s="138"/>
      <c r="I23" s="138"/>
      <c r="J23" s="138"/>
      <c r="K23" s="138"/>
      <c r="L23" s="636"/>
    </row>
    <row r="24" spans="1:12" ht="11.25" customHeight="1">
      <c r="A24" s="136"/>
      <c r="B24" s="138"/>
      <c r="C24" s="138"/>
      <c r="D24" s="138"/>
      <c r="E24" s="138"/>
      <c r="F24" s="138"/>
      <c r="G24" s="138"/>
      <c r="H24" s="138"/>
      <c r="I24" s="138"/>
      <c r="J24" s="138"/>
      <c r="K24" s="138"/>
      <c r="L24" s="636"/>
    </row>
    <row r="25" spans="1:12" ht="11.25" customHeight="1">
      <c r="A25" s="136"/>
      <c r="B25" s="138"/>
      <c r="C25" s="138"/>
      <c r="D25" s="138"/>
      <c r="E25" s="138"/>
      <c r="F25" s="138"/>
      <c r="G25" s="138"/>
      <c r="H25" s="138"/>
      <c r="I25" s="138"/>
      <c r="J25" s="138"/>
      <c r="K25" s="138"/>
      <c r="L25" s="636"/>
    </row>
    <row r="26" spans="1:12" ht="11.25" customHeight="1">
      <c r="A26" s="136"/>
      <c r="B26" s="138"/>
      <c r="C26" s="138"/>
      <c r="D26" s="138"/>
      <c r="E26" s="138"/>
      <c r="F26" s="138"/>
      <c r="G26" s="138"/>
      <c r="H26" s="138"/>
      <c r="I26" s="138"/>
      <c r="J26" s="138"/>
      <c r="K26" s="138"/>
      <c r="L26" s="636"/>
    </row>
    <row r="27" spans="1:12" ht="11.25" customHeight="1">
      <c r="A27" s="136"/>
      <c r="B27" s="138"/>
      <c r="C27" s="138"/>
      <c r="D27" s="138"/>
      <c r="E27" s="138"/>
      <c r="F27" s="138"/>
      <c r="G27" s="138"/>
      <c r="H27" s="138"/>
      <c r="I27" s="138"/>
      <c r="J27" s="138"/>
      <c r="K27" s="138"/>
      <c r="L27" s="636"/>
    </row>
    <row r="28" spans="1:12" ht="11.25" customHeight="1">
      <c r="A28" s="136"/>
      <c r="B28" s="138"/>
      <c r="C28" s="138"/>
      <c r="D28" s="138"/>
      <c r="E28" s="138"/>
      <c r="F28" s="138"/>
      <c r="G28" s="138"/>
      <c r="H28" s="138"/>
      <c r="I28" s="138"/>
      <c r="J28" s="138"/>
      <c r="K28" s="138"/>
      <c r="L28" s="636"/>
    </row>
    <row r="29" spans="1:12" ht="11.25" customHeight="1">
      <c r="A29" s="136"/>
      <c r="B29" s="138"/>
      <c r="C29" s="138"/>
      <c r="D29" s="138"/>
      <c r="E29" s="138"/>
      <c r="F29" s="138"/>
      <c r="G29" s="138"/>
      <c r="H29" s="138"/>
      <c r="I29" s="138"/>
      <c r="J29" s="138"/>
      <c r="K29" s="138"/>
      <c r="L29" s="636"/>
    </row>
    <row r="30" spans="1:12" ht="11.25" customHeight="1">
      <c r="A30" s="136"/>
      <c r="B30" s="138"/>
      <c r="C30" s="138"/>
      <c r="D30" s="138"/>
      <c r="E30" s="138"/>
      <c r="F30" s="138"/>
      <c r="G30" s="138"/>
      <c r="H30" s="138"/>
      <c r="I30" s="138"/>
      <c r="J30" s="138"/>
      <c r="K30" s="138"/>
      <c r="L30" s="636"/>
    </row>
    <row r="31" spans="1:12" ht="11.25" customHeight="1">
      <c r="A31" s="136"/>
      <c r="B31" s="138"/>
      <c r="C31" s="138"/>
      <c r="D31" s="138"/>
      <c r="E31" s="138"/>
      <c r="F31" s="138"/>
      <c r="G31" s="138"/>
      <c r="H31" s="138"/>
      <c r="I31" s="138"/>
      <c r="J31" s="138"/>
      <c r="K31" s="138"/>
      <c r="L31" s="636"/>
    </row>
    <row r="32" spans="1:12" ht="11.25" customHeight="1">
      <c r="A32" s="136"/>
      <c r="B32" s="138"/>
      <c r="C32" s="138"/>
      <c r="D32" s="138"/>
      <c r="E32" s="138"/>
      <c r="F32" s="138"/>
      <c r="G32" s="138"/>
      <c r="H32" s="138"/>
      <c r="I32" s="138"/>
      <c r="J32" s="138"/>
      <c r="K32" s="138"/>
      <c r="L32" s="636"/>
    </row>
    <row r="33" spans="1:16" ht="11.25" customHeight="1">
      <c r="A33" s="136"/>
      <c r="B33" s="138"/>
      <c r="C33" s="138"/>
      <c r="D33" s="138"/>
      <c r="E33" s="138"/>
      <c r="F33" s="138"/>
      <c r="G33" s="138"/>
      <c r="H33" s="138"/>
      <c r="I33" s="138"/>
      <c r="J33" s="138"/>
      <c r="K33" s="138"/>
      <c r="L33" s="636"/>
    </row>
    <row r="34" spans="1:16" ht="11.25" customHeight="1">
      <c r="A34" s="927" t="str">
        <f>"Gráfico N° 6: Comparación de la producción de energía eléctrica acumulada (GWh) con recursos energéticos renovables en "&amp;'1. Resumen'!Q4&amp;"."</f>
        <v>Gráfico N° 6: Comparación de la producción de energía eléctrica acumulada (GWh) con recursos energéticos renovables en julio.</v>
      </c>
      <c r="B34" s="927"/>
      <c r="C34" s="927"/>
      <c r="D34" s="927"/>
      <c r="E34" s="927"/>
      <c r="F34" s="927"/>
      <c r="G34" s="927"/>
      <c r="H34" s="927"/>
      <c r="I34" s="927"/>
      <c r="J34" s="927"/>
      <c r="K34" s="927"/>
      <c r="L34" s="636"/>
    </row>
    <row r="35" spans="1:16" ht="11.25" customHeight="1">
      <c r="L35" s="641"/>
    </row>
    <row r="36" spans="1:16" ht="11.25" customHeight="1">
      <c r="A36" s="136"/>
      <c r="B36" s="138"/>
      <c r="C36" s="138"/>
      <c r="D36" s="138"/>
      <c r="E36" s="138"/>
      <c r="F36" s="138"/>
      <c r="G36" s="138"/>
      <c r="H36" s="138"/>
      <c r="I36" s="138"/>
      <c r="J36" s="138"/>
      <c r="K36" s="138"/>
      <c r="L36" s="636"/>
    </row>
    <row r="37" spans="1:16" ht="11.25" customHeight="1">
      <c r="A37" s="136"/>
      <c r="B37" s="138"/>
      <c r="C37" s="138"/>
      <c r="D37" s="138"/>
      <c r="E37" s="138"/>
      <c r="F37" s="138"/>
      <c r="G37" s="138"/>
      <c r="H37" s="138"/>
      <c r="I37" s="138"/>
      <c r="J37" s="138"/>
      <c r="K37" s="138"/>
      <c r="L37" s="636"/>
    </row>
    <row r="38" spans="1:16" ht="11.25" customHeight="1">
      <c r="A38" s="136"/>
      <c r="B38" s="138"/>
      <c r="C38" s="138"/>
      <c r="D38" s="138"/>
      <c r="E38" s="138"/>
      <c r="F38" s="138"/>
      <c r="G38" s="138"/>
      <c r="H38" s="138"/>
      <c r="I38" s="138"/>
      <c r="J38" s="138"/>
      <c r="K38" s="138"/>
      <c r="L38" s="636"/>
    </row>
    <row r="39" spans="1:16" ht="11.25" customHeight="1">
      <c r="A39" s="136"/>
      <c r="B39" s="138"/>
      <c r="C39" s="271" t="s">
        <v>240</v>
      </c>
      <c r="D39" s="158"/>
      <c r="E39" s="158"/>
      <c r="F39" s="447">
        <f>+'4. Tipo Recurso'!D19</f>
        <v>4397.9416627724977</v>
      </c>
      <c r="G39" s="271" t="s">
        <v>239</v>
      </c>
      <c r="H39" s="138"/>
      <c r="I39" s="138"/>
      <c r="J39" s="138"/>
      <c r="K39" s="138"/>
      <c r="L39" s="636"/>
      <c r="M39" s="642">
        <f>+F39-F40</f>
        <v>4036.7316627724977</v>
      </c>
      <c r="P39" s="643"/>
    </row>
    <row r="40" spans="1:16" ht="11.25" customHeight="1">
      <c r="A40" s="136"/>
      <c r="B40" s="138"/>
      <c r="C40" s="271" t="s">
        <v>241</v>
      </c>
      <c r="D40" s="158"/>
      <c r="E40" s="158"/>
      <c r="F40" s="447">
        <f>ROUND(D11,2)</f>
        <v>361.21</v>
      </c>
      <c r="G40" s="271" t="s">
        <v>239</v>
      </c>
      <c r="H40" s="138"/>
      <c r="I40" s="138"/>
      <c r="J40" s="138"/>
      <c r="K40" s="138"/>
      <c r="L40" s="636"/>
      <c r="M40" s="643"/>
      <c r="P40" s="643"/>
    </row>
    <row r="41" spans="1:16" ht="11.25" customHeight="1">
      <c r="A41" s="136"/>
      <c r="B41" s="138"/>
      <c r="C41" s="138"/>
      <c r="D41" s="138"/>
      <c r="E41" s="138"/>
      <c r="F41" s="138"/>
      <c r="G41" s="138"/>
      <c r="H41" s="138"/>
      <c r="I41" s="138"/>
      <c r="J41" s="138"/>
      <c r="K41" s="138"/>
      <c r="L41" s="636"/>
      <c r="P41" s="643"/>
    </row>
    <row r="42" spans="1:16" ht="11.25" customHeight="1">
      <c r="A42" s="136"/>
      <c r="B42" s="138"/>
      <c r="C42" s="138"/>
      <c r="D42" s="138"/>
      <c r="E42" s="138"/>
      <c r="F42" s="138"/>
      <c r="G42" s="138"/>
      <c r="H42" s="138"/>
      <c r="I42" s="138"/>
      <c r="J42" s="138"/>
      <c r="K42" s="138"/>
      <c r="L42" s="636"/>
      <c r="P42" s="643"/>
    </row>
    <row r="43" spans="1:16" ht="11.25" customHeight="1">
      <c r="A43" s="136"/>
      <c r="B43" s="138"/>
      <c r="C43" s="138"/>
      <c r="D43" s="138"/>
      <c r="E43" s="138"/>
      <c r="F43" s="138"/>
      <c r="G43" s="138"/>
      <c r="H43" s="138"/>
      <c r="I43" s="138"/>
      <c r="J43" s="138"/>
      <c r="K43" s="138"/>
      <c r="L43" s="636"/>
      <c r="P43" s="643"/>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6" t="str">
        <f>"Gráfico N° 7: Participación de las RER en la Matriz de Generación del SEIN en "&amp;'1. Resumen'!Q4&amp;" "&amp;'1. Resumen'!Q5&amp;"."</f>
        <v>Gráfico N° 7: Participación de las RER en la Matriz de Generación del SEIN en julio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7A5"/>
  </sheetPr>
  <dimension ref="A2:Y64"/>
  <sheetViews>
    <sheetView showGridLines="0" view="pageBreakPreview" zoomScale="115" zoomScaleNormal="100" zoomScaleSheetLayoutView="115" zoomScalePageLayoutView="160" workbookViewId="0">
      <selection activeCell="U69" sqref="T69:U69"/>
    </sheetView>
  </sheetViews>
  <sheetFormatPr defaultColWidth="9.33203125" defaultRowHeight="11.25"/>
  <cols>
    <col min="1" max="11" width="10.33203125" customWidth="1"/>
    <col min="12" max="12" width="21.1640625" style="841" bestFit="1" customWidth="1"/>
    <col min="13" max="14" width="9.33203125" style="841"/>
    <col min="15" max="15" width="11.83203125" style="841" customWidth="1"/>
    <col min="16" max="17" width="9.33203125" style="841"/>
    <col min="18" max="19" width="9.33203125" style="862"/>
    <col min="20" max="20" width="15" style="862" customWidth="1"/>
    <col min="21" max="22" width="9.33203125" style="862"/>
    <col min="23" max="24" width="9.33203125" style="634"/>
    <col min="25" max="25" width="17.83203125" style="634" bestFit="1" customWidth="1"/>
  </cols>
  <sheetData>
    <row r="2" spans="1:25" ht="11.25" customHeight="1">
      <c r="A2" s="930" t="s">
        <v>246</v>
      </c>
      <c r="B2" s="930"/>
      <c r="C2" s="930"/>
      <c r="D2" s="930"/>
      <c r="E2" s="930"/>
      <c r="F2" s="930"/>
      <c r="G2" s="930"/>
      <c r="H2" s="930"/>
      <c r="I2" s="930"/>
      <c r="J2" s="930"/>
      <c r="K2" s="930"/>
    </row>
    <row r="3" spans="1:25" ht="11.25" customHeight="1"/>
    <row r="4" spans="1:25" ht="11.25" customHeight="1">
      <c r="L4" s="842" t="s">
        <v>55</v>
      </c>
      <c r="M4" s="843" t="s">
        <v>31</v>
      </c>
      <c r="N4" s="842"/>
      <c r="O4" s="844"/>
      <c r="P4" s="845"/>
      <c r="Q4" s="845"/>
    </row>
    <row r="5" spans="1:25" ht="10.5" customHeight="1">
      <c r="A5" s="149"/>
      <c r="B5" s="138"/>
      <c r="C5" s="138"/>
      <c r="D5" s="138"/>
      <c r="E5" s="138"/>
      <c r="F5" s="138"/>
      <c r="G5" s="138"/>
      <c r="H5" s="138"/>
      <c r="I5" s="138"/>
      <c r="J5" s="138"/>
      <c r="K5" s="138"/>
      <c r="L5" s="842"/>
      <c r="M5" s="843"/>
      <c r="N5" s="842"/>
      <c r="O5" s="842" t="s">
        <v>56</v>
      </c>
      <c r="P5" s="842" t="s">
        <v>57</v>
      </c>
      <c r="Q5" s="842"/>
      <c r="U5" s="862">
        <v>2019</v>
      </c>
      <c r="V5" s="862">
        <v>2018</v>
      </c>
      <c r="W5" s="874"/>
    </row>
    <row r="6" spans="1:25" ht="10.5" customHeight="1">
      <c r="A6" s="111"/>
      <c r="B6" s="138"/>
      <c r="C6" s="138"/>
      <c r="D6" s="138"/>
      <c r="E6" s="138"/>
      <c r="F6" s="138"/>
      <c r="G6" s="138"/>
      <c r="H6" s="138"/>
      <c r="I6" s="138"/>
      <c r="J6" s="138"/>
      <c r="K6" s="138"/>
      <c r="L6" s="846" t="s">
        <v>474</v>
      </c>
      <c r="M6" s="846" t="s">
        <v>59</v>
      </c>
      <c r="N6" s="847">
        <v>19.605</v>
      </c>
      <c r="O6" s="848">
        <v>14.703850147499999</v>
      </c>
      <c r="P6" s="848">
        <v>1.0416737614766642</v>
      </c>
      <c r="Q6" s="848"/>
      <c r="S6" s="862" t="s">
        <v>607</v>
      </c>
      <c r="T6" s="862" t="s">
        <v>60</v>
      </c>
      <c r="U6" s="863">
        <v>1</v>
      </c>
      <c r="V6" s="863">
        <v>1</v>
      </c>
      <c r="W6" s="875"/>
      <c r="X6" s="862"/>
      <c r="Y6" s="862"/>
    </row>
    <row r="7" spans="1:25" ht="10.5" customHeight="1">
      <c r="A7" s="136"/>
      <c r="B7" s="138"/>
      <c r="C7" s="138"/>
      <c r="D7" s="138"/>
      <c r="E7" s="138"/>
      <c r="F7" s="138"/>
      <c r="G7" s="138"/>
      <c r="H7" s="138"/>
      <c r="I7" s="138"/>
      <c r="J7" s="138"/>
      <c r="K7" s="138"/>
      <c r="L7" s="846" t="s">
        <v>60</v>
      </c>
      <c r="M7" s="846" t="s">
        <v>59</v>
      </c>
      <c r="N7" s="847">
        <v>15</v>
      </c>
      <c r="O7" s="848">
        <v>11.135751145</v>
      </c>
      <c r="P7" s="848">
        <v>1.0310880689814814</v>
      </c>
      <c r="Q7" s="848"/>
      <c r="T7" s="862" t="s">
        <v>474</v>
      </c>
      <c r="U7" s="863">
        <v>0.92702943358833012</v>
      </c>
      <c r="V7" s="863">
        <v>1</v>
      </c>
      <c r="W7" s="875"/>
      <c r="X7" s="862"/>
      <c r="Y7" s="862"/>
    </row>
    <row r="8" spans="1:25" ht="10.5" customHeight="1">
      <c r="A8" s="136"/>
      <c r="B8" s="138"/>
      <c r="C8" s="138"/>
      <c r="D8" s="138"/>
      <c r="E8" s="138"/>
      <c r="F8" s="138"/>
      <c r="G8" s="138"/>
      <c r="H8" s="138"/>
      <c r="I8" s="138"/>
      <c r="J8" s="138"/>
      <c r="K8" s="138"/>
      <c r="L8" s="846" t="s">
        <v>499</v>
      </c>
      <c r="M8" s="846" t="s">
        <v>59</v>
      </c>
      <c r="N8" s="847">
        <v>20</v>
      </c>
      <c r="O8" s="848">
        <v>9.1813251700000009</v>
      </c>
      <c r="P8" s="848">
        <v>0.6375920256944444</v>
      </c>
      <c r="Q8" s="848"/>
      <c r="T8" s="862" t="s">
        <v>63</v>
      </c>
      <c r="U8" s="863">
        <v>0.84293252238514549</v>
      </c>
      <c r="V8" s="863">
        <v>0.93177706895691381</v>
      </c>
      <c r="W8" s="875"/>
      <c r="X8" s="862"/>
      <c r="Y8" s="862"/>
    </row>
    <row r="9" spans="1:25" ht="10.5" customHeight="1">
      <c r="A9" s="136"/>
      <c r="B9" s="138"/>
      <c r="C9" s="138"/>
      <c r="D9" s="138"/>
      <c r="E9" s="138"/>
      <c r="F9" s="138"/>
      <c r="G9" s="138"/>
      <c r="H9" s="138"/>
      <c r="I9" s="138"/>
      <c r="J9" s="138"/>
      <c r="K9" s="138"/>
      <c r="L9" s="846" t="s">
        <v>63</v>
      </c>
      <c r="M9" s="849" t="s">
        <v>59</v>
      </c>
      <c r="N9" s="847">
        <v>9.9830000000000005</v>
      </c>
      <c r="O9" s="848">
        <v>6.301174595</v>
      </c>
      <c r="P9" s="848">
        <v>0.87665344905784282</v>
      </c>
      <c r="Q9" s="848"/>
      <c r="T9" s="862" t="s">
        <v>72</v>
      </c>
      <c r="U9" s="863">
        <v>0.82099758890788466</v>
      </c>
      <c r="V9" s="863">
        <v>0.82706626190395005</v>
      </c>
      <c r="W9" s="875"/>
      <c r="X9" s="862"/>
      <c r="Y9" s="862"/>
    </row>
    <row r="10" spans="1:25" ht="10.5" customHeight="1">
      <c r="A10" s="136"/>
      <c r="B10" s="138"/>
      <c r="C10" s="138"/>
      <c r="D10" s="138"/>
      <c r="E10" s="138"/>
      <c r="F10" s="138"/>
      <c r="G10" s="138"/>
      <c r="H10" s="138"/>
      <c r="I10" s="138"/>
      <c r="J10" s="138"/>
      <c r="K10" s="138"/>
      <c r="L10" s="846" t="s">
        <v>506</v>
      </c>
      <c r="M10" s="849" t="s">
        <v>59</v>
      </c>
      <c r="N10" s="847">
        <v>13.2</v>
      </c>
      <c r="O10" s="848">
        <v>5.7604991300000004</v>
      </c>
      <c r="P10" s="848">
        <v>0.60611312394781158</v>
      </c>
      <c r="Q10" s="848"/>
      <c r="T10" s="862" t="s">
        <v>67</v>
      </c>
      <c r="U10" s="863">
        <v>0.81440564172564167</v>
      </c>
      <c r="V10" s="863">
        <v>0.91210620638931794</v>
      </c>
      <c r="W10" s="875"/>
      <c r="X10" s="862"/>
      <c r="Y10" s="862"/>
    </row>
    <row r="11" spans="1:25" ht="10.5" customHeight="1">
      <c r="A11" s="136"/>
      <c r="B11" s="138"/>
      <c r="C11" s="138"/>
      <c r="D11" s="138"/>
      <c r="E11" s="138"/>
      <c r="F11" s="138"/>
      <c r="G11" s="138"/>
      <c r="H11" s="138"/>
      <c r="I11" s="138"/>
      <c r="J11" s="138"/>
      <c r="K11" s="138"/>
      <c r="L11" s="846" t="s">
        <v>67</v>
      </c>
      <c r="M11" s="849" t="s">
        <v>59</v>
      </c>
      <c r="N11" s="847">
        <v>7.7450000000000001</v>
      </c>
      <c r="O11" s="848">
        <v>5.0562747150000007</v>
      </c>
      <c r="P11" s="848">
        <v>0.90672740746718328</v>
      </c>
      <c r="Q11" s="848"/>
      <c r="T11" s="862" t="s">
        <v>75</v>
      </c>
      <c r="U11" s="863">
        <v>0.8021932058336404</v>
      </c>
      <c r="V11" s="863">
        <v>0.81353149803108282</v>
      </c>
      <c r="W11" s="875"/>
      <c r="X11" s="862"/>
      <c r="Y11" s="862"/>
    </row>
    <row r="12" spans="1:25" ht="10.5" customHeight="1">
      <c r="A12" s="136"/>
      <c r="B12" s="138"/>
      <c r="C12" s="138"/>
      <c r="D12" s="138"/>
      <c r="E12" s="138"/>
      <c r="F12" s="138"/>
      <c r="G12" s="138"/>
      <c r="H12" s="138"/>
      <c r="I12" s="138"/>
      <c r="J12" s="138"/>
      <c r="K12" s="138"/>
      <c r="L12" s="846" t="s">
        <v>58</v>
      </c>
      <c r="M12" s="846" t="s">
        <v>59</v>
      </c>
      <c r="N12" s="847">
        <v>19.966000000000001</v>
      </c>
      <c r="O12" s="848">
        <v>4.6890980099999995</v>
      </c>
      <c r="P12" s="848">
        <v>0.32618632299909844</v>
      </c>
      <c r="Q12" s="848"/>
      <c r="T12" s="862" t="s">
        <v>58</v>
      </c>
      <c r="U12" s="863">
        <v>0.76159283335719452</v>
      </c>
      <c r="V12" s="863">
        <v>0.94004692450001104</v>
      </c>
      <c r="W12" s="875"/>
      <c r="X12" s="862"/>
      <c r="Y12" s="862"/>
    </row>
    <row r="13" spans="1:25" ht="10.5" customHeight="1">
      <c r="A13" s="136"/>
      <c r="B13" s="138"/>
      <c r="C13" s="138"/>
      <c r="D13" s="138"/>
      <c r="E13" s="138"/>
      <c r="F13" s="138"/>
      <c r="G13" s="138"/>
      <c r="H13" s="138"/>
      <c r="I13" s="138"/>
      <c r="J13" s="138"/>
      <c r="K13" s="138"/>
      <c r="L13" s="846" t="s">
        <v>488</v>
      </c>
      <c r="M13" s="846" t="s">
        <v>59</v>
      </c>
      <c r="N13" s="847">
        <v>20.16</v>
      </c>
      <c r="O13" s="848">
        <v>4.6470235449999997</v>
      </c>
      <c r="P13" s="848">
        <v>0.32014877817735887</v>
      </c>
      <c r="Q13" s="848"/>
      <c r="T13" s="862" t="s">
        <v>64</v>
      </c>
      <c r="U13" s="863">
        <v>0.7538800854459009</v>
      </c>
      <c r="V13" s="863">
        <v>0.77827952385662202</v>
      </c>
      <c r="W13" s="875"/>
      <c r="X13" s="862"/>
      <c r="Y13" s="862"/>
    </row>
    <row r="14" spans="1:25" ht="10.5" customHeight="1">
      <c r="A14" s="136"/>
      <c r="B14" s="138"/>
      <c r="C14" s="138"/>
      <c r="D14" s="138"/>
      <c r="E14" s="138"/>
      <c r="F14" s="138"/>
      <c r="G14" s="138"/>
      <c r="H14" s="138"/>
      <c r="I14" s="138"/>
      <c r="J14" s="138"/>
      <c r="K14" s="138"/>
      <c r="L14" s="846" t="s">
        <v>487</v>
      </c>
      <c r="M14" s="846" t="s">
        <v>59</v>
      </c>
      <c r="N14" s="847">
        <v>20.16</v>
      </c>
      <c r="O14" s="848">
        <v>4.5969377849999997</v>
      </c>
      <c r="P14" s="848">
        <v>0.31669820498511903</v>
      </c>
      <c r="Q14" s="848"/>
      <c r="T14" s="862" t="s">
        <v>62</v>
      </c>
      <c r="U14" s="863">
        <v>0.75169793449912137</v>
      </c>
      <c r="V14" s="863">
        <v>0.89521466973438768</v>
      </c>
      <c r="W14" s="875"/>
      <c r="X14" s="862"/>
      <c r="Y14" s="862"/>
    </row>
    <row r="15" spans="1:25" ht="11.25" customHeight="1">
      <c r="A15" s="136"/>
      <c r="B15" s="138"/>
      <c r="C15" s="138"/>
      <c r="D15" s="138"/>
      <c r="E15" s="138"/>
      <c r="F15" s="138"/>
      <c r="G15" s="138"/>
      <c r="H15" s="138"/>
      <c r="I15" s="138"/>
      <c r="J15" s="138"/>
      <c r="K15" s="138"/>
      <c r="L15" s="846" t="s">
        <v>62</v>
      </c>
      <c r="M15" s="846" t="s">
        <v>59</v>
      </c>
      <c r="N15" s="847">
        <v>19.1995</v>
      </c>
      <c r="O15" s="848">
        <v>3.9679316425</v>
      </c>
      <c r="P15" s="848">
        <v>0.28703956718346257</v>
      </c>
      <c r="Q15" s="848"/>
      <c r="T15" s="862" t="s">
        <v>506</v>
      </c>
      <c r="U15" s="863">
        <v>0.7510473887980631</v>
      </c>
      <c r="V15" s="863"/>
      <c r="W15" s="875"/>
      <c r="X15" s="862"/>
      <c r="Y15" s="862"/>
    </row>
    <row r="16" spans="1:25" ht="11.25" customHeight="1">
      <c r="A16" s="136"/>
      <c r="B16" s="138"/>
      <c r="C16" s="138"/>
      <c r="D16" s="138"/>
      <c r="E16" s="138"/>
      <c r="F16" s="138"/>
      <c r="G16" s="138"/>
      <c r="H16" s="138"/>
      <c r="I16" s="138"/>
      <c r="J16" s="138"/>
      <c r="K16" s="138"/>
      <c r="L16" s="846" t="s">
        <v>64</v>
      </c>
      <c r="M16" s="846" t="s">
        <v>59</v>
      </c>
      <c r="N16" s="847">
        <v>19.899999999999999</v>
      </c>
      <c r="O16" s="848">
        <v>3.8167390024999999</v>
      </c>
      <c r="P16" s="848">
        <v>0.26638323579704082</v>
      </c>
      <c r="Q16" s="848"/>
      <c r="T16" s="862" t="s">
        <v>71</v>
      </c>
      <c r="U16" s="863">
        <v>0.70744135315195644</v>
      </c>
      <c r="V16" s="863">
        <v>0.92091094074907709</v>
      </c>
      <c r="W16" s="875"/>
      <c r="X16" s="862"/>
      <c r="Y16" s="862"/>
    </row>
    <row r="17" spans="1:25" ht="11.25" customHeight="1">
      <c r="A17" s="136"/>
      <c r="B17" s="138"/>
      <c r="C17" s="138"/>
      <c r="D17" s="138"/>
      <c r="E17" s="138"/>
      <c r="F17" s="138"/>
      <c r="G17" s="138"/>
      <c r="H17" s="138"/>
      <c r="I17" s="138"/>
      <c r="J17" s="138"/>
      <c r="K17" s="138"/>
      <c r="L17" s="846" t="s">
        <v>489</v>
      </c>
      <c r="M17" s="846" t="s">
        <v>59</v>
      </c>
      <c r="N17" s="847">
        <v>20.16</v>
      </c>
      <c r="O17" s="848">
        <v>3.2911944374999997</v>
      </c>
      <c r="P17" s="848">
        <v>0.22674123935598542</v>
      </c>
      <c r="Q17" s="848"/>
      <c r="T17" s="862" t="s">
        <v>65</v>
      </c>
      <c r="U17" s="863">
        <v>0.6947276285064341</v>
      </c>
      <c r="V17" s="863">
        <v>0.86209954063528194</v>
      </c>
      <c r="W17" s="875"/>
      <c r="X17" s="862"/>
      <c r="Y17" s="862"/>
    </row>
    <row r="18" spans="1:25">
      <c r="A18" s="136"/>
      <c r="B18" s="138"/>
      <c r="C18" s="138"/>
      <c r="D18" s="138"/>
      <c r="E18" s="138"/>
      <c r="F18" s="138"/>
      <c r="G18" s="138"/>
      <c r="H18" s="138"/>
      <c r="I18" s="138"/>
      <c r="J18" s="138"/>
      <c r="K18" s="138"/>
      <c r="L18" s="846" t="s">
        <v>70</v>
      </c>
      <c r="M18" s="846" t="s">
        <v>59</v>
      </c>
      <c r="N18" s="847">
        <v>9.5660000000000007</v>
      </c>
      <c r="O18" s="848">
        <v>3.2388042024999999</v>
      </c>
      <c r="P18" s="848">
        <v>0.4702424388604316</v>
      </c>
      <c r="Q18" s="848"/>
      <c r="T18" s="862" t="s">
        <v>74</v>
      </c>
      <c r="U18" s="863">
        <v>0.69415846264407466</v>
      </c>
      <c r="V18" s="863">
        <v>0.92485197803925911</v>
      </c>
      <c r="W18" s="875"/>
      <c r="X18" s="862"/>
      <c r="Y18" s="862"/>
    </row>
    <row r="19" spans="1:25">
      <c r="A19" s="136"/>
      <c r="B19" s="138"/>
      <c r="C19" s="138"/>
      <c r="D19" s="138"/>
      <c r="E19" s="138"/>
      <c r="F19" s="138"/>
      <c r="G19" s="138"/>
      <c r="H19" s="138"/>
      <c r="I19" s="138"/>
      <c r="J19" s="138"/>
      <c r="K19" s="138"/>
      <c r="L19" s="846" t="s">
        <v>61</v>
      </c>
      <c r="M19" s="846" t="s">
        <v>59</v>
      </c>
      <c r="N19" s="847">
        <v>19.966999999999999</v>
      </c>
      <c r="O19" s="848">
        <v>3.1627134275</v>
      </c>
      <c r="P19" s="848">
        <v>0.2199958700953796</v>
      </c>
      <c r="Q19" s="848"/>
      <c r="T19" s="862" t="s">
        <v>66</v>
      </c>
      <c r="U19" s="863">
        <v>0.68445808217005066</v>
      </c>
      <c r="V19" s="863">
        <v>0.85079164925540574</v>
      </c>
      <c r="W19" s="875"/>
      <c r="X19" s="862"/>
      <c r="Y19" s="862"/>
    </row>
    <row r="20" spans="1:25">
      <c r="A20" s="136"/>
      <c r="B20" s="138"/>
      <c r="C20" s="138"/>
      <c r="D20" s="138"/>
      <c r="E20" s="138"/>
      <c r="F20" s="138"/>
      <c r="G20" s="138"/>
      <c r="H20" s="138"/>
      <c r="I20" s="138"/>
      <c r="J20" s="138"/>
      <c r="K20" s="138"/>
      <c r="L20" s="846" t="s">
        <v>71</v>
      </c>
      <c r="M20" s="846" t="s">
        <v>59</v>
      </c>
      <c r="N20" s="847">
        <v>5.1890000000000001</v>
      </c>
      <c r="O20" s="848">
        <v>2.6711766675000002</v>
      </c>
      <c r="P20" s="848">
        <v>0.71496773824436322</v>
      </c>
      <c r="Q20" s="848"/>
      <c r="T20" s="862" t="s">
        <v>499</v>
      </c>
      <c r="U20" s="863">
        <v>0.66606059502751536</v>
      </c>
      <c r="V20" s="863"/>
      <c r="W20" s="875"/>
      <c r="X20" s="862"/>
      <c r="Y20" s="862"/>
    </row>
    <row r="21" spans="1:25">
      <c r="A21" s="136"/>
      <c r="B21" s="138"/>
      <c r="C21" s="138"/>
      <c r="D21" s="138"/>
      <c r="E21" s="138"/>
      <c r="F21" s="138"/>
      <c r="G21" s="138"/>
      <c r="H21" s="138"/>
      <c r="I21" s="138"/>
      <c r="J21" s="138"/>
      <c r="K21" s="138"/>
      <c r="L21" s="846" t="s">
        <v>75</v>
      </c>
      <c r="M21" s="846" t="s">
        <v>59</v>
      </c>
      <c r="N21" s="847">
        <v>3.964</v>
      </c>
      <c r="O21" s="848">
        <v>2.3740999999999999</v>
      </c>
      <c r="P21" s="848">
        <v>0.83182671824195542</v>
      </c>
      <c r="Q21" s="848"/>
      <c r="T21" s="862" t="s">
        <v>70</v>
      </c>
      <c r="U21" s="863">
        <v>0.65880802486318157</v>
      </c>
      <c r="V21" s="863">
        <v>0.8147972605580347</v>
      </c>
      <c r="W21" s="875"/>
      <c r="X21" s="862"/>
      <c r="Y21" s="862"/>
    </row>
    <row r="22" spans="1:25">
      <c r="A22" s="136"/>
      <c r="B22" s="138"/>
      <c r="C22" s="138"/>
      <c r="D22" s="138"/>
      <c r="E22" s="138"/>
      <c r="F22" s="138"/>
      <c r="G22" s="138"/>
      <c r="H22" s="138"/>
      <c r="I22" s="138"/>
      <c r="J22" s="138"/>
      <c r="K22" s="138"/>
      <c r="L22" s="846" t="s">
        <v>72</v>
      </c>
      <c r="M22" s="846" t="s">
        <v>59</v>
      </c>
      <c r="N22" s="847">
        <v>5.67</v>
      </c>
      <c r="O22" s="848">
        <v>1.97133793</v>
      </c>
      <c r="P22" s="848">
        <v>0.48288701009210272</v>
      </c>
      <c r="Q22" s="848"/>
      <c r="T22" s="862" t="s">
        <v>68</v>
      </c>
      <c r="U22" s="863">
        <v>0.63851774422110497</v>
      </c>
      <c r="V22" s="863">
        <v>0.72151113961563096</v>
      </c>
      <c r="W22" s="875"/>
      <c r="X22" s="862"/>
      <c r="Y22" s="862"/>
    </row>
    <row r="23" spans="1:25">
      <c r="A23" s="136"/>
      <c r="B23" s="138"/>
      <c r="C23" s="138"/>
      <c r="D23" s="138"/>
      <c r="E23" s="138"/>
      <c r="F23" s="138"/>
      <c r="G23" s="138"/>
      <c r="H23" s="138"/>
      <c r="I23" s="138"/>
      <c r="J23" s="138"/>
      <c r="K23" s="138"/>
      <c r="L23" s="846" t="s">
        <v>65</v>
      </c>
      <c r="M23" s="846" t="s">
        <v>59</v>
      </c>
      <c r="N23" s="847">
        <v>10.222</v>
      </c>
      <c r="O23" s="848">
        <v>1.9491663349999999</v>
      </c>
      <c r="P23" s="848">
        <v>0.26483813982369181</v>
      </c>
      <c r="Q23" s="848"/>
      <c r="T23" s="862" t="s">
        <v>69</v>
      </c>
      <c r="U23" s="863">
        <v>0.63025424609370018</v>
      </c>
      <c r="V23" s="863">
        <v>0.69896172938380075</v>
      </c>
      <c r="W23" s="875"/>
      <c r="X23" s="862"/>
      <c r="Y23" s="862"/>
    </row>
    <row r="24" spans="1:25">
      <c r="A24" s="136"/>
      <c r="B24" s="138"/>
      <c r="C24" s="138"/>
      <c r="D24" s="138"/>
      <c r="E24" s="138"/>
      <c r="F24" s="138"/>
      <c r="G24" s="138"/>
      <c r="H24" s="138"/>
      <c r="I24" s="138"/>
      <c r="J24" s="138"/>
      <c r="K24" s="138"/>
      <c r="L24" s="846" t="s">
        <v>74</v>
      </c>
      <c r="M24" s="846" t="s">
        <v>59</v>
      </c>
      <c r="N24" s="847">
        <v>3.91621</v>
      </c>
      <c r="O24" s="848">
        <v>1.72368308</v>
      </c>
      <c r="P24" s="848">
        <v>0.61130641047793088</v>
      </c>
      <c r="Q24" s="848"/>
      <c r="T24" s="862" t="s">
        <v>61</v>
      </c>
      <c r="U24" s="863">
        <v>0.62669924060824622</v>
      </c>
      <c r="V24" s="863">
        <v>0.74903970729881086</v>
      </c>
      <c r="W24" s="875"/>
      <c r="X24" s="862"/>
      <c r="Y24" s="862"/>
    </row>
    <row r="25" spans="1:25">
      <c r="A25" s="136"/>
      <c r="B25" s="138"/>
      <c r="C25" s="138"/>
      <c r="D25" s="138"/>
      <c r="E25" s="138"/>
      <c r="F25" s="138"/>
      <c r="G25" s="138"/>
      <c r="H25" s="138"/>
      <c r="I25" s="138"/>
      <c r="J25" s="138"/>
      <c r="K25" s="138"/>
      <c r="L25" s="846" t="s">
        <v>66</v>
      </c>
      <c r="M25" s="846" t="s">
        <v>59</v>
      </c>
      <c r="N25" s="847">
        <v>9.85</v>
      </c>
      <c r="O25" s="848">
        <v>1.7043253775</v>
      </c>
      <c r="P25" s="848">
        <v>0.24031660709249864</v>
      </c>
      <c r="Q25" s="848"/>
      <c r="T25" s="862" t="s">
        <v>490</v>
      </c>
      <c r="U25" s="863">
        <v>0.621464428206424</v>
      </c>
      <c r="V25" s="863"/>
      <c r="W25" s="875"/>
      <c r="X25" s="862"/>
      <c r="Y25" s="862"/>
    </row>
    <row r="26" spans="1:25">
      <c r="A26" s="136"/>
      <c r="B26" s="138"/>
      <c r="C26" s="138"/>
      <c r="D26" s="138"/>
      <c r="E26" s="138"/>
      <c r="F26" s="138"/>
      <c r="G26" s="138"/>
      <c r="H26" s="138"/>
      <c r="I26" s="138"/>
      <c r="J26" s="138"/>
      <c r="K26" s="138"/>
      <c r="L26" s="846" t="s">
        <v>68</v>
      </c>
      <c r="M26" s="846" t="s">
        <v>59</v>
      </c>
      <c r="N26" s="847">
        <v>7.4240000000000004</v>
      </c>
      <c r="O26" s="848">
        <v>1.3226018549999998</v>
      </c>
      <c r="P26" s="848">
        <v>0.24743359655621402</v>
      </c>
      <c r="Q26" s="848"/>
      <c r="T26" s="862" t="s">
        <v>73</v>
      </c>
      <c r="U26" s="863">
        <v>0.55299460529169409</v>
      </c>
      <c r="V26" s="863">
        <v>1</v>
      </c>
      <c r="W26" s="875"/>
      <c r="X26" s="862"/>
      <c r="Y26" s="862"/>
    </row>
    <row r="27" spans="1:25">
      <c r="A27" s="136"/>
      <c r="B27" s="138"/>
      <c r="C27" s="138"/>
      <c r="D27" s="138"/>
      <c r="E27" s="138"/>
      <c r="F27" s="138"/>
      <c r="G27" s="138"/>
      <c r="H27" s="138"/>
      <c r="I27" s="138"/>
      <c r="J27" s="138"/>
      <c r="K27" s="138"/>
      <c r="L27" s="846" t="s">
        <v>73</v>
      </c>
      <c r="M27" s="846" t="s">
        <v>59</v>
      </c>
      <c r="N27" s="847">
        <v>3.48</v>
      </c>
      <c r="O27" s="848">
        <v>1.1403937000000002</v>
      </c>
      <c r="P27" s="848">
        <v>0.45513797094508307</v>
      </c>
      <c r="Q27" s="848"/>
      <c r="T27" s="862" t="s">
        <v>487</v>
      </c>
      <c r="U27" s="863">
        <v>0.47977354717683063</v>
      </c>
      <c r="V27" s="863"/>
      <c r="W27" s="875"/>
      <c r="X27" s="862"/>
      <c r="Y27" s="862"/>
    </row>
    <row r="28" spans="1:25">
      <c r="A28" s="136"/>
      <c r="B28" s="138"/>
      <c r="C28" s="138"/>
      <c r="D28" s="138"/>
      <c r="E28" s="138"/>
      <c r="F28" s="138"/>
      <c r="G28" s="138"/>
      <c r="H28" s="138"/>
      <c r="I28" s="138"/>
      <c r="J28" s="138"/>
      <c r="K28" s="138"/>
      <c r="L28" s="846" t="s">
        <v>69</v>
      </c>
      <c r="M28" s="846" t="s">
        <v>59</v>
      </c>
      <c r="N28" s="847">
        <v>6.9580000000000002</v>
      </c>
      <c r="O28" s="848">
        <v>1.0780757599999999</v>
      </c>
      <c r="P28" s="848">
        <v>0.21519509118201269</v>
      </c>
      <c r="Q28" s="848"/>
      <c r="T28" s="862" t="s">
        <v>488</v>
      </c>
      <c r="U28" s="863">
        <v>0.47371061283220872</v>
      </c>
      <c r="V28" s="863"/>
      <c r="W28" s="875"/>
      <c r="X28" s="862"/>
      <c r="Y28" s="862"/>
    </row>
    <row r="29" spans="1:25">
      <c r="A29" s="136"/>
      <c r="B29" s="138"/>
      <c r="C29" s="138"/>
      <c r="D29" s="138"/>
      <c r="E29" s="138"/>
      <c r="F29" s="138"/>
      <c r="G29" s="138"/>
      <c r="H29" s="138"/>
      <c r="I29" s="138"/>
      <c r="J29" s="138"/>
      <c r="K29" s="138"/>
      <c r="L29" s="846" t="s">
        <v>490</v>
      </c>
      <c r="M29" s="846" t="s">
        <v>59</v>
      </c>
      <c r="N29" s="847">
        <v>0.7</v>
      </c>
      <c r="O29" s="848">
        <v>0.47129478250000001</v>
      </c>
      <c r="P29" s="848">
        <v>0.9351086954365081</v>
      </c>
      <c r="Q29" s="848"/>
      <c r="T29" s="862" t="s">
        <v>489</v>
      </c>
      <c r="U29" s="863">
        <v>0.43005923214227221</v>
      </c>
      <c r="V29" s="863"/>
      <c r="W29" s="875"/>
      <c r="X29" s="862"/>
      <c r="Y29" s="862"/>
    </row>
    <row r="30" spans="1:25">
      <c r="A30" s="136"/>
      <c r="B30" s="138"/>
      <c r="C30" s="138"/>
      <c r="D30" s="138"/>
      <c r="E30" s="138"/>
      <c r="F30" s="138"/>
      <c r="G30" s="138"/>
      <c r="H30" s="138"/>
      <c r="I30" s="138"/>
      <c r="J30" s="138"/>
      <c r="K30" s="138"/>
      <c r="L30" s="846" t="s">
        <v>76</v>
      </c>
      <c r="M30" s="846" t="s">
        <v>59</v>
      </c>
      <c r="N30" s="847">
        <v>1.714</v>
      </c>
      <c r="O30" s="848">
        <v>0.24919130749999999</v>
      </c>
      <c r="P30" s="848">
        <v>0.20192475974004928</v>
      </c>
      <c r="Q30" s="848"/>
      <c r="T30" s="862" t="s">
        <v>76</v>
      </c>
      <c r="U30" s="863">
        <v>0.12166041267622175</v>
      </c>
      <c r="V30" s="863">
        <v>0.20713906075736385</v>
      </c>
      <c r="W30" s="875"/>
      <c r="X30" s="862"/>
      <c r="Y30" s="862"/>
    </row>
    <row r="31" spans="1:25">
      <c r="A31" s="136"/>
      <c r="B31" s="138"/>
      <c r="C31" s="138"/>
      <c r="D31" s="138"/>
      <c r="E31" s="138"/>
      <c r="F31" s="138"/>
      <c r="G31" s="138"/>
      <c r="H31" s="138"/>
      <c r="I31" s="138"/>
      <c r="J31" s="138"/>
      <c r="K31" s="138"/>
      <c r="L31" s="846" t="s">
        <v>521</v>
      </c>
      <c r="M31" s="846" t="s">
        <v>225</v>
      </c>
      <c r="N31" s="847">
        <v>132.30000000000001</v>
      </c>
      <c r="O31" s="848">
        <v>58.411027837500001</v>
      </c>
      <c r="P31" s="848">
        <v>0.61320051059775749</v>
      </c>
      <c r="Q31" s="848"/>
      <c r="S31" s="862" t="s">
        <v>566</v>
      </c>
      <c r="T31" s="862" t="s">
        <v>79</v>
      </c>
      <c r="U31" s="863">
        <v>0.57434254646349259</v>
      </c>
      <c r="V31" s="863">
        <v>0.60594991108425422</v>
      </c>
      <c r="W31" s="875"/>
      <c r="X31" s="862"/>
      <c r="Y31" s="862"/>
    </row>
    <row r="32" spans="1:25">
      <c r="A32" s="136"/>
      <c r="B32" s="138"/>
      <c r="C32" s="138"/>
      <c r="D32" s="138"/>
      <c r="E32" s="138"/>
      <c r="F32" s="138"/>
      <c r="G32" s="138"/>
      <c r="H32" s="138"/>
      <c r="I32" s="138"/>
      <c r="J32" s="138"/>
      <c r="K32" s="138"/>
      <c r="L32" s="846" t="s">
        <v>77</v>
      </c>
      <c r="M32" s="846" t="s">
        <v>225</v>
      </c>
      <c r="N32" s="847">
        <v>97.15</v>
      </c>
      <c r="O32" s="848">
        <v>44.431992664999996</v>
      </c>
      <c r="P32" s="848">
        <v>0.63521462607937307</v>
      </c>
      <c r="Q32" s="848"/>
      <c r="T32" s="862" t="s">
        <v>77</v>
      </c>
      <c r="U32" s="863">
        <v>0.55707522702343026</v>
      </c>
      <c r="V32" s="863">
        <v>0.62967444406018092</v>
      </c>
      <c r="W32" s="875"/>
      <c r="X32" s="862"/>
      <c r="Y32" s="862"/>
    </row>
    <row r="33" spans="1:25">
      <c r="A33" s="136"/>
      <c r="B33" s="138"/>
      <c r="C33" s="138"/>
      <c r="D33" s="138"/>
      <c r="E33" s="138"/>
      <c r="F33" s="138"/>
      <c r="G33" s="138"/>
      <c r="H33" s="138"/>
      <c r="I33" s="138"/>
      <c r="J33" s="138"/>
      <c r="K33" s="138"/>
      <c r="L33" s="846" t="s">
        <v>78</v>
      </c>
      <c r="M33" s="846" t="s">
        <v>225</v>
      </c>
      <c r="N33" s="847">
        <v>83.15</v>
      </c>
      <c r="O33" s="848">
        <v>25.40417446</v>
      </c>
      <c r="P33" s="848">
        <v>0.42433644785194086</v>
      </c>
      <c r="Q33" s="848"/>
      <c r="T33" s="862" t="s">
        <v>521</v>
      </c>
      <c r="U33" s="863">
        <v>0.49295078228247091</v>
      </c>
      <c r="V33" s="863">
        <v>0.87717510995461923</v>
      </c>
      <c r="W33" s="875"/>
      <c r="X33" s="862"/>
      <c r="Y33" s="862"/>
    </row>
    <row r="34" spans="1:25">
      <c r="B34" s="138"/>
      <c r="C34" s="138"/>
      <c r="D34" s="138"/>
      <c r="E34" s="138"/>
      <c r="F34" s="138"/>
      <c r="G34" s="138"/>
      <c r="H34" s="138"/>
      <c r="I34" s="138"/>
      <c r="J34" s="138"/>
      <c r="K34" s="138"/>
      <c r="L34" s="846" t="s">
        <v>79</v>
      </c>
      <c r="M34" s="846" t="s">
        <v>225</v>
      </c>
      <c r="N34" s="847">
        <v>32</v>
      </c>
      <c r="O34" s="848">
        <v>15.786855662500001</v>
      </c>
      <c r="P34" s="848">
        <v>0.68519338812934028</v>
      </c>
      <c r="Q34" s="848"/>
      <c r="T34" s="862" t="s">
        <v>78</v>
      </c>
      <c r="U34" s="863">
        <v>0.44169937798297759</v>
      </c>
      <c r="V34" s="863">
        <v>0.44090602833138981</v>
      </c>
      <c r="W34" s="875"/>
      <c r="X34" s="862"/>
      <c r="Y34" s="862"/>
    </row>
    <row r="35" spans="1:25">
      <c r="A35" s="136"/>
      <c r="B35" s="138"/>
      <c r="C35" s="138"/>
      <c r="D35" s="138"/>
      <c r="E35" s="138"/>
      <c r="F35" s="138"/>
      <c r="G35" s="138"/>
      <c r="H35" s="138"/>
      <c r="I35" s="138"/>
      <c r="J35" s="138"/>
      <c r="K35" s="138"/>
      <c r="L35" s="846" t="s">
        <v>80</v>
      </c>
      <c r="M35" s="846" t="s">
        <v>225</v>
      </c>
      <c r="N35" s="847">
        <v>30.86</v>
      </c>
      <c r="O35" s="848">
        <v>13.097493117500001</v>
      </c>
      <c r="P35" s="848">
        <v>0.58946735784816728</v>
      </c>
      <c r="Q35" s="848"/>
      <c r="T35" s="862" t="s">
        <v>80</v>
      </c>
      <c r="U35" s="863">
        <v>0.41195506291155121</v>
      </c>
      <c r="V35" s="863">
        <v>0.47212631368763947</v>
      </c>
      <c r="W35" s="875"/>
      <c r="X35" s="862"/>
      <c r="Y35" s="862"/>
    </row>
    <row r="36" spans="1:25">
      <c r="A36" s="136"/>
      <c r="B36" s="138"/>
      <c r="C36" s="138"/>
      <c r="D36" s="138"/>
      <c r="E36" s="138"/>
      <c r="F36" s="138"/>
      <c r="G36" s="138"/>
      <c r="H36" s="138"/>
      <c r="I36" s="138"/>
      <c r="J36" s="138"/>
      <c r="K36" s="138"/>
      <c r="L36" s="846" t="s">
        <v>522</v>
      </c>
      <c r="M36" s="846" t="s">
        <v>81</v>
      </c>
      <c r="N36" s="847">
        <v>144.47999999999999</v>
      </c>
      <c r="O36" s="848">
        <v>31.818564655000003</v>
      </c>
      <c r="P36" s="848">
        <v>0.30587244538844288</v>
      </c>
      <c r="Q36" s="848"/>
      <c r="S36" s="862" t="s">
        <v>547</v>
      </c>
      <c r="T36" s="862" t="s">
        <v>82</v>
      </c>
      <c r="U36" s="863">
        <v>0.30861600991303056</v>
      </c>
      <c r="V36" s="863">
        <v>0.36370993770142723</v>
      </c>
      <c r="W36" s="875"/>
      <c r="X36" s="862"/>
      <c r="Y36" s="862"/>
    </row>
    <row r="37" spans="1:25">
      <c r="A37" s="136"/>
      <c r="B37" s="138"/>
      <c r="C37" s="138"/>
      <c r="D37" s="138"/>
      <c r="E37" s="138"/>
      <c r="F37" s="138"/>
      <c r="G37" s="138"/>
      <c r="H37" s="138"/>
      <c r="I37" s="138"/>
      <c r="J37" s="138"/>
      <c r="K37" s="138"/>
      <c r="L37" s="846" t="s">
        <v>523</v>
      </c>
      <c r="M37" s="846" t="s">
        <v>81</v>
      </c>
      <c r="N37" s="847">
        <v>44.54</v>
      </c>
      <c r="O37" s="848">
        <v>7.9331178225000007</v>
      </c>
      <c r="P37" s="848">
        <v>0.24737806910455021</v>
      </c>
      <c r="Q37" s="848"/>
      <c r="T37" s="862" t="s">
        <v>522</v>
      </c>
      <c r="U37" s="863">
        <v>0.29602837182150077</v>
      </c>
      <c r="V37" s="863">
        <v>0.29481349981398813</v>
      </c>
      <c r="W37" s="875"/>
    </row>
    <row r="38" spans="1:25" ht="11.25" customHeight="1">
      <c r="A38" s="136"/>
      <c r="B38" s="138"/>
      <c r="C38" s="138"/>
      <c r="D38" s="138"/>
      <c r="E38" s="138"/>
      <c r="F38" s="138"/>
      <c r="G38" s="138"/>
      <c r="H38" s="138"/>
      <c r="I38" s="138"/>
      <c r="J38" s="138"/>
      <c r="K38" s="138"/>
      <c r="L38" s="850" t="s">
        <v>244</v>
      </c>
      <c r="M38" s="851" t="s">
        <v>81</v>
      </c>
      <c r="N38" s="847">
        <v>20</v>
      </c>
      <c r="O38" s="848">
        <v>3.93006923</v>
      </c>
      <c r="P38" s="848">
        <v>0.27292147430555558</v>
      </c>
      <c r="Q38" s="850"/>
      <c r="T38" s="862" t="s">
        <v>244</v>
      </c>
      <c r="U38" s="863">
        <v>0.26766363342669031</v>
      </c>
      <c r="V38" s="863">
        <v>0.31668357176565382</v>
      </c>
      <c r="W38" s="875"/>
    </row>
    <row r="39" spans="1:25">
      <c r="A39" s="136"/>
      <c r="B39" s="138"/>
      <c r="C39" s="138"/>
      <c r="D39" s="138"/>
      <c r="E39" s="138"/>
      <c r="F39" s="138"/>
      <c r="G39" s="138"/>
      <c r="H39" s="138"/>
      <c r="I39" s="138"/>
      <c r="J39" s="138"/>
      <c r="K39" s="138"/>
      <c r="L39" s="841" t="s">
        <v>82</v>
      </c>
      <c r="M39" s="852" t="s">
        <v>81</v>
      </c>
      <c r="N39" s="847">
        <v>16</v>
      </c>
      <c r="O39" s="848">
        <v>3.669384355</v>
      </c>
      <c r="P39" s="848">
        <v>0.31852294748263887</v>
      </c>
      <c r="T39" s="862" t="s">
        <v>243</v>
      </c>
      <c r="U39" s="863">
        <v>0.25299442189956761</v>
      </c>
      <c r="V39" s="863">
        <v>0.30338029604051564</v>
      </c>
      <c r="W39" s="875"/>
    </row>
    <row r="40" spans="1:25">
      <c r="A40" s="136"/>
      <c r="B40" s="138"/>
      <c r="C40" s="138"/>
      <c r="D40" s="138"/>
      <c r="E40" s="138"/>
      <c r="F40" s="138"/>
      <c r="G40" s="138"/>
      <c r="H40" s="138"/>
      <c r="I40" s="138"/>
      <c r="J40" s="138"/>
      <c r="K40" s="138"/>
      <c r="L40" s="841" t="s">
        <v>83</v>
      </c>
      <c r="M40" s="852" t="s">
        <v>81</v>
      </c>
      <c r="N40" s="847">
        <v>20</v>
      </c>
      <c r="O40" s="848">
        <v>3.5730533725</v>
      </c>
      <c r="P40" s="848">
        <v>0.24812870642361112</v>
      </c>
      <c r="T40" s="862" t="s">
        <v>245</v>
      </c>
      <c r="U40" s="863">
        <v>0.24270940315448114</v>
      </c>
      <c r="V40" s="863">
        <v>0.2790377921270718</v>
      </c>
      <c r="W40" s="875"/>
    </row>
    <row r="41" spans="1:25">
      <c r="A41" s="136"/>
      <c r="B41" s="138"/>
      <c r="C41" s="138"/>
      <c r="D41" s="138"/>
      <c r="E41" s="138"/>
      <c r="F41" s="138"/>
      <c r="G41" s="138"/>
      <c r="H41" s="138"/>
      <c r="I41" s="138"/>
      <c r="J41" s="138"/>
      <c r="K41" s="138"/>
      <c r="L41" s="841" t="s">
        <v>245</v>
      </c>
      <c r="M41" s="852" t="s">
        <v>81</v>
      </c>
      <c r="N41" s="847">
        <v>20</v>
      </c>
      <c r="O41" s="848">
        <v>3.4995767999999998</v>
      </c>
      <c r="P41" s="848">
        <v>0.24302616666666665</v>
      </c>
      <c r="T41" s="862" t="s">
        <v>523</v>
      </c>
      <c r="U41" s="863">
        <v>0.23956347256626434</v>
      </c>
      <c r="V41" s="863">
        <v>0.2951186994581893</v>
      </c>
      <c r="W41" s="875"/>
    </row>
    <row r="42" spans="1:25">
      <c r="A42" s="136"/>
      <c r="B42" s="138"/>
      <c r="C42" s="138"/>
      <c r="D42" s="138"/>
      <c r="E42" s="138"/>
      <c r="F42" s="138"/>
      <c r="G42" s="138"/>
      <c r="H42" s="138"/>
      <c r="I42" s="138"/>
      <c r="J42" s="138"/>
      <c r="K42" s="138"/>
      <c r="L42" s="841" t="s">
        <v>243</v>
      </c>
      <c r="M42" s="841" t="s">
        <v>81</v>
      </c>
      <c r="N42" s="847">
        <v>20</v>
      </c>
      <c r="O42" s="848">
        <v>2.9160315799999998</v>
      </c>
      <c r="P42" s="848">
        <v>0.20250219305555556</v>
      </c>
      <c r="T42" s="862" t="s">
        <v>83</v>
      </c>
      <c r="U42" s="863">
        <v>0.235783021545794</v>
      </c>
      <c r="V42" s="863">
        <v>0.24963172859116017</v>
      </c>
      <c r="W42" s="875"/>
    </row>
    <row r="43" spans="1:25" ht="36" customHeight="1">
      <c r="A43" s="927"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julio 2019.
Nota: Son consideradas las centrales con operación comercial</v>
      </c>
      <c r="B43" s="927"/>
      <c r="C43" s="927"/>
      <c r="D43" s="927"/>
      <c r="E43" s="927"/>
      <c r="F43" s="927"/>
      <c r="G43" s="927"/>
      <c r="H43" s="927"/>
      <c r="I43" s="927"/>
      <c r="J43" s="927"/>
      <c r="K43" s="927"/>
      <c r="L43" s="841" t="s">
        <v>84</v>
      </c>
      <c r="M43" s="841" t="s">
        <v>468</v>
      </c>
      <c r="N43" s="847">
        <v>12.74105</v>
      </c>
      <c r="O43" s="848">
        <v>8.3256122875000003</v>
      </c>
      <c r="P43" s="848">
        <v>0.90756651918841524</v>
      </c>
      <c r="S43" s="862" t="s">
        <v>548</v>
      </c>
      <c r="T43" s="862" t="s">
        <v>85</v>
      </c>
      <c r="U43" s="863">
        <v>0.89638895002213215</v>
      </c>
      <c r="V43" s="863">
        <v>1</v>
      </c>
      <c r="W43" s="875"/>
    </row>
    <row r="44" spans="1:25" ht="18" customHeight="1">
      <c r="A44" s="136"/>
      <c r="B44" s="138"/>
      <c r="C44" s="138"/>
      <c r="D44" s="138"/>
      <c r="E44" s="138"/>
      <c r="F44" s="138"/>
      <c r="G44" s="138"/>
      <c r="H44" s="138"/>
      <c r="I44" s="138"/>
      <c r="J44" s="138"/>
      <c r="K44" s="138"/>
      <c r="L44" s="841" t="s">
        <v>85</v>
      </c>
      <c r="M44" s="841" t="s">
        <v>468</v>
      </c>
      <c r="N44" s="847">
        <v>4.2625000000000002</v>
      </c>
      <c r="O44" s="848">
        <v>2.7446895099999997</v>
      </c>
      <c r="P44" s="848">
        <v>0.89432698273053091</v>
      </c>
      <c r="T44" s="862" t="s">
        <v>84</v>
      </c>
      <c r="U44" s="863">
        <v>0.81444546070124613</v>
      </c>
      <c r="V44" s="863">
        <v>0.91247355666440699</v>
      </c>
      <c r="W44" s="875"/>
    </row>
    <row r="45" spans="1:25" ht="12">
      <c r="A45" s="136"/>
      <c r="B45" s="138"/>
      <c r="C45" s="931" t="str">
        <f>"Factor de planta de las centrales RER  Acumulado al "&amp;'1. Resumen'!Q7&amp;" de "&amp;'1. Resumen'!Q4</f>
        <v>Factor de planta de las centrales RER  Acumulado al 31 de julio</v>
      </c>
      <c r="D45" s="931"/>
      <c r="E45" s="931"/>
      <c r="F45" s="931"/>
      <c r="G45" s="931"/>
      <c r="H45" s="931"/>
      <c r="I45" s="931"/>
      <c r="J45" s="138"/>
      <c r="K45" s="138"/>
      <c r="L45" s="841" t="s">
        <v>86</v>
      </c>
      <c r="M45" s="841" t="s">
        <v>468</v>
      </c>
      <c r="N45" s="847">
        <v>2.9537</v>
      </c>
      <c r="O45" s="848">
        <v>1.8912772325</v>
      </c>
      <c r="P45" s="848">
        <v>0.88931642821809176</v>
      </c>
      <c r="T45" s="862" t="s">
        <v>524</v>
      </c>
      <c r="U45" s="863">
        <v>0.75586476799986946</v>
      </c>
      <c r="V45" s="863"/>
      <c r="W45" s="875"/>
    </row>
    <row r="46" spans="1:25" ht="9.75" customHeight="1">
      <c r="A46" s="136"/>
      <c r="B46" s="138"/>
      <c r="C46" s="138"/>
      <c r="D46" s="138"/>
      <c r="E46" s="138"/>
      <c r="F46" s="138"/>
      <c r="G46" s="138"/>
      <c r="H46" s="138"/>
      <c r="I46" s="138"/>
      <c r="J46" s="138"/>
      <c r="K46" s="138"/>
      <c r="L46" s="841" t="s">
        <v>524</v>
      </c>
      <c r="M46" s="841" t="s">
        <v>468</v>
      </c>
      <c r="N46" s="847">
        <v>2.4</v>
      </c>
      <c r="O46" s="848">
        <v>1.5962930499999999</v>
      </c>
      <c r="P46" s="848">
        <v>0.92378070023148151</v>
      </c>
      <c r="T46" s="862" t="s">
        <v>86</v>
      </c>
      <c r="U46" s="862">
        <v>0.61082734192063304</v>
      </c>
      <c r="V46" s="863">
        <v>0.45569663994330922</v>
      </c>
      <c r="W46" s="875"/>
    </row>
    <row r="47" spans="1:25" ht="9.75" customHeight="1">
      <c r="A47" s="136"/>
      <c r="B47" s="138"/>
      <c r="C47" s="138"/>
      <c r="D47" s="138"/>
      <c r="E47" s="138"/>
      <c r="F47" s="138"/>
      <c r="G47" s="138"/>
      <c r="H47" s="138"/>
      <c r="I47" s="138"/>
      <c r="J47" s="138"/>
      <c r="K47" s="138"/>
      <c r="N47" s="847"/>
      <c r="O47" s="848"/>
      <c r="P47" s="848"/>
    </row>
    <row r="48" spans="1:25" ht="9.75" customHeight="1">
      <c r="A48" s="136"/>
      <c r="B48" s="138"/>
      <c r="C48" s="138"/>
      <c r="D48" s="138"/>
      <c r="E48" s="138"/>
      <c r="F48" s="138"/>
      <c r="G48" s="138"/>
      <c r="H48" s="138"/>
      <c r="I48" s="138"/>
      <c r="J48" s="138"/>
      <c r="K48" s="138"/>
    </row>
    <row r="49" spans="1:11" ht="9.75" customHeight="1">
      <c r="A49" s="136"/>
      <c r="B49" s="138"/>
      <c r="C49" s="138"/>
      <c r="D49" s="138"/>
      <c r="E49" s="138"/>
      <c r="F49" s="138"/>
      <c r="G49" s="138"/>
      <c r="H49" s="138"/>
      <c r="I49" s="138"/>
      <c r="J49" s="138"/>
      <c r="K49" s="138"/>
    </row>
    <row r="50" spans="1:11" ht="9.75" customHeight="1">
      <c r="A50" s="136"/>
      <c r="B50" s="138"/>
      <c r="C50" s="138"/>
      <c r="D50" s="138"/>
      <c r="E50" s="138"/>
      <c r="F50" s="138"/>
      <c r="G50" s="138"/>
      <c r="H50" s="138"/>
      <c r="I50" s="138"/>
      <c r="J50" s="138"/>
      <c r="K50" s="138"/>
    </row>
    <row r="51" spans="1:11" ht="9.75" customHeight="1">
      <c r="A51" s="136"/>
      <c r="B51" s="138"/>
      <c r="C51" s="138"/>
      <c r="D51" s="138"/>
      <c r="E51" s="138"/>
      <c r="F51" s="138"/>
      <c r="G51" s="138"/>
      <c r="H51" s="138"/>
      <c r="I51" s="138"/>
      <c r="J51" s="138"/>
      <c r="K51" s="138"/>
    </row>
    <row r="52" spans="1:11" ht="9.75" customHeight="1">
      <c r="A52" s="136"/>
      <c r="B52" s="138"/>
      <c r="C52" s="138"/>
      <c r="D52" s="138"/>
      <c r="E52" s="138"/>
      <c r="F52" s="138"/>
      <c r="G52" s="138"/>
      <c r="H52" s="138"/>
      <c r="I52" s="138"/>
      <c r="J52" s="138"/>
      <c r="K52" s="138"/>
    </row>
    <row r="53" spans="1:11" ht="9.75" customHeight="1">
      <c r="B53" s="138"/>
      <c r="C53" s="138"/>
      <c r="D53" s="138"/>
      <c r="E53" s="138"/>
      <c r="F53" s="138"/>
      <c r="G53" s="138"/>
      <c r="H53" s="138"/>
      <c r="I53" s="138"/>
      <c r="J53" s="138"/>
      <c r="K53" s="138"/>
    </row>
    <row r="54" spans="1:11" ht="9.75" customHeight="1"/>
    <row r="55" spans="1:11" ht="9.75" customHeight="1"/>
    <row r="56" spans="1:11" ht="9.75" customHeight="1"/>
    <row r="57" spans="1:11" ht="9.75" customHeight="1"/>
    <row r="58" spans="1:11" ht="9.75" customHeight="1"/>
    <row r="59" spans="1:11" ht="9.75" customHeight="1"/>
    <row r="60" spans="1:11" ht="9.75" customHeight="1"/>
    <row r="61" spans="1:11" ht="9.75" customHeight="1"/>
    <row r="62" spans="1:11" ht="9.75" customHeight="1"/>
    <row r="64" spans="1:11" ht="26.25" customHeight="1">
      <c r="A64" s="927"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julio.
Nota: Son consideradas las centrales con operación comercial</v>
      </c>
      <c r="B64" s="927"/>
      <c r="C64" s="927"/>
      <c r="D64" s="927"/>
      <c r="E64" s="927"/>
      <c r="F64" s="927"/>
      <c r="G64" s="927"/>
      <c r="H64" s="927"/>
      <c r="I64" s="927"/>
      <c r="J64" s="927"/>
      <c r="K64" s="927"/>
    </row>
  </sheetData>
  <mergeCells count="4">
    <mergeCell ref="A43:K43"/>
    <mergeCell ref="A2:K2"/>
    <mergeCell ref="C45:I45"/>
    <mergeCell ref="A64:K64"/>
  </mergeCells>
  <pageMargins left="0.70866141732283472" right="0.59055118110236227"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7A5"/>
  </sheetPr>
  <dimension ref="A1:N72"/>
  <sheetViews>
    <sheetView showGridLines="0" view="pageBreakPreview" topLeftCell="A32" zoomScale="115" zoomScaleNormal="100" zoomScaleSheetLayoutView="115" zoomScalePageLayoutView="145" workbookViewId="0">
      <selection activeCell="A64" sqref="A64:J64"/>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28" t="s">
        <v>247</v>
      </c>
      <c r="B2" s="928"/>
      <c r="C2" s="928"/>
      <c r="D2" s="928"/>
      <c r="E2" s="928"/>
      <c r="F2" s="928"/>
      <c r="G2" s="928"/>
      <c r="H2" s="928"/>
      <c r="I2" s="928"/>
      <c r="J2" s="17"/>
    </row>
    <row r="3" spans="1:14" ht="6" customHeight="1">
      <c r="A3" s="17"/>
      <c r="B3" s="17"/>
      <c r="C3" s="17"/>
      <c r="D3" s="17"/>
      <c r="E3" s="17"/>
      <c r="F3" s="17"/>
      <c r="G3" s="17"/>
      <c r="H3" s="17"/>
      <c r="I3" s="17"/>
      <c r="J3" s="17"/>
      <c r="K3" s="354"/>
      <c r="L3" s="354"/>
    </row>
    <row r="4" spans="1:14" ht="11.25" customHeight="1">
      <c r="A4" s="934" t="s">
        <v>259</v>
      </c>
      <c r="B4" s="935" t="str">
        <f>+'1. Resumen'!Q4</f>
        <v>julio</v>
      </c>
      <c r="C4" s="936"/>
      <c r="D4" s="936"/>
      <c r="E4" s="138"/>
      <c r="F4" s="138"/>
      <c r="G4" s="937" t="s">
        <v>508</v>
      </c>
      <c r="H4" s="937"/>
      <c r="I4" s="937"/>
      <c r="J4" s="138"/>
      <c r="L4" s="355"/>
      <c r="M4" s="356">
        <v>2019</v>
      </c>
      <c r="N4" s="356">
        <v>2018</v>
      </c>
    </row>
    <row r="5" spans="1:14" ht="11.25" customHeight="1">
      <c r="A5" s="934"/>
      <c r="B5" s="530">
        <f>+'1. Resumen'!Q5</f>
        <v>2019</v>
      </c>
      <c r="C5" s="531">
        <f>+B5-1</f>
        <v>2018</v>
      </c>
      <c r="D5" s="531" t="s">
        <v>35</v>
      </c>
      <c r="E5" s="138"/>
      <c r="F5" s="138"/>
      <c r="G5" s="138"/>
      <c r="H5" s="138"/>
      <c r="I5" s="138"/>
      <c r="J5" s="138"/>
      <c r="K5" s="357"/>
      <c r="L5" s="361" t="s">
        <v>248</v>
      </c>
      <c r="M5" s="359">
        <v>0</v>
      </c>
      <c r="N5" s="359">
        <v>0</v>
      </c>
    </row>
    <row r="6" spans="1:14" ht="10.5" customHeight="1">
      <c r="A6" s="423" t="s">
        <v>483</v>
      </c>
      <c r="B6" s="440">
        <v>759.43477554499998</v>
      </c>
      <c r="C6" s="441">
        <v>648.89763769749993</v>
      </c>
      <c r="D6" s="424">
        <f>IF(C6=0,"",B6/C6-1)</f>
        <v>0.17034603214109678</v>
      </c>
      <c r="E6" s="138"/>
      <c r="F6" s="138"/>
      <c r="G6" s="138"/>
      <c r="H6" s="138"/>
      <c r="I6" s="138"/>
      <c r="J6" s="138"/>
      <c r="K6" s="360"/>
      <c r="L6" s="361" t="s">
        <v>256</v>
      </c>
      <c r="M6" s="359">
        <v>2.5215424999999996E-3</v>
      </c>
      <c r="N6" s="359">
        <v>1.8681192500000002E-2</v>
      </c>
    </row>
    <row r="7" spans="1:14" ht="10.5" customHeight="1">
      <c r="A7" s="425" t="s">
        <v>90</v>
      </c>
      <c r="B7" s="442">
        <v>629.67828553749996</v>
      </c>
      <c r="C7" s="442">
        <v>616.8177441675</v>
      </c>
      <c r="D7" s="426">
        <f t="shared" ref="D7:D38" si="0">IF(C7=0,"",B7/C7-1)</f>
        <v>2.0849823941685441E-2</v>
      </c>
      <c r="E7" s="436"/>
      <c r="F7" s="138"/>
      <c r="G7" s="138"/>
      <c r="H7" s="138"/>
      <c r="I7" s="138"/>
      <c r="J7" s="138"/>
      <c r="L7" s="359" t="s">
        <v>119</v>
      </c>
      <c r="M7" s="359">
        <v>2.73475525E-2</v>
      </c>
      <c r="N7" s="359">
        <v>3.8967750000000002E-2</v>
      </c>
    </row>
    <row r="8" spans="1:14" ht="10.5" customHeight="1">
      <c r="A8" s="423" t="s">
        <v>88</v>
      </c>
      <c r="B8" s="441">
        <v>601.88591489999976</v>
      </c>
      <c r="C8" s="441">
        <v>638.24097468499997</v>
      </c>
      <c r="D8" s="424">
        <f t="shared" si="0"/>
        <v>-5.696133784413171E-2</v>
      </c>
      <c r="E8" s="138"/>
      <c r="F8" s="138"/>
      <c r="G8" s="138"/>
      <c r="H8" s="138"/>
      <c r="I8" s="138"/>
      <c r="J8" s="138"/>
      <c r="L8" s="361" t="s">
        <v>121</v>
      </c>
      <c r="M8" s="359">
        <v>7.51934925E-2</v>
      </c>
      <c r="N8" s="359">
        <v>2.56264264</v>
      </c>
    </row>
    <row r="9" spans="1:14" ht="10.5" customHeight="1">
      <c r="A9" s="425" t="s">
        <v>89</v>
      </c>
      <c r="B9" s="442">
        <v>578.89770246500007</v>
      </c>
      <c r="C9" s="442">
        <v>542.10331888999997</v>
      </c>
      <c r="D9" s="426">
        <f t="shared" si="0"/>
        <v>6.7873378178793464E-2</v>
      </c>
      <c r="E9" s="138"/>
      <c r="F9" s="138"/>
      <c r="G9" s="138"/>
      <c r="H9" s="138"/>
      <c r="I9" s="138"/>
      <c r="J9" s="138"/>
      <c r="L9" s="361" t="s">
        <v>486</v>
      </c>
      <c r="M9" s="359">
        <v>9.8008250000000005E-2</v>
      </c>
      <c r="N9" s="359"/>
    </row>
    <row r="10" spans="1:14" ht="10.5" customHeight="1">
      <c r="A10" s="423" t="s">
        <v>252</v>
      </c>
      <c r="B10" s="441">
        <v>404.84561240500005</v>
      </c>
      <c r="C10" s="441">
        <v>333.9755148525</v>
      </c>
      <c r="D10" s="424">
        <f t="shared" si="0"/>
        <v>0.21220147705678305</v>
      </c>
      <c r="E10" s="138"/>
      <c r="F10" s="138"/>
      <c r="G10" s="138"/>
      <c r="H10" s="138"/>
      <c r="I10" s="138"/>
      <c r="J10" s="138"/>
      <c r="K10" s="357"/>
      <c r="L10" s="359" t="s">
        <v>120</v>
      </c>
      <c r="M10" s="359">
        <v>0.24919130749999999</v>
      </c>
      <c r="N10" s="359">
        <v>0.10120691750000001</v>
      </c>
    </row>
    <row r="11" spans="1:14" ht="10.5" customHeight="1">
      <c r="A11" s="425" t="s">
        <v>101</v>
      </c>
      <c r="B11" s="442">
        <v>194.84912664500001</v>
      </c>
      <c r="C11" s="442">
        <v>193.17047228000001</v>
      </c>
      <c r="D11" s="426">
        <f t="shared" si="0"/>
        <v>8.6900153278437475E-3</v>
      </c>
      <c r="E11" s="138"/>
      <c r="F11" s="138"/>
      <c r="G11" s="138"/>
      <c r="H11" s="138"/>
      <c r="I11" s="138"/>
      <c r="J11" s="138"/>
      <c r="K11" s="360"/>
      <c r="L11" s="359" t="s">
        <v>257</v>
      </c>
      <c r="M11" s="359">
        <v>0.40410757000000003</v>
      </c>
      <c r="N11" s="359">
        <v>0.83955658499999997</v>
      </c>
    </row>
    <row r="12" spans="1:14" ht="10.5" customHeight="1">
      <c r="A12" s="423" t="s">
        <v>91</v>
      </c>
      <c r="B12" s="441">
        <v>155.29043071249998</v>
      </c>
      <c r="C12" s="441">
        <v>159.53310032000002</v>
      </c>
      <c r="D12" s="424">
        <f t="shared" si="0"/>
        <v>-2.6594290457528036E-2</v>
      </c>
      <c r="E12" s="138"/>
      <c r="F12" s="138"/>
      <c r="G12" s="138"/>
      <c r="H12" s="138"/>
      <c r="I12" s="138"/>
      <c r="J12" s="138"/>
      <c r="K12" s="360"/>
      <c r="L12" s="359" t="s">
        <v>118</v>
      </c>
      <c r="M12" s="359">
        <v>1.1403937000000002</v>
      </c>
      <c r="N12" s="359">
        <v>1.3763512499999999</v>
      </c>
    </row>
    <row r="13" spans="1:14" ht="10.5" customHeight="1">
      <c r="A13" s="425" t="s">
        <v>93</v>
      </c>
      <c r="B13" s="442">
        <v>93.4875355625</v>
      </c>
      <c r="C13" s="442">
        <v>95.862467440000003</v>
      </c>
      <c r="D13" s="427">
        <f t="shared" si="0"/>
        <v>-2.4774366244917134E-2</v>
      </c>
      <c r="E13" s="138"/>
      <c r="F13" s="138"/>
      <c r="G13" s="138"/>
      <c r="H13" s="138"/>
      <c r="I13" s="138"/>
      <c r="J13" s="138"/>
      <c r="K13" s="360"/>
      <c r="L13" s="361" t="s">
        <v>116</v>
      </c>
      <c r="M13" s="359">
        <v>1.72368308</v>
      </c>
      <c r="N13" s="359">
        <v>1.7380232949999999</v>
      </c>
    </row>
    <row r="14" spans="1:14" ht="10.5" customHeight="1">
      <c r="A14" s="423" t="s">
        <v>249</v>
      </c>
      <c r="B14" s="441">
        <v>92.340128859999993</v>
      </c>
      <c r="C14" s="441">
        <v>81.005481285000002</v>
      </c>
      <c r="D14" s="424">
        <f t="shared" si="0"/>
        <v>0.1399244519654359</v>
      </c>
      <c r="E14" s="138"/>
      <c r="F14" s="138"/>
      <c r="G14" s="138"/>
      <c r="H14" s="138"/>
      <c r="I14" s="138"/>
      <c r="J14" s="138"/>
      <c r="K14" s="360"/>
      <c r="L14" s="361" t="s">
        <v>117</v>
      </c>
      <c r="M14" s="359">
        <v>2.3740999999999999</v>
      </c>
      <c r="N14" s="359">
        <v>2.3769</v>
      </c>
    </row>
    <row r="15" spans="1:14" ht="10.5" customHeight="1">
      <c r="A15" s="425" t="s">
        <v>254</v>
      </c>
      <c r="B15" s="442">
        <v>91.60953804750001</v>
      </c>
      <c r="C15" s="442">
        <v>88.898847340000003</v>
      </c>
      <c r="D15" s="426">
        <f t="shared" si="0"/>
        <v>3.0491854378412508E-2</v>
      </c>
      <c r="E15" s="138"/>
      <c r="F15" s="138"/>
      <c r="G15" s="138"/>
      <c r="H15" s="138"/>
      <c r="I15" s="138"/>
      <c r="J15" s="138"/>
      <c r="K15" s="360"/>
      <c r="L15" s="359" t="s">
        <v>115</v>
      </c>
      <c r="M15" s="359">
        <v>2.6711766675000002</v>
      </c>
      <c r="N15" s="359">
        <v>1.8083924999999998</v>
      </c>
    </row>
    <row r="16" spans="1:14" ht="10.5" customHeight="1">
      <c r="A16" s="423" t="s">
        <v>99</v>
      </c>
      <c r="B16" s="441">
        <v>90.229592492500004</v>
      </c>
      <c r="C16" s="441">
        <v>75.6085275975</v>
      </c>
      <c r="D16" s="424">
        <f t="shared" si="0"/>
        <v>0.1933785164133186</v>
      </c>
      <c r="E16" s="138"/>
      <c r="F16" s="138"/>
      <c r="G16" s="138"/>
      <c r="H16" s="138"/>
      <c r="I16" s="138"/>
      <c r="J16" s="138" t="s">
        <v>8</v>
      </c>
      <c r="K16" s="360"/>
      <c r="L16" s="359" t="s">
        <v>110</v>
      </c>
      <c r="M16" s="359">
        <v>2.9160315799999998</v>
      </c>
      <c r="N16" s="359">
        <v>2.4849694874999999</v>
      </c>
    </row>
    <row r="17" spans="1:14" ht="10.5" customHeight="1">
      <c r="A17" s="425" t="s">
        <v>92</v>
      </c>
      <c r="B17" s="442">
        <v>71.220666857499992</v>
      </c>
      <c r="C17" s="442">
        <v>75.723573012499983</v>
      </c>
      <c r="D17" s="426">
        <f t="shared" si="0"/>
        <v>-5.9465051315746531E-2</v>
      </c>
      <c r="E17" s="138"/>
      <c r="F17" s="138"/>
      <c r="G17" s="138"/>
      <c r="H17" s="138"/>
      <c r="I17" s="138"/>
      <c r="J17" s="138"/>
      <c r="K17" s="360"/>
      <c r="L17" s="359" t="s">
        <v>112</v>
      </c>
      <c r="M17" s="359">
        <v>3.4995767999999998</v>
      </c>
      <c r="N17" s="359">
        <v>3.2094846449999999</v>
      </c>
    </row>
    <row r="18" spans="1:14" ht="10.5" customHeight="1">
      <c r="A18" s="423" t="s">
        <v>97</v>
      </c>
      <c r="B18" s="441">
        <v>64.338034284999992</v>
      </c>
      <c r="C18" s="441">
        <v>70.669869725000012</v>
      </c>
      <c r="D18" s="424">
        <f t="shared" si="0"/>
        <v>-8.9597383788017404E-2</v>
      </c>
      <c r="E18" s="138"/>
      <c r="F18" s="138"/>
      <c r="G18" s="138"/>
      <c r="H18" s="138"/>
      <c r="I18" s="138"/>
      <c r="J18" s="138"/>
      <c r="K18" s="363"/>
      <c r="L18" s="359" t="s">
        <v>113</v>
      </c>
      <c r="M18" s="359">
        <v>3.5730533725</v>
      </c>
      <c r="N18" s="359">
        <v>3.12937362</v>
      </c>
    </row>
    <row r="19" spans="1:14" ht="10.5" customHeight="1">
      <c r="A19" s="425" t="s">
        <v>95</v>
      </c>
      <c r="B19" s="442">
        <v>56.944604062499998</v>
      </c>
      <c r="C19" s="442">
        <v>63.459608375000002</v>
      </c>
      <c r="D19" s="426">
        <f t="shared" si="0"/>
        <v>-0.10266379637896728</v>
      </c>
      <c r="E19" s="138"/>
      <c r="F19" s="138"/>
      <c r="G19" s="138"/>
      <c r="H19" s="138"/>
      <c r="I19" s="138"/>
      <c r="J19" s="138"/>
      <c r="K19" s="360"/>
      <c r="L19" s="361" t="s">
        <v>111</v>
      </c>
      <c r="M19" s="359">
        <v>3.669384355</v>
      </c>
      <c r="N19" s="359">
        <v>3.2058893474999999</v>
      </c>
    </row>
    <row r="20" spans="1:14" ht="10.5" customHeight="1">
      <c r="A20" s="423" t="s">
        <v>94</v>
      </c>
      <c r="B20" s="441">
        <v>51.123578004999999</v>
      </c>
      <c r="C20" s="441">
        <v>73.811786207500006</v>
      </c>
      <c r="D20" s="424">
        <f t="shared" si="0"/>
        <v>-0.30737920552035991</v>
      </c>
      <c r="E20" s="138"/>
      <c r="F20" s="138"/>
      <c r="G20" s="138"/>
      <c r="H20" s="138"/>
      <c r="I20" s="138"/>
      <c r="J20" s="138"/>
      <c r="K20" s="360"/>
      <c r="L20" s="359" t="s">
        <v>122</v>
      </c>
      <c r="M20" s="359">
        <v>3.8167390024999999</v>
      </c>
      <c r="N20" s="359">
        <v>3.0547518500000002</v>
      </c>
    </row>
    <row r="21" spans="1:14" ht="10.5" customHeight="1">
      <c r="A21" s="425" t="s">
        <v>525</v>
      </c>
      <c r="B21" s="442">
        <v>48.790832967500002</v>
      </c>
      <c r="C21" s="442">
        <v>50.1794445325</v>
      </c>
      <c r="D21" s="426">
        <f t="shared" si="0"/>
        <v>-2.7672916229685041E-2</v>
      </c>
      <c r="E21" s="138"/>
      <c r="F21" s="138"/>
      <c r="G21" s="138"/>
      <c r="H21" s="138"/>
      <c r="I21" s="138"/>
      <c r="J21" s="138"/>
      <c r="K21" s="360"/>
      <c r="L21" s="361" t="s">
        <v>108</v>
      </c>
      <c r="M21" s="359">
        <v>3.93006923</v>
      </c>
      <c r="N21" s="359">
        <v>3.4265142500000003</v>
      </c>
    </row>
    <row r="22" spans="1:14" ht="10.5" customHeight="1">
      <c r="A22" s="423" t="s">
        <v>100</v>
      </c>
      <c r="B22" s="441">
        <v>44.431992664999996</v>
      </c>
      <c r="C22" s="441">
        <v>38.870344745000004</v>
      </c>
      <c r="D22" s="424">
        <f t="shared" si="0"/>
        <v>0.14308203224041138</v>
      </c>
      <c r="E22" s="138"/>
      <c r="F22" s="138"/>
      <c r="G22" s="138"/>
      <c r="H22" s="138"/>
      <c r="I22" s="138"/>
      <c r="J22" s="138"/>
      <c r="K22" s="363"/>
      <c r="L22" s="359" t="s">
        <v>105</v>
      </c>
      <c r="M22" s="359">
        <v>3.9679316425</v>
      </c>
      <c r="N22" s="359">
        <v>3.7573950974999999</v>
      </c>
    </row>
    <row r="23" spans="1:14" ht="10.5" customHeight="1">
      <c r="A23" s="425" t="s">
        <v>96</v>
      </c>
      <c r="B23" s="442">
        <v>42.822244964999996</v>
      </c>
      <c r="C23" s="442">
        <v>44.984563982499999</v>
      </c>
      <c r="D23" s="426">
        <f t="shared" si="0"/>
        <v>-4.8068022140687949E-2</v>
      </c>
      <c r="E23" s="138"/>
      <c r="F23" s="138"/>
      <c r="G23" s="138"/>
      <c r="H23" s="138"/>
      <c r="I23" s="138"/>
      <c r="J23" s="138"/>
      <c r="K23" s="360"/>
      <c r="L23" s="361" t="s">
        <v>526</v>
      </c>
      <c r="M23" s="359">
        <v>5.0063399400000002</v>
      </c>
      <c r="N23" s="359"/>
    </row>
    <row r="24" spans="1:14" ht="10.5" customHeight="1">
      <c r="A24" s="423" t="s">
        <v>98</v>
      </c>
      <c r="B24" s="441">
        <v>38.501667577500001</v>
      </c>
      <c r="C24" s="441">
        <v>30.511771475</v>
      </c>
      <c r="D24" s="424">
        <f t="shared" si="0"/>
        <v>0.2618627407145655</v>
      </c>
      <c r="E24" s="138"/>
      <c r="F24" s="138"/>
      <c r="G24" s="138"/>
      <c r="H24" s="138"/>
      <c r="I24" s="138"/>
      <c r="J24" s="138"/>
      <c r="K24" s="360"/>
      <c r="L24" s="361" t="s">
        <v>500</v>
      </c>
      <c r="M24" s="359">
        <v>5.7604991300000004</v>
      </c>
      <c r="N24" s="359"/>
    </row>
    <row r="25" spans="1:14" ht="10.5" customHeight="1">
      <c r="A25" s="425" t="s">
        <v>250</v>
      </c>
      <c r="B25" s="442">
        <v>35.189583937500004</v>
      </c>
      <c r="C25" s="442">
        <v>40.0290006225</v>
      </c>
      <c r="D25" s="426">
        <f t="shared" si="0"/>
        <v>-0.12089776436436428</v>
      </c>
      <c r="E25" s="138"/>
      <c r="F25" s="138"/>
      <c r="G25" s="138"/>
      <c r="H25" s="138"/>
      <c r="I25" s="138"/>
      <c r="J25" s="138"/>
      <c r="K25" s="360"/>
      <c r="L25" s="361" t="s">
        <v>123</v>
      </c>
      <c r="M25" s="359">
        <v>5.9208024450000005</v>
      </c>
      <c r="N25" s="359">
        <v>0</v>
      </c>
    </row>
    <row r="26" spans="1:14" ht="10.5" customHeight="1">
      <c r="A26" s="423" t="s">
        <v>106</v>
      </c>
      <c r="B26" s="441">
        <v>27.007340322499999</v>
      </c>
      <c r="C26" s="441">
        <v>61.959598970000002</v>
      </c>
      <c r="D26" s="424">
        <f t="shared" si="0"/>
        <v>-0.56411370035534625</v>
      </c>
      <c r="E26" s="138"/>
      <c r="F26" s="138"/>
      <c r="G26" s="138"/>
      <c r="H26" s="138"/>
      <c r="I26" s="138"/>
      <c r="J26" s="138"/>
      <c r="K26" s="360"/>
      <c r="L26" s="359" t="s">
        <v>258</v>
      </c>
      <c r="M26" s="359">
        <v>6.0541693274999995</v>
      </c>
      <c r="N26" s="359">
        <v>8.0292738875000005</v>
      </c>
    </row>
    <row r="27" spans="1:14" ht="10.5" customHeight="1">
      <c r="A27" s="425" t="s">
        <v>103</v>
      </c>
      <c r="B27" s="442">
        <v>20.584662175000002</v>
      </c>
      <c r="C27" s="442">
        <v>20.7010441525</v>
      </c>
      <c r="D27" s="426">
        <f t="shared" si="0"/>
        <v>-5.6220341661337159E-3</v>
      </c>
      <c r="E27" s="138"/>
      <c r="F27" s="138"/>
      <c r="G27" s="138"/>
      <c r="H27" s="138"/>
      <c r="I27" s="138"/>
      <c r="J27" s="138"/>
      <c r="K27" s="360"/>
      <c r="L27" s="361" t="s">
        <v>484</v>
      </c>
      <c r="M27" s="359">
        <v>6.232259792499999</v>
      </c>
      <c r="N27" s="359">
        <v>2.9110080250000001</v>
      </c>
    </row>
    <row r="28" spans="1:14" ht="10.5" customHeight="1">
      <c r="A28" s="428" t="s">
        <v>109</v>
      </c>
      <c r="B28" s="441">
        <v>17.591430482500002</v>
      </c>
      <c r="C28" s="441">
        <v>3.8786530300000006</v>
      </c>
      <c r="D28" s="424">
        <f t="shared" si="0"/>
        <v>3.5354483493203821</v>
      </c>
      <c r="E28" s="138"/>
      <c r="F28" s="138"/>
      <c r="G28" s="138"/>
      <c r="H28" s="138"/>
      <c r="I28" s="138"/>
      <c r="J28" s="138"/>
      <c r="K28" s="360"/>
      <c r="L28" s="361" t="s">
        <v>251</v>
      </c>
      <c r="M28" s="359">
        <v>7.8518114374999994</v>
      </c>
      <c r="N28" s="359">
        <v>11.214617865000001</v>
      </c>
    </row>
    <row r="29" spans="1:14" ht="10.5" customHeight="1">
      <c r="A29" s="429" t="s">
        <v>114</v>
      </c>
      <c r="B29" s="442">
        <v>15.966832397499999</v>
      </c>
      <c r="C29" s="442">
        <v>3.49702081</v>
      </c>
      <c r="D29" s="426">
        <f t="shared" si="0"/>
        <v>3.5658385422933758</v>
      </c>
      <c r="E29" s="138"/>
      <c r="F29" s="138"/>
      <c r="G29" s="138"/>
      <c r="H29" s="138"/>
      <c r="I29" s="138"/>
      <c r="J29" s="138"/>
      <c r="K29" s="360"/>
      <c r="L29" s="361" t="s">
        <v>575</v>
      </c>
      <c r="M29" s="359">
        <v>8.3234360350000003</v>
      </c>
      <c r="N29" s="359"/>
    </row>
    <row r="30" spans="1:14" ht="10.5" customHeight="1">
      <c r="A30" s="430" t="s">
        <v>255</v>
      </c>
      <c r="B30" s="441">
        <v>15.786855662500001</v>
      </c>
      <c r="C30" s="441">
        <v>12.829955142500001</v>
      </c>
      <c r="D30" s="424">
        <f t="shared" si="0"/>
        <v>0.23046850025259147</v>
      </c>
      <c r="E30" s="138"/>
      <c r="F30" s="138"/>
      <c r="G30" s="138"/>
      <c r="H30" s="138"/>
      <c r="I30" s="138"/>
      <c r="J30" s="138"/>
      <c r="K30" s="360"/>
      <c r="L30" s="359" t="s">
        <v>107</v>
      </c>
      <c r="M30" s="359">
        <v>8.3256122875000003</v>
      </c>
      <c r="N30" s="359">
        <v>8.1191125700000004</v>
      </c>
    </row>
    <row r="31" spans="1:14" ht="10.5" customHeight="1">
      <c r="A31" s="429" t="s">
        <v>467</v>
      </c>
      <c r="B31" s="442">
        <v>14.703850147499999</v>
      </c>
      <c r="C31" s="442">
        <v>14.22320399</v>
      </c>
      <c r="D31" s="426">
        <f t="shared" si="0"/>
        <v>3.3793100193031833E-2</v>
      </c>
      <c r="E31" s="138"/>
      <c r="F31" s="138"/>
      <c r="G31" s="138"/>
      <c r="H31" s="138"/>
      <c r="I31" s="138"/>
      <c r="J31" s="138"/>
      <c r="K31" s="360"/>
      <c r="L31" s="359" t="s">
        <v>495</v>
      </c>
      <c r="M31" s="359">
        <v>9.1813251700000009</v>
      </c>
      <c r="N31" s="359"/>
    </row>
    <row r="32" spans="1:14" ht="10.5" customHeight="1">
      <c r="A32" s="430" t="s">
        <v>104</v>
      </c>
      <c r="B32" s="441">
        <v>12.621841</v>
      </c>
      <c r="C32" s="441">
        <v>12.649584000000001</v>
      </c>
      <c r="D32" s="424">
        <f t="shared" si="0"/>
        <v>-2.1931946536740687E-3</v>
      </c>
      <c r="E32" s="138"/>
      <c r="F32" s="138"/>
      <c r="G32" s="138"/>
      <c r="H32" s="138"/>
      <c r="I32" s="138"/>
      <c r="J32" s="138"/>
      <c r="K32" s="360"/>
      <c r="L32" s="359" t="s">
        <v>102</v>
      </c>
      <c r="M32" s="359">
        <v>9.4009940399999987</v>
      </c>
      <c r="N32" s="359">
        <v>23.565598619999996</v>
      </c>
    </row>
    <row r="33" spans="1:14">
      <c r="A33" s="830" t="s">
        <v>253</v>
      </c>
      <c r="B33" s="442">
        <v>11.135751145</v>
      </c>
      <c r="C33" s="442">
        <v>10.850510617499999</v>
      </c>
      <c r="D33" s="426">
        <f t="shared" si="0"/>
        <v>2.6288212375918718E-2</v>
      </c>
      <c r="E33" s="138"/>
      <c r="F33" s="138"/>
      <c r="G33" s="138"/>
      <c r="H33" s="138"/>
      <c r="I33" s="138"/>
      <c r="J33" s="138"/>
      <c r="K33" s="360"/>
      <c r="L33" s="361" t="s">
        <v>507</v>
      </c>
      <c r="M33" s="359">
        <v>10.435492195</v>
      </c>
      <c r="N33" s="359">
        <v>10.099239602499999</v>
      </c>
    </row>
    <row r="34" spans="1:14" ht="21.75" customHeight="1">
      <c r="A34" s="602" t="s">
        <v>507</v>
      </c>
      <c r="B34" s="441">
        <v>10.435492195</v>
      </c>
      <c r="C34" s="441">
        <v>10.099239602499999</v>
      </c>
      <c r="D34" s="424">
        <f t="shared" si="0"/>
        <v>3.3294842555944948E-2</v>
      </c>
      <c r="E34" s="138"/>
      <c r="F34" s="138"/>
      <c r="G34" s="138"/>
      <c r="H34" s="138"/>
      <c r="I34" s="138"/>
      <c r="J34" s="138"/>
      <c r="K34" s="364"/>
      <c r="L34" s="361" t="s">
        <v>253</v>
      </c>
      <c r="M34" s="359">
        <v>11.135751145</v>
      </c>
      <c r="N34" s="359">
        <v>10.850510617499999</v>
      </c>
    </row>
    <row r="35" spans="1:14" ht="10.5" customHeight="1">
      <c r="A35" s="429" t="s">
        <v>102</v>
      </c>
      <c r="B35" s="442">
        <v>9.4009940399999987</v>
      </c>
      <c r="C35" s="442">
        <v>23.565598619999996</v>
      </c>
      <c r="D35" s="426">
        <f t="shared" si="0"/>
        <v>-0.60107128227069828</v>
      </c>
      <c r="E35" s="138"/>
      <c r="F35" s="138"/>
      <c r="G35" s="138"/>
      <c r="H35" s="138"/>
      <c r="I35" s="138"/>
      <c r="J35" s="138"/>
      <c r="K35" s="364"/>
      <c r="L35" s="361" t="s">
        <v>104</v>
      </c>
      <c r="M35" s="359">
        <v>12.621841</v>
      </c>
      <c r="N35" s="359">
        <v>12.649584000000001</v>
      </c>
    </row>
    <row r="36" spans="1:14" ht="11.25" customHeight="1">
      <c r="A36" s="602" t="s">
        <v>495</v>
      </c>
      <c r="B36" s="441">
        <v>9.1813251700000009</v>
      </c>
      <c r="C36" s="441"/>
      <c r="D36" s="424" t="str">
        <f t="shared" si="0"/>
        <v/>
      </c>
      <c r="E36" s="138"/>
      <c r="F36" s="138"/>
      <c r="G36" s="138"/>
      <c r="H36" s="138"/>
      <c r="I36" s="138"/>
      <c r="J36" s="138"/>
      <c r="K36" s="363"/>
      <c r="L36" s="361" t="s">
        <v>467</v>
      </c>
      <c r="M36" s="359">
        <v>14.703850147499999</v>
      </c>
      <c r="N36" s="359">
        <v>14.22320399</v>
      </c>
    </row>
    <row r="37" spans="1:14" ht="10.5" customHeight="1">
      <c r="A37" s="429" t="s">
        <v>107</v>
      </c>
      <c r="B37" s="442">
        <v>8.3256122875000003</v>
      </c>
      <c r="C37" s="442">
        <v>8.1191125700000004</v>
      </c>
      <c r="D37" s="426">
        <f t="shared" si="0"/>
        <v>2.5433779334826934E-2</v>
      </c>
      <c r="E37" s="138"/>
      <c r="F37" s="138"/>
      <c r="G37" s="138"/>
      <c r="H37" s="138"/>
      <c r="I37" s="138"/>
      <c r="J37" s="138"/>
      <c r="K37" s="363"/>
      <c r="L37" s="359" t="s">
        <v>255</v>
      </c>
      <c r="M37" s="359">
        <v>15.786855662500001</v>
      </c>
      <c r="N37" s="359">
        <v>12.829955142500001</v>
      </c>
    </row>
    <row r="38" spans="1:14" ht="10.5" customHeight="1">
      <c r="A38" s="430" t="s">
        <v>575</v>
      </c>
      <c r="B38" s="441">
        <v>8.3234360350000003</v>
      </c>
      <c r="C38" s="441"/>
      <c r="D38" s="424" t="str">
        <f t="shared" si="0"/>
        <v/>
      </c>
      <c r="E38" s="138"/>
      <c r="F38" s="138"/>
      <c r="G38" s="138"/>
      <c r="H38" s="138"/>
      <c r="I38" s="138"/>
      <c r="J38" s="138"/>
      <c r="K38" s="363"/>
      <c r="L38" s="361" t="s">
        <v>114</v>
      </c>
      <c r="M38" s="359">
        <v>15.966832397499999</v>
      </c>
      <c r="N38" s="359">
        <v>3.49702081</v>
      </c>
    </row>
    <row r="39" spans="1:14" ht="10.5" customHeight="1">
      <c r="A39" s="429" t="s">
        <v>484</v>
      </c>
      <c r="B39" s="442">
        <v>6.232259792499999</v>
      </c>
      <c r="C39" s="442">
        <v>2.9110080250000001</v>
      </c>
      <c r="D39" s="426">
        <v>1.1409284134488082</v>
      </c>
      <c r="E39" s="138"/>
      <c r="F39" s="138"/>
      <c r="G39" s="138"/>
      <c r="H39" s="138"/>
      <c r="I39" s="138"/>
      <c r="J39" s="138"/>
      <c r="K39" s="364"/>
      <c r="L39" s="359" t="s">
        <v>109</v>
      </c>
      <c r="M39" s="359">
        <v>17.591430482500002</v>
      </c>
      <c r="N39" s="359">
        <v>3.8786530300000006</v>
      </c>
    </row>
    <row r="40" spans="1:14" ht="10.5" customHeight="1">
      <c r="A40" s="602" t="s">
        <v>751</v>
      </c>
      <c r="B40" s="441">
        <v>13.905980764999999</v>
      </c>
      <c r="C40" s="441">
        <v>19.243891752500002</v>
      </c>
      <c r="D40" s="424">
        <v>-0.27738209381720036</v>
      </c>
      <c r="E40" s="138"/>
      <c r="F40" s="138"/>
      <c r="G40" s="138"/>
      <c r="H40" s="138"/>
      <c r="I40" s="138"/>
      <c r="J40" s="138"/>
      <c r="K40" s="364"/>
      <c r="L40" s="361" t="s">
        <v>103</v>
      </c>
      <c r="M40" s="359">
        <v>20.584662175000002</v>
      </c>
      <c r="N40" s="359">
        <v>20.7010441525</v>
      </c>
    </row>
    <row r="41" spans="1:14" ht="10.5" customHeight="1">
      <c r="A41" s="429" t="s">
        <v>123</v>
      </c>
      <c r="B41" s="442">
        <v>5.9208024450000005</v>
      </c>
      <c r="C41" s="442">
        <v>0</v>
      </c>
      <c r="D41" s="426" t="s">
        <v>748</v>
      </c>
      <c r="E41" s="138"/>
      <c r="F41" s="138"/>
      <c r="G41" s="138"/>
      <c r="H41" s="138"/>
      <c r="I41" s="138"/>
      <c r="J41" s="138"/>
      <c r="K41" s="364"/>
      <c r="L41" s="359" t="s">
        <v>106</v>
      </c>
      <c r="M41" s="359">
        <v>27.007340322499999</v>
      </c>
      <c r="N41" s="359">
        <v>61.959598970000002</v>
      </c>
    </row>
    <row r="42" spans="1:14" ht="10.5" customHeight="1">
      <c r="A42" s="430" t="s">
        <v>500</v>
      </c>
      <c r="B42" s="441">
        <v>5.7604991300000004</v>
      </c>
      <c r="C42" s="441"/>
      <c r="D42" s="424" t="s">
        <v>748</v>
      </c>
      <c r="E42" s="138"/>
      <c r="F42" s="138"/>
      <c r="G42" s="138"/>
      <c r="H42" s="138"/>
      <c r="I42" s="138"/>
      <c r="J42" s="138"/>
      <c r="L42" s="361" t="s">
        <v>250</v>
      </c>
      <c r="M42" s="359">
        <v>35.189583937500004</v>
      </c>
      <c r="N42" s="359">
        <v>40.0290006225</v>
      </c>
    </row>
    <row r="43" spans="1:14" ht="10.5" customHeight="1">
      <c r="A43" s="429" t="s">
        <v>526</v>
      </c>
      <c r="B43" s="442">
        <v>5.0063399400000002</v>
      </c>
      <c r="C43" s="442"/>
      <c r="D43" s="426" t="s">
        <v>748</v>
      </c>
      <c r="E43" s="138"/>
      <c r="F43" s="138"/>
      <c r="G43" s="138"/>
      <c r="H43" s="138"/>
      <c r="I43" s="138"/>
      <c r="J43" s="138"/>
      <c r="L43" s="361" t="s">
        <v>98</v>
      </c>
      <c r="M43" s="359">
        <v>38.501667577500001</v>
      </c>
      <c r="N43" s="359">
        <v>30.511771475</v>
      </c>
    </row>
    <row r="44" spans="1:14" ht="10.5" customHeight="1">
      <c r="A44" s="430" t="s">
        <v>105</v>
      </c>
      <c r="B44" s="441">
        <v>3.9679316425</v>
      </c>
      <c r="C44" s="441">
        <v>3.7573950974999999</v>
      </c>
      <c r="D44" s="424">
        <v>5.6032580960166056E-2</v>
      </c>
      <c r="E44" s="138"/>
      <c r="F44" s="138"/>
      <c r="G44" s="138"/>
      <c r="H44" s="138"/>
      <c r="I44" s="138"/>
      <c r="J44" s="138"/>
      <c r="L44" s="362" t="s">
        <v>96</v>
      </c>
      <c r="M44" s="359">
        <v>42.822244964999996</v>
      </c>
      <c r="N44" s="359">
        <v>44.984563982499999</v>
      </c>
    </row>
    <row r="45" spans="1:14" ht="10.5" customHeight="1">
      <c r="A45" s="429" t="s">
        <v>108</v>
      </c>
      <c r="B45" s="442">
        <v>3.93006923</v>
      </c>
      <c r="C45" s="442">
        <v>3.4265142500000003</v>
      </c>
      <c r="D45" s="426">
        <v>0.14695837905825138</v>
      </c>
      <c r="E45" s="138"/>
      <c r="F45" s="138"/>
      <c r="G45" s="138"/>
      <c r="H45" s="138"/>
      <c r="I45" s="138"/>
      <c r="J45" s="138"/>
      <c r="L45" s="361" t="s">
        <v>100</v>
      </c>
      <c r="M45" s="359">
        <v>44.431992664999996</v>
      </c>
      <c r="N45" s="359">
        <v>38.870344745000004</v>
      </c>
    </row>
    <row r="46" spans="1:14" ht="10.5" customHeight="1">
      <c r="A46" s="430" t="s">
        <v>122</v>
      </c>
      <c r="B46" s="441">
        <v>3.8167390024999999</v>
      </c>
      <c r="C46" s="441">
        <v>3.0547518500000002</v>
      </c>
      <c r="D46" s="424">
        <v>0.24944322482364645</v>
      </c>
      <c r="E46" s="138"/>
      <c r="F46" s="138"/>
      <c r="G46" s="138"/>
      <c r="H46" s="138"/>
      <c r="I46" s="138"/>
      <c r="J46" s="138"/>
      <c r="L46" s="361" t="s">
        <v>525</v>
      </c>
      <c r="M46" s="359">
        <v>48.790832967500002</v>
      </c>
      <c r="N46" s="359">
        <v>50.1794445325</v>
      </c>
    </row>
    <row r="47" spans="1:14" ht="10.5" customHeight="1">
      <c r="A47" s="429" t="s">
        <v>111</v>
      </c>
      <c r="B47" s="442">
        <v>3.669384355</v>
      </c>
      <c r="C47" s="442">
        <v>3.2058893474999999</v>
      </c>
      <c r="D47" s="426">
        <v>0.14457610892323536</v>
      </c>
      <c r="E47" s="138"/>
      <c r="F47" s="138"/>
      <c r="G47" s="138"/>
      <c r="H47" s="138"/>
      <c r="I47" s="138"/>
      <c r="J47" s="138"/>
      <c r="L47" s="361" t="s">
        <v>94</v>
      </c>
      <c r="M47" s="359">
        <v>51.123578004999999</v>
      </c>
      <c r="N47" s="359">
        <v>73.811786207500006</v>
      </c>
    </row>
    <row r="48" spans="1:14" ht="10.5" customHeight="1">
      <c r="A48" s="430" t="s">
        <v>113</v>
      </c>
      <c r="B48" s="441">
        <v>3.5730533725</v>
      </c>
      <c r="C48" s="441">
        <v>3.12937362</v>
      </c>
      <c r="D48" s="424">
        <v>0.14177909267989541</v>
      </c>
      <c r="E48" s="138"/>
      <c r="F48" s="138"/>
      <c r="G48" s="138"/>
      <c r="H48" s="138"/>
      <c r="I48" s="138"/>
      <c r="J48" s="138"/>
      <c r="L48" s="359" t="s">
        <v>95</v>
      </c>
      <c r="M48" s="359">
        <v>56.944604062499998</v>
      </c>
      <c r="N48" s="359">
        <v>63.459608375000002</v>
      </c>
    </row>
    <row r="49" spans="1:14" ht="10.5" customHeight="1">
      <c r="A49" s="429" t="s">
        <v>112</v>
      </c>
      <c r="B49" s="442">
        <v>3.4995767999999998</v>
      </c>
      <c r="C49" s="442">
        <v>3.2094846449999999</v>
      </c>
      <c r="D49" s="426">
        <v>9.0385899010898774E-2</v>
      </c>
      <c r="E49" s="138"/>
      <c r="F49" s="138"/>
      <c r="G49" s="138"/>
      <c r="H49" s="138"/>
      <c r="I49" s="138"/>
      <c r="J49" s="138"/>
      <c r="L49" s="358" t="s">
        <v>97</v>
      </c>
      <c r="M49" s="359">
        <v>64.338034284999992</v>
      </c>
      <c r="N49" s="359">
        <v>70.669869725000012</v>
      </c>
    </row>
    <row r="50" spans="1:14" ht="10.5" customHeight="1">
      <c r="A50" s="430" t="s">
        <v>110</v>
      </c>
      <c r="B50" s="441">
        <v>2.9160315799999998</v>
      </c>
      <c r="C50" s="441">
        <v>2.4849694874999999</v>
      </c>
      <c r="D50" s="424">
        <v>0.17346776073845049</v>
      </c>
      <c r="E50" s="138"/>
      <c r="F50" s="138"/>
      <c r="G50" s="138"/>
      <c r="H50" s="138"/>
      <c r="I50" s="138"/>
      <c r="J50" s="138"/>
      <c r="L50" s="361" t="s">
        <v>92</v>
      </c>
      <c r="M50" s="359">
        <v>71.220666857499992</v>
      </c>
      <c r="N50" s="359">
        <v>75.723573012499983</v>
      </c>
    </row>
    <row r="51" spans="1:14" ht="10.5" customHeight="1">
      <c r="A51" s="429" t="s">
        <v>115</v>
      </c>
      <c r="B51" s="442">
        <v>2.6711766675000002</v>
      </c>
      <c r="C51" s="442">
        <v>1.8083924999999998</v>
      </c>
      <c r="D51" s="426">
        <v>0.47710005847734949</v>
      </c>
      <c r="E51" s="138"/>
      <c r="F51" s="138"/>
      <c r="G51" s="138"/>
      <c r="H51" s="138"/>
      <c r="I51" s="138"/>
      <c r="J51" s="138"/>
      <c r="L51" s="361" t="s">
        <v>99</v>
      </c>
      <c r="M51" s="359">
        <v>90.229592492500004</v>
      </c>
      <c r="N51" s="359">
        <v>75.6085275975</v>
      </c>
    </row>
    <row r="52" spans="1:14" ht="10.5" customHeight="1">
      <c r="A52" s="430" t="s">
        <v>117</v>
      </c>
      <c r="B52" s="441">
        <v>2.3740999999999999</v>
      </c>
      <c r="C52" s="441">
        <v>2.3769</v>
      </c>
      <c r="D52" s="424">
        <v>-1.1780049644495305E-3</v>
      </c>
      <c r="E52" s="138"/>
      <c r="F52" s="138"/>
      <c r="G52" s="138"/>
      <c r="H52" s="138"/>
      <c r="I52" s="138"/>
      <c r="J52" s="138"/>
      <c r="L52" s="361" t="s">
        <v>254</v>
      </c>
      <c r="M52" s="359">
        <v>91.60953804750001</v>
      </c>
      <c r="N52" s="359">
        <v>88.898847340000003</v>
      </c>
    </row>
    <row r="53" spans="1:14" ht="10.5" customHeight="1">
      <c r="A53" s="429" t="s">
        <v>116</v>
      </c>
      <c r="B53" s="442">
        <v>1.72368308</v>
      </c>
      <c r="C53" s="442">
        <v>1.7380232949999999</v>
      </c>
      <c r="D53" s="426">
        <v>-8.2508761771227235E-3</v>
      </c>
      <c r="E53" s="138"/>
      <c r="F53" s="138"/>
      <c r="G53" s="138"/>
      <c r="H53" s="138"/>
      <c r="I53" s="138"/>
      <c r="J53" s="138"/>
      <c r="L53" s="361" t="s">
        <v>249</v>
      </c>
      <c r="M53" s="359">
        <v>92.340128859999993</v>
      </c>
      <c r="N53" s="359">
        <v>81.005481285000002</v>
      </c>
    </row>
    <row r="54" spans="1:14" ht="10.5" customHeight="1">
      <c r="A54" s="430" t="s">
        <v>118</v>
      </c>
      <c r="B54" s="441">
        <v>1.1403937000000002</v>
      </c>
      <c r="C54" s="441">
        <v>1.3763512499999999</v>
      </c>
      <c r="D54" s="424">
        <v>-0.17143701507881781</v>
      </c>
      <c r="E54" s="138"/>
      <c r="F54" s="138"/>
      <c r="G54" s="138"/>
      <c r="H54" s="138"/>
      <c r="I54" s="138"/>
      <c r="J54" s="138"/>
      <c r="L54" s="361" t="s">
        <v>93</v>
      </c>
      <c r="M54" s="359">
        <v>93.4875355625</v>
      </c>
      <c r="N54" s="359">
        <v>95.862467440000003</v>
      </c>
    </row>
    <row r="55" spans="1:14" ht="10.5" customHeight="1">
      <c r="A55" s="429" t="s">
        <v>257</v>
      </c>
      <c r="B55" s="442">
        <v>0.40410757000000003</v>
      </c>
      <c r="C55" s="442">
        <v>0.83955658499999997</v>
      </c>
      <c r="D55" s="426">
        <v>-0.51866547506145755</v>
      </c>
      <c r="E55" s="138"/>
      <c r="F55" s="138"/>
      <c r="G55" s="138"/>
      <c r="H55" s="138"/>
      <c r="I55" s="138"/>
      <c r="J55" s="138"/>
      <c r="L55" s="361" t="s">
        <v>91</v>
      </c>
      <c r="M55" s="359">
        <v>155.29043071249998</v>
      </c>
      <c r="N55" s="359">
        <v>159.53310032000002</v>
      </c>
    </row>
    <row r="56" spans="1:14" ht="10.5" customHeight="1">
      <c r="A56" s="602" t="s">
        <v>752</v>
      </c>
      <c r="B56" s="441">
        <v>0.24919130749999999</v>
      </c>
      <c r="C56" s="441">
        <v>0.10120691750000001</v>
      </c>
      <c r="D56" s="424">
        <v>1.4621963958145447</v>
      </c>
      <c r="E56" s="138"/>
      <c r="F56" s="138"/>
      <c r="G56" s="138"/>
      <c r="H56" s="138"/>
      <c r="I56" s="138"/>
      <c r="J56" s="138"/>
      <c r="L56" s="359" t="s">
        <v>101</v>
      </c>
      <c r="M56" s="359">
        <v>194.84912664500001</v>
      </c>
      <c r="N56" s="359">
        <v>193.17047228000001</v>
      </c>
    </row>
    <row r="57" spans="1:14" ht="10.5" customHeight="1">
      <c r="A57" s="429" t="s">
        <v>486</v>
      </c>
      <c r="B57" s="442">
        <v>9.8008250000000005E-2</v>
      </c>
      <c r="C57" s="442"/>
      <c r="D57" s="426" t="s">
        <v>748</v>
      </c>
      <c r="E57" s="138"/>
      <c r="F57" s="138"/>
      <c r="G57" s="138"/>
      <c r="H57" s="138"/>
      <c r="I57" s="138"/>
      <c r="J57" s="138"/>
      <c r="L57" s="361" t="s">
        <v>252</v>
      </c>
      <c r="M57" s="359">
        <v>404.84561240500005</v>
      </c>
      <c r="N57" s="359">
        <v>333.9755148525</v>
      </c>
    </row>
    <row r="58" spans="1:14" ht="10.5" customHeight="1">
      <c r="A58" s="430" t="s">
        <v>121</v>
      </c>
      <c r="B58" s="441">
        <v>7.51934925E-2</v>
      </c>
      <c r="C58" s="441">
        <v>2.56264264</v>
      </c>
      <c r="D58" s="424">
        <v>-0.97065783136270611</v>
      </c>
      <c r="E58" s="138"/>
      <c r="F58" s="138"/>
      <c r="G58" s="138"/>
      <c r="H58" s="138"/>
      <c r="I58" s="138"/>
      <c r="J58" s="138"/>
      <c r="L58" s="361" t="s">
        <v>89</v>
      </c>
      <c r="M58" s="359">
        <v>578.89770246500007</v>
      </c>
      <c r="N58" s="359">
        <v>542.10331888999997</v>
      </c>
    </row>
    <row r="59" spans="1:14" ht="10.5" customHeight="1">
      <c r="A59" s="429" t="s">
        <v>119</v>
      </c>
      <c r="B59" s="442">
        <v>2.73475525E-2</v>
      </c>
      <c r="C59" s="442">
        <v>3.8967750000000002E-2</v>
      </c>
      <c r="D59" s="426">
        <v>-0.29820037081945971</v>
      </c>
      <c r="E59" s="138"/>
      <c r="F59" s="138"/>
      <c r="G59" s="138"/>
      <c r="H59" s="138"/>
      <c r="I59" s="138"/>
      <c r="J59" s="138"/>
      <c r="L59" s="359" t="s">
        <v>88</v>
      </c>
      <c r="M59" s="359">
        <v>601.88591489999976</v>
      </c>
      <c r="N59" s="359">
        <v>638.24097468499997</v>
      </c>
    </row>
    <row r="60" spans="1:14" ht="10.5" customHeight="1">
      <c r="A60" s="430" t="s">
        <v>256</v>
      </c>
      <c r="B60" s="443">
        <v>2.5215424999999996E-3</v>
      </c>
      <c r="C60" s="443">
        <v>1.8681192500000002E-2</v>
      </c>
      <c r="D60" s="431">
        <v>-0.86502240154101517</v>
      </c>
      <c r="E60" s="138"/>
      <c r="F60" s="138"/>
      <c r="G60" s="138"/>
      <c r="H60" s="138"/>
      <c r="I60" s="138"/>
      <c r="J60" s="138"/>
      <c r="L60" s="361" t="s">
        <v>90</v>
      </c>
      <c r="M60" s="359">
        <v>629.67828553749996</v>
      </c>
      <c r="N60" s="359">
        <v>616.8177441675</v>
      </c>
    </row>
    <row r="61" spans="1:14" ht="10.5" customHeight="1">
      <c r="A61" s="432" t="s">
        <v>248</v>
      </c>
      <c r="B61" s="442">
        <v>0</v>
      </c>
      <c r="C61" s="442">
        <v>0</v>
      </c>
      <c r="D61" s="426" t="s">
        <v>748</v>
      </c>
      <c r="E61" s="138"/>
      <c r="F61" s="138"/>
      <c r="G61" s="138"/>
      <c r="H61" s="138"/>
      <c r="I61" s="138"/>
      <c r="J61" s="138"/>
      <c r="L61" s="361" t="s">
        <v>483</v>
      </c>
      <c r="M61" s="359">
        <v>759.43477554499998</v>
      </c>
      <c r="N61" s="359">
        <v>648.89763769749993</v>
      </c>
    </row>
    <row r="62" spans="1:14" ht="10.5" customHeight="1">
      <c r="A62" s="881" t="s">
        <v>43</v>
      </c>
      <c r="B62" s="882">
        <f ca="1">SUM(B6:B62)</f>
        <v>4397.9416627724986</v>
      </c>
      <c r="C62" s="882">
        <f ca="1">SUM(C6:C62)</f>
        <v>4200.0115709424972</v>
      </c>
      <c r="D62" s="396">
        <f ca="1">IF(C62=0,"",B62/C62-1)</f>
        <v>4.7126082508764489E-2</v>
      </c>
      <c r="E62" s="138"/>
      <c r="F62" s="138"/>
      <c r="G62" s="138"/>
      <c r="H62" s="138"/>
      <c r="I62" s="138"/>
      <c r="J62" s="138"/>
      <c r="L62" s="361"/>
      <c r="M62" s="359"/>
      <c r="N62" s="359"/>
    </row>
    <row r="63" spans="1:14" ht="40.5" customHeight="1">
      <c r="A63" s="939" t="str">
        <f>"Cuadro N° 6: Participación de las empresas generadoras del COES en la producción de energía eléctrica (GWh) en "&amp;'1. Resumen'!Q4</f>
        <v>Cuadro N° 6: Participación de las empresas generadoras del COES en la producción de energía eléctrica (GWh) en julio</v>
      </c>
      <c r="B63" s="939"/>
      <c r="C63" s="939"/>
      <c r="D63" s="597"/>
      <c r="E63" s="938" t="str">
        <f>"Gráfico N° 10: Comparación de producción energética (GWh) de las empresas generadoras del COES en "&amp;'1. Resumen'!Q4</f>
        <v>Gráfico N° 10: Comparación de producción energética (GWh) de las empresas generadoras del COES en julio</v>
      </c>
      <c r="F63" s="938"/>
      <c r="G63" s="938"/>
      <c r="H63" s="938"/>
      <c r="I63" s="938"/>
      <c r="J63" s="938"/>
    </row>
    <row r="64" spans="1:14" ht="36" customHeight="1">
      <c r="A64" s="941" t="s">
        <v>749</v>
      </c>
      <c r="B64" s="941"/>
      <c r="C64" s="941"/>
      <c r="D64" s="941"/>
      <c r="E64" s="941"/>
      <c r="F64" s="941"/>
      <c r="G64" s="941"/>
      <c r="H64" s="941"/>
      <c r="I64" s="941"/>
      <c r="J64" s="941"/>
    </row>
    <row r="65" spans="1:10" ht="12.75" customHeight="1">
      <c r="A65" s="940" t="s">
        <v>743</v>
      </c>
      <c r="B65" s="940"/>
      <c r="C65" s="940"/>
      <c r="D65" s="940"/>
      <c r="E65" s="940"/>
      <c r="F65" s="940"/>
      <c r="G65" s="940"/>
      <c r="H65" s="940"/>
      <c r="I65" s="940"/>
      <c r="J65" s="940"/>
    </row>
    <row r="66" spans="1:10" s="861" customFormat="1" ht="12.75" customHeight="1">
      <c r="A66" s="879"/>
      <c r="B66" s="879"/>
      <c r="C66" s="879"/>
      <c r="D66" s="879"/>
      <c r="E66" s="879"/>
      <c r="F66" s="879"/>
      <c r="G66" s="879"/>
      <c r="H66" s="879"/>
      <c r="I66" s="879"/>
      <c r="J66" s="879"/>
    </row>
    <row r="67" spans="1:10" ht="12.75" customHeight="1">
      <c r="A67" s="879"/>
      <c r="B67" s="879"/>
      <c r="C67" s="879"/>
      <c r="D67" s="879"/>
      <c r="E67" s="879"/>
      <c r="F67" s="879"/>
      <c r="G67" s="879"/>
      <c r="H67" s="879"/>
      <c r="I67" s="879"/>
      <c r="J67" s="879"/>
    </row>
    <row r="68" spans="1:10">
      <c r="A68" s="940"/>
      <c r="B68" s="940"/>
      <c r="C68" s="940"/>
      <c r="D68" s="940"/>
      <c r="E68" s="940"/>
      <c r="F68" s="940"/>
      <c r="G68" s="940"/>
      <c r="H68" s="940"/>
      <c r="I68" s="940"/>
      <c r="J68" s="940"/>
    </row>
    <row r="69" spans="1:10">
      <c r="A69" s="932"/>
      <c r="B69" s="932"/>
      <c r="C69" s="932"/>
      <c r="D69" s="932"/>
      <c r="E69" s="932"/>
      <c r="F69" s="932"/>
      <c r="G69" s="932"/>
      <c r="H69" s="932"/>
      <c r="I69" s="932"/>
      <c r="J69" s="932"/>
    </row>
    <row r="70" spans="1:10">
      <c r="A70" s="933"/>
      <c r="B70" s="933"/>
      <c r="C70" s="933"/>
      <c r="D70" s="933"/>
      <c r="E70" s="933"/>
      <c r="F70" s="933"/>
      <c r="G70" s="933"/>
      <c r="H70" s="933"/>
      <c r="I70" s="933"/>
      <c r="J70" s="933"/>
    </row>
    <row r="71" spans="1:10">
      <c r="A71" s="932"/>
      <c r="B71" s="932"/>
      <c r="C71" s="932"/>
      <c r="D71" s="932"/>
      <c r="E71" s="932"/>
      <c r="F71" s="932"/>
      <c r="G71" s="932"/>
      <c r="H71" s="932"/>
      <c r="I71" s="932"/>
      <c r="J71" s="932"/>
    </row>
    <row r="72" spans="1:10">
      <c r="A72" s="933"/>
      <c r="B72" s="933"/>
      <c r="C72" s="933"/>
      <c r="D72" s="933"/>
      <c r="E72" s="933"/>
      <c r="F72" s="933"/>
      <c r="G72" s="933"/>
      <c r="H72" s="933"/>
      <c r="I72" s="933"/>
      <c r="J72" s="933"/>
    </row>
  </sheetData>
  <mergeCells count="13">
    <mergeCell ref="A69:J69"/>
    <mergeCell ref="A70:J70"/>
    <mergeCell ref="A71:J71"/>
    <mergeCell ref="A72:J72"/>
    <mergeCell ref="A2:I2"/>
    <mergeCell ref="A4:A5"/>
    <mergeCell ref="B4:D4"/>
    <mergeCell ref="G4:I4"/>
    <mergeCell ref="E63:J63"/>
    <mergeCell ref="A63:C63"/>
    <mergeCell ref="A68:J68"/>
    <mergeCell ref="A65:J65"/>
    <mergeCell ref="A64:J64"/>
  </mergeCells>
  <pageMargins left="0.70866141732283472" right="0.59055118110236227" top="1.4173228346456694" bottom="0.62992125984251968" header="0.31496062992125984" footer="0.31496062992125984"/>
  <pageSetup paperSize="9" scale="95" orientation="portrait" r:id="rId1"/>
  <headerFooter>
    <oddHeader>&amp;R&amp;7Informe de la Operación Mensual-Julio 2019
INFSGI-MES-07-2019
08/08/2019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 -2'!Print_Area</vt:lpstr>
      <vt:lpstr>'27.ANEXO III - 3'!Print_Area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2019-08-09T14:57:07Z</cp:lastPrinted>
  <dcterms:created xsi:type="dcterms:W3CDTF">2018-02-13T14:18:17Z</dcterms:created>
  <dcterms:modified xsi:type="dcterms:W3CDTF">2019-08-26T23:22:03Z</dcterms:modified>
</cp:coreProperties>
</file>